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1.xml" ContentType="application/vnd.openxmlformats-officedocument.drawing+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drawings/drawing2.xml" ContentType="application/vnd.openxmlformats-officedocument.drawing+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drawings/drawing3.xml" ContentType="application/vnd.openxmlformats-officedocument.drawing+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2.xml" ContentType="application/vnd.openxmlformats-officedocument.spreadsheetml.comments+xml"/>
  <Override PartName="/xl/comments53.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drawings/drawing4.xml" ContentType="application/vnd.openxmlformats-officedocument.drawing+xml"/>
  <Override PartName="/xl/comments59.xml" ContentType="application/vnd.openxmlformats-officedocument.spreadsheetml.comments+xml"/>
  <Override PartName="/xl/comments60.xml" ContentType="application/vnd.openxmlformats-officedocument.spreadsheetml.comments+xml"/>
  <Override PartName="/xl/comments61.xml" ContentType="application/vnd.openxmlformats-officedocument.spreadsheetml.comments+xml"/>
  <Override PartName="/xl/comments62.xml" ContentType="application/vnd.openxmlformats-officedocument.spreadsheetml.comments+xml"/>
  <Override PartName="/xl/comments63.xml" ContentType="application/vnd.openxmlformats-officedocument.spreadsheetml.comments+xml"/>
  <Override PartName="/xl/comments64.xml" ContentType="application/vnd.openxmlformats-officedocument.spreadsheetml.comments+xml"/>
  <Override PartName="/xl/comments65.xml" ContentType="application/vnd.openxmlformats-officedocument.spreadsheetml.comments+xml"/>
  <Override PartName="/xl/comments66.xml" ContentType="application/vnd.openxmlformats-officedocument.spreadsheetml.comments+xml"/>
  <Override PartName="/xl/comments67.xml" ContentType="application/vnd.openxmlformats-officedocument.spreadsheetml.comments+xml"/>
  <Override PartName="/xl/comments68.xml" ContentType="application/vnd.openxmlformats-officedocument.spreadsheetml.comments+xml"/>
  <Override PartName="/xl/drawings/drawing5.xml" ContentType="application/vnd.openxmlformats-officedocument.drawing+xml"/>
  <Override PartName="/xl/comments69.xml" ContentType="application/vnd.openxmlformats-officedocument.spreadsheetml.comments+xml"/>
  <Override PartName="/xl/comments70.xml" ContentType="application/vnd.openxmlformats-officedocument.spreadsheetml.comments+xml"/>
  <Override PartName="/xl/comments71.xml" ContentType="application/vnd.openxmlformats-officedocument.spreadsheetml.comments+xml"/>
  <Override PartName="/xl/comments72.xml" ContentType="application/vnd.openxmlformats-officedocument.spreadsheetml.comments+xml"/>
  <Override PartName="/xl/comments73.xml" ContentType="application/vnd.openxmlformats-officedocument.spreadsheetml.comments+xml"/>
  <Override PartName="/xl/comments74.xml" ContentType="application/vnd.openxmlformats-officedocument.spreadsheetml.comments+xml"/>
  <Override PartName="/xl/comments75.xml" ContentType="application/vnd.openxmlformats-officedocument.spreadsheetml.comments+xml"/>
  <Override PartName="/xl/comments76.xml" ContentType="application/vnd.openxmlformats-officedocument.spreadsheetml.comments+xml"/>
  <Override PartName="/xl/comments77.xml" ContentType="application/vnd.openxmlformats-officedocument.spreadsheetml.comments+xml"/>
  <Override PartName="/xl/comments78.xml" ContentType="application/vnd.openxmlformats-officedocument.spreadsheetml.comments+xml"/>
  <Override PartName="/xl/comments79.xml" ContentType="application/vnd.openxmlformats-officedocument.spreadsheetml.comments+xml"/>
  <Override PartName="/xl/comments80.xml" ContentType="application/vnd.openxmlformats-officedocument.spreadsheetml.comments+xml"/>
  <Override PartName="/xl/drawings/drawing6.xml" ContentType="application/vnd.openxmlformats-officedocument.drawing+xml"/>
  <Override PartName="/xl/comments81.xml" ContentType="application/vnd.openxmlformats-officedocument.spreadsheetml.comments+xml"/>
  <Override PartName="/xl/comments82.xml" ContentType="application/vnd.openxmlformats-officedocument.spreadsheetml.comments+xml"/>
  <Override PartName="/xl/comments83.xml" ContentType="application/vnd.openxmlformats-officedocument.spreadsheetml.comments+xml"/>
  <Override PartName="/xl/comments84.xml" ContentType="application/vnd.openxmlformats-officedocument.spreadsheetml.comments+xml"/>
  <Override PartName="/xl/comments85.xml" ContentType="application/vnd.openxmlformats-officedocument.spreadsheetml.comments+xml"/>
  <Override PartName="/xl/comments86.xml" ContentType="application/vnd.openxmlformats-officedocument.spreadsheetml.comments+xml"/>
  <Override PartName="/xl/comments87.xml" ContentType="application/vnd.openxmlformats-officedocument.spreadsheetml.comments+xml"/>
  <Override PartName="/xl/comments88.xml" ContentType="application/vnd.openxmlformats-officedocument.spreadsheetml.comments+xml"/>
  <Override PartName="/xl/comments89.xml" ContentType="application/vnd.openxmlformats-officedocument.spreadsheetml.comments+xml"/>
  <Override PartName="/xl/comments90.xml" ContentType="application/vnd.openxmlformats-officedocument.spreadsheetml.comments+xml"/>
  <Override PartName="/xl/comments91.xml" ContentType="application/vnd.openxmlformats-officedocument.spreadsheetml.comments+xml"/>
  <Override PartName="/xl/comments92.xml" ContentType="application/vnd.openxmlformats-officedocument.spreadsheetml.comments+xml"/>
  <Override PartName="/xl/comments93.xml" ContentType="application/vnd.openxmlformats-officedocument.spreadsheetml.comments+xml"/>
  <Override PartName="/xl/comments94.xml" ContentType="application/vnd.openxmlformats-officedocument.spreadsheetml.comments+xml"/>
  <Override PartName="/xl/comments95.xml" ContentType="application/vnd.openxmlformats-officedocument.spreadsheetml.comments+xml"/>
  <Override PartName="/xl/comments96.xml" ContentType="application/vnd.openxmlformats-officedocument.spreadsheetml.comments+xml"/>
  <Override PartName="/xl/comments97.xml" ContentType="application/vnd.openxmlformats-officedocument.spreadsheetml.comments+xml"/>
  <Override PartName="/xl/comments98.xml" ContentType="application/vnd.openxmlformats-officedocument.spreadsheetml.comments+xml"/>
  <Override PartName="/xl/drawings/drawing7.xml" ContentType="application/vnd.openxmlformats-officedocument.drawing+xml"/>
  <Override PartName="/xl/comments9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C:\Users\woait\Desktop\"/>
    </mc:Choice>
  </mc:AlternateContent>
  <bookViews>
    <workbookView xWindow="0" yWindow="0" windowWidth="28800" windowHeight="12210" tabRatio="929" activeTab="1"/>
  </bookViews>
  <sheets>
    <sheet name="总 " sheetId="343" r:id="rId1"/>
    <sheet name="Sheet1" sheetId="422" r:id="rId2"/>
    <sheet name="广新品牌" sheetId="10" r:id="rId3"/>
    <sheet name="画院" sheetId="11" r:id="rId4"/>
    <sheet name="1015工程项目" sheetId="209" r:id="rId5"/>
    <sheet name="广佛线" sheetId="259" r:id="rId6"/>
    <sheet name="花地河治理" sheetId="260" r:id="rId7"/>
    <sheet name="商业楼主体项目" sheetId="365" r:id="rId8"/>
    <sheet name="商业楼主体项目 (长兴)" sheetId="401" r:id="rId9"/>
    <sheet name="会展中心-商学院" sheetId="287" r:id="rId10"/>
    <sheet name="荔港南湾" sheetId="295" r:id="rId11"/>
    <sheet name="合鸿达大厦" sheetId="297" r:id="rId12"/>
    <sheet name="金沙洲" sheetId="309" r:id="rId13"/>
    <sheet name="大坦沙" sheetId="332" r:id="rId14"/>
    <sheet name="猎德、西朗" sheetId="314" r:id="rId15"/>
    <sheet name="广钢新城" sheetId="154" r:id="rId16"/>
    <sheet name="广钢新城 (2期)" sheetId="364" r:id="rId17"/>
    <sheet name="广钢振业城" sheetId="268" r:id="rId18"/>
    <sheet name="复星南方总部" sheetId="296" r:id="rId19"/>
    <sheet name="复星南方总部 (长兴)" sheetId="414" r:id="rId20"/>
    <sheet name="广商中心" sheetId="381" r:id="rId21"/>
    <sheet name="亚运城" sheetId="415" r:id="rId22"/>
    <sheet name="人和保障性住房（三个标段）" sheetId="33" r:id="rId23"/>
    <sheet name="华盛大学城" sheetId="54" r:id="rId24"/>
    <sheet name="五眼桥" sheetId="55" r:id="rId25"/>
    <sheet name="富林" sheetId="203" r:id="rId26"/>
    <sheet name="武警BC栋" sheetId="57" r:id="rId27"/>
    <sheet name="金沙洲B37E02" sheetId="61" r:id="rId28"/>
    <sheet name="数字家庭" sheetId="62" r:id="rId29"/>
    <sheet name="珠岛花园" sheetId="213" r:id="rId30"/>
    <sheet name="百信广场" sheetId="66" r:id="rId31"/>
    <sheet name="赫基国际大厦" sheetId="224" r:id="rId32"/>
    <sheet name="贵州武警公寓楼" sheetId="71" r:id="rId33"/>
    <sheet name="瑞华武警公寓楼房" sheetId="72" r:id="rId34"/>
    <sheet name="星港国际" sheetId="180" r:id="rId35"/>
    <sheet name="石井污水" sheetId="202" r:id="rId36"/>
    <sheet name="菠萝山二标（标段四）" sheetId="226" r:id="rId37"/>
    <sheet name="污水处理系统管网" sheetId="252" r:id="rId38"/>
    <sheet name="黄埔八标" sheetId="257" r:id="rId39"/>
    <sheet name="奥园国际中心" sheetId="271" r:id="rId40"/>
    <sheet name="钟落潭校区" sheetId="278" r:id="rId41"/>
    <sheet name="大坦沙污水处理" sheetId="282" r:id="rId42"/>
    <sheet name="石井-环西" sheetId="300" r:id="rId43"/>
    <sheet name="云产业园" sheetId="326" r:id="rId44"/>
    <sheet name="东沙大道" sheetId="307" r:id="rId45"/>
    <sheet name="下西关涌" sheetId="80" r:id="rId46"/>
    <sheet name="电白 艺术博物馆" sheetId="81" r:id="rId47"/>
    <sheet name="红棉一标、六标大道" sheetId="85" r:id="rId48"/>
    <sheet name="沥滘马涌" sheetId="182" r:id="rId49"/>
    <sheet name="黄埔东延线七标" sheetId="217" r:id="rId50"/>
    <sheet name="菠萝山三标（南区）" sheetId="223" r:id="rId51"/>
    <sheet name="龙苑城" sheetId="258" r:id="rId52"/>
    <sheet name="南方钢厂" sheetId="408" r:id="rId53"/>
    <sheet name="南方钢厂标段四" sheetId="429" r:id="rId54"/>
    <sheet name="新华污水" sheetId="264" r:id="rId55"/>
    <sheet name="第八医院" sheetId="277" r:id="rId56"/>
    <sheet name="琶洲A区" sheetId="386" r:id="rId57"/>
    <sheet name="动物园工程" sheetId="275" r:id="rId58"/>
    <sheet name="上诚万科新隆沙" sheetId="276" r:id="rId59"/>
    <sheet name="芳村高尔夫地块" sheetId="289" r:id="rId60"/>
    <sheet name="太和镇医院" sheetId="301" r:id="rId61"/>
    <sheet name="新广从路二标" sheetId="302" r:id="rId62"/>
    <sheet name="天宸原著" sheetId="311" r:id="rId63"/>
    <sheet name="中国人民军" sheetId="328" r:id="rId64"/>
    <sheet name="科学城香山路道路" sheetId="337" r:id="rId65"/>
    <sheet name="小谷围大学城二标" sheetId="333" r:id="rId66"/>
    <sheet name="小谷围大学城一标" sheetId="372" r:id="rId67"/>
    <sheet name="小谷围大学城三标" sheetId="373" r:id="rId68"/>
    <sheet name="第一中学" sheetId="339" r:id="rId69"/>
    <sheet name="小东景" sheetId="346" r:id="rId70"/>
    <sheet name="菠萝山" sheetId="347" r:id="rId71"/>
    <sheet name="石榴岗" sheetId="348" r:id="rId72"/>
    <sheet name="科研办公楼" sheetId="359" r:id="rId73"/>
    <sheet name="科研办公楼 (恒盛)" sheetId="377" r:id="rId74"/>
    <sheet name="白云机场商务航空" sheetId="361" r:id="rId75"/>
    <sheet name="医药研究" sheetId="371" r:id="rId76"/>
    <sheet name="天河干休所" sheetId="375" r:id="rId77"/>
    <sheet name="执信中学" sheetId="384" r:id="rId78"/>
    <sheet name="真光中学" sheetId="380" r:id="rId79"/>
    <sheet name="海珠生态城1标" sheetId="385" r:id="rId80"/>
    <sheet name="海珠生态城2标" sheetId="374" r:id="rId81"/>
    <sheet name="生物岛" sheetId="383" r:id="rId82"/>
    <sheet name="上城南站" sheetId="389" r:id="rId83"/>
    <sheet name="花地河" sheetId="391" r:id="rId84"/>
    <sheet name="一江两岸" sheetId="395" r:id="rId85"/>
    <sheet name="美术馆" sheetId="403" r:id="rId86"/>
    <sheet name="呼吸中心" sheetId="405" r:id="rId87"/>
    <sheet name="逸彩中心" sheetId="406" r:id="rId88"/>
    <sheet name="江高镇" sheetId="411" r:id="rId89"/>
    <sheet name="白云嘉禾火车南站" sheetId="418" r:id="rId90"/>
    <sheet name="脑科医院" sheetId="419" r:id="rId91"/>
    <sheet name="保瑞抗癌" sheetId="363" r:id="rId92"/>
    <sheet name="保利琶洲" sheetId="96" r:id="rId93"/>
    <sheet name="石湖停车场" sheetId="94" r:id="rId94"/>
    <sheet name="坑口" sheetId="95" r:id="rId95"/>
    <sheet name="番禺 天骄时代" sheetId="249" r:id="rId96"/>
    <sheet name="雅瑶" sheetId="102" r:id="rId97"/>
    <sheet name="水博苑" sheetId="104" r:id="rId98"/>
    <sheet name="中海广钢幼儿园" sheetId="247" r:id="rId99"/>
    <sheet name="南通广钢" sheetId="191" r:id="rId100"/>
    <sheet name="中太广钢" sheetId="211" r:id="rId101"/>
    <sheet name="恒辉广钢" sheetId="269" r:id="rId102"/>
    <sheet name="红云涂料厂" sheetId="243" r:id="rId103"/>
    <sheet name="东新高速公路" sheetId="245" r:id="rId104"/>
    <sheet name="鸣翠花园" sheetId="255" r:id="rId105"/>
    <sheet name="广铝、远大总部经济大厦" sheetId="256" r:id="rId106"/>
    <sheet name="广纸地块项目" sheetId="273" r:id="rId107"/>
    <sheet name="中诚广钢" sheetId="293" r:id="rId108"/>
    <sheet name="唯品会" sheetId="308" r:id="rId109"/>
    <sheet name="星河湾" sheetId="310" r:id="rId110"/>
    <sheet name="芳村唯品会" sheetId="323" r:id="rId111"/>
    <sheet name="芳村唯品会主体" sheetId="354" r:id="rId112"/>
    <sheet name="江海大厦" sheetId="350" r:id="rId113"/>
    <sheet name="保利广钢" sheetId="387" r:id="rId114"/>
    <sheet name="广钢 0809" sheetId="417" r:id="rId115"/>
    <sheet name="110KV番禺新城" sheetId="396" r:id="rId116"/>
    <sheet name="百花香料厂" sheetId="398" r:id="rId117"/>
    <sheet name="猎德" sheetId="393" r:id="rId118"/>
    <sheet name="华发中央公园" sheetId="402" r:id="rId119"/>
    <sheet name="二沙岛" sheetId="407" r:id="rId120"/>
    <sheet name="省人民医院" sheetId="106" r:id="rId121"/>
    <sheet name="大塘商业中心" sheetId="108" r:id="rId122"/>
    <sheet name="茂达天骄时代" sheetId="111" r:id="rId123"/>
    <sheet name="哥弟总部" sheetId="112" r:id="rId124"/>
    <sheet name="涛景国际 " sheetId="239" r:id="rId125"/>
    <sheet name="南方医院" sheetId="185" r:id="rId126"/>
    <sheet name="侨建 大厦" sheetId="240" r:id="rId127"/>
    <sheet name="盛邦大厦" sheetId="242" r:id="rId128"/>
    <sheet name="海航酒店" sheetId="283" r:id="rId129"/>
    <sheet name="海航酒店 (2期)" sheetId="366" r:id="rId130"/>
    <sheet name="金融城" sheetId="284" r:id="rId131"/>
    <sheet name="慧源山庄" sheetId="317" r:id="rId132"/>
    <sheet name="时代天骄广场" sheetId="320" r:id="rId133"/>
    <sheet name="中岱国际品牌广场" sheetId="321" r:id="rId134"/>
    <sheet name="科技楼" sheetId="327" r:id="rId135"/>
    <sheet name="芳村高尔夫" sheetId="341" r:id="rId136"/>
    <sheet name="变电站及输电监测中心" sheetId="356" r:id="rId137"/>
    <sheet name="冼村" sheetId="357" r:id="rId138"/>
    <sheet name="科大讯飞" sheetId="420" r:id="rId139"/>
    <sheet name="冰交易市场" sheetId="421" r:id="rId140"/>
    <sheet name="云城花海" sheetId="409" r:id="rId141"/>
    <sheet name="华南理工大学" sheetId="376" r:id="rId142"/>
    <sheet name="航空护林" sheetId="319" r:id="rId143"/>
    <sheet name="红十字会" sheetId="370" r:id="rId144"/>
    <sheet name="杨箕村" sheetId="117" r:id="rId145"/>
    <sheet name="杨箕村D栋" sheetId="423" r:id="rId146"/>
    <sheet name="富力海珠城" sheetId="118" r:id="rId147"/>
    <sheet name="天力金沙洲保障房" sheetId="119" r:id="rId148"/>
    <sheet name="金沙洲商业用房" sheetId="425" r:id="rId149"/>
    <sheet name="金沙洲公建五栋" sheetId="424" r:id="rId150"/>
    <sheet name="中煤金沙洲保障房桩部位" sheetId="121" r:id="rId151"/>
    <sheet name="金沙洲保障性住房" sheetId="426" r:id="rId152"/>
    <sheet name="南方钢厂二期二标" sheetId="123" r:id="rId153"/>
    <sheet name="中建三局杨箕村" sheetId="128" r:id="rId154"/>
    <sheet name="广发证券" sheetId="129" r:id="rId155"/>
    <sheet name="小新塘" sheetId="238" r:id="rId156"/>
    <sheet name="小新塘 主体" sheetId="291" r:id="rId157"/>
    <sheet name="碧讯幼儿园" sheetId="266" r:id="rId158"/>
    <sheet name="中慧睿元" sheetId="267" r:id="rId159"/>
    <sheet name="笔村项目" sheetId="298" r:id="rId160"/>
    <sheet name="解放军深圳旭生" sheetId="353" r:id="rId161"/>
    <sheet name="大学城足球训练基地" sheetId="352" r:id="rId162"/>
    <sheet name="广钢新城开拓" sheetId="360" r:id="rId163"/>
    <sheet name="生物岛二地块" sheetId="390" r:id="rId164"/>
    <sheet name="西郊村" sheetId="392" r:id="rId165"/>
    <sheet name="220千伏隧道" sheetId="413" r:id="rId166"/>
    <sheet name="保利M1S2 " sheetId="216" r:id="rId167"/>
    <sheet name="大洲车辆段" sheetId="137" r:id="rId168"/>
    <sheet name="大洲车辆段施工2标" sheetId="138" r:id="rId169"/>
    <sheet name="龙门苑" sheetId="140" r:id="rId170"/>
    <sheet name="兴业国际仓储" sheetId="214" r:id="rId171"/>
    <sheet name="合祥供电项目" sheetId="143" r:id="rId172"/>
    <sheet name="超级计算中心基坑" sheetId="146" r:id="rId173"/>
    <sheet name="超算中心总工程" sheetId="428" r:id="rId174"/>
    <sheet name="国际金融城" sheetId="427" r:id="rId175"/>
    <sheet name="中山大学球场" sheetId="254" r:id="rId176"/>
    <sheet name="农垦科技中心" sheetId="285" r:id="rId177"/>
    <sheet name="佛教文化" sheetId="355" r:id="rId178"/>
    <sheet name="南洲路" sheetId="351" r:id="rId179"/>
    <sheet name="中山大学" sheetId="394" r:id="rId180"/>
    <sheet name="南方航空" sheetId="132" r:id="rId181"/>
    <sheet name="广州大桥" sheetId="161" r:id="rId182"/>
    <sheet name="正升东圃项目" sheetId="163" r:id="rId183"/>
    <sheet name="正升东圃项目 (三期)" sheetId="368" r:id="rId184"/>
    <sheet name="华发广钢新城" sheetId="325" r:id="rId185"/>
    <sheet name="白云国际机场第三跑道" sheetId="362" r:id="rId186"/>
    <sheet name="白云国际机场东区西地块" sheetId="388" r:id="rId187"/>
    <sheet name="第二高速公路" sheetId="397" r:id="rId188"/>
    <sheet name="珠三角广佛线" sheetId="400" r:id="rId189"/>
    <sheet name="侨建大厦" sheetId="169" r:id="rId190"/>
    <sheet name="联合交易园" sheetId="170" r:id="rId191"/>
    <sheet name="菠萝山二标" sheetId="340" r:id="rId192"/>
    <sheet name="金沙洲地块" sheetId="342" r:id="rId193"/>
    <sheet name="新墟村复建" sheetId="195" r:id="rId194"/>
    <sheet name="东圃公交改造工程" sheetId="199" r:id="rId195"/>
    <sheet name="名车博览会" sheetId="204" r:id="rId196"/>
    <sheet name="中三保利广钢新城" sheetId="246" r:id="rId197"/>
    <sheet name="中建三中海广钢" sheetId="280" r:id="rId198"/>
    <sheet name="中交集团南方总部" sheetId="303" r:id="rId199"/>
    <sheet name="国际港航" sheetId="305" r:id="rId200"/>
    <sheet name="出入境边防" sheetId="304" r:id="rId201"/>
    <sheet name="大塘小区" sheetId="174" r:id="rId202"/>
    <sheet name="花都都湖" sheetId="263" r:id="rId203"/>
    <sheet name="小米科技" sheetId="336" r:id="rId204"/>
    <sheet name="恒基中心" sheetId="345" r:id="rId205"/>
    <sheet name="泰康商住楼" sheetId="358" r:id="rId206"/>
    <sheet name="保利广钢0809" sheetId="382" r:id="rId207"/>
    <sheet name="北亭大社涌" sheetId="399" r:id="rId208"/>
    <sheet name="南亭大社涌" sheetId="404" r:id="rId209"/>
    <sheet name="迎宾大道" sheetId="410" r:id="rId210"/>
    <sheet name="医药港" sheetId="270" r:id="rId211"/>
    <sheet name="国光智能电子" sheetId="288" r:id="rId212"/>
    <sheet name="国光智能电子 (泵车费)" sheetId="369" r:id="rId213"/>
    <sheet name="山河广钢" sheetId="290" r:id="rId214"/>
    <sheet name="范围强" sheetId="329" r:id="rId215"/>
    <sheet name="起诉工地" sheetId="175" r:id="rId216"/>
  </sheets>
  <definedNames>
    <definedName name="_xlnm.Print_Area" localSheetId="146">富力海珠城!$A$6:$C$35</definedName>
    <definedName name="_xlnm.Print_Area" localSheetId="22">'人和保障性住房（三个标段）'!$M$107:$P$135</definedName>
  </definedNames>
  <calcPr calcId="162913"/>
</workbook>
</file>

<file path=xl/calcChain.xml><?xml version="1.0" encoding="utf-8"?>
<calcChain xmlns="http://schemas.openxmlformats.org/spreadsheetml/2006/main">
  <c r="A120" i="422" l="1"/>
  <c r="A8" i="422"/>
  <c r="A9" i="422"/>
  <c r="H11" i="429"/>
  <c r="H10" i="429"/>
  <c r="G10" i="429"/>
  <c r="J9" i="429"/>
  <c r="J10" i="429"/>
  <c r="H9" i="429"/>
  <c r="G9" i="429"/>
  <c r="K8" i="429"/>
  <c r="K9" i="429"/>
  <c r="K10" i="429" s="1"/>
  <c r="K11" i="429" s="1"/>
  <c r="G8" i="429"/>
  <c r="G7" i="429"/>
  <c r="E7" i="429"/>
  <c r="E8" i="429"/>
  <c r="D7" i="429"/>
  <c r="D8" i="429"/>
  <c r="D9" i="429" s="1"/>
  <c r="D10" i="429" s="1"/>
  <c r="I25" i="428"/>
  <c r="H24" i="428"/>
  <c r="H23" i="428"/>
  <c r="H22" i="428"/>
  <c r="H21" i="428"/>
  <c r="H20" i="428"/>
  <c r="H19" i="428"/>
  <c r="H18" i="428"/>
  <c r="H17" i="428"/>
  <c r="H16" i="428"/>
  <c r="H15" i="428"/>
  <c r="H14" i="428"/>
  <c r="I13" i="428"/>
  <c r="H13" i="428"/>
  <c r="H9" i="428"/>
  <c r="C9" i="428"/>
  <c r="B9" i="428"/>
  <c r="J8" i="428"/>
  <c r="J9" i="428"/>
  <c r="J10" i="428" s="1"/>
  <c r="J11" i="428" s="1"/>
  <c r="J12" i="428" s="1"/>
  <c r="J13" i="428" s="1"/>
  <c r="J14" i="428" s="1"/>
  <c r="J15" i="428" s="1"/>
  <c r="J16" i="428" s="1"/>
  <c r="J17" i="428" s="1"/>
  <c r="J18" i="428" s="1"/>
  <c r="J19" i="428" s="1"/>
  <c r="J20" i="428" s="1"/>
  <c r="J21" i="428" s="1"/>
  <c r="J22" i="428" s="1"/>
  <c r="J23" i="428" s="1"/>
  <c r="J24" i="428" s="1"/>
  <c r="J25" i="428" s="1"/>
  <c r="J26" i="428" s="1"/>
  <c r="J27" i="428" s="1"/>
  <c r="H8" i="428"/>
  <c r="J7" i="428"/>
  <c r="H7" i="428"/>
  <c r="K6" i="428"/>
  <c r="K7" i="428"/>
  <c r="K8" i="428" s="1"/>
  <c r="K9" i="428" s="1"/>
  <c r="G6" i="428"/>
  <c r="F6" i="428"/>
  <c r="D6" i="428"/>
  <c r="D7" i="428" s="1"/>
  <c r="G5" i="428"/>
  <c r="E5" i="428"/>
  <c r="D5" i="428"/>
  <c r="F5" i="428"/>
  <c r="H29" i="427"/>
  <c r="H28" i="427"/>
  <c r="H27" i="427"/>
  <c r="C26" i="427"/>
  <c r="C25" i="427"/>
  <c r="H26" i="427"/>
  <c r="C24" i="427"/>
  <c r="H25" i="427"/>
  <c r="C23" i="427"/>
  <c r="H24" i="427"/>
  <c r="H22" i="427"/>
  <c r="C22" i="427"/>
  <c r="H23" i="427"/>
  <c r="H21" i="427"/>
  <c r="H20" i="427"/>
  <c r="J19" i="427"/>
  <c r="J20" i="427"/>
  <c r="J21" i="427"/>
  <c r="J22" i="427" s="1"/>
  <c r="J23" i="427" s="1"/>
  <c r="J24" i="427" s="1"/>
  <c r="J25" i="427"/>
  <c r="J26" i="427" s="1"/>
  <c r="J27" i="427" s="1"/>
  <c r="J28" i="427" s="1"/>
  <c r="H19" i="427"/>
  <c r="H18" i="427"/>
  <c r="H17" i="427"/>
  <c r="H16" i="427"/>
  <c r="H15" i="427"/>
  <c r="H14" i="427"/>
  <c r="H13" i="427"/>
  <c r="H12" i="427"/>
  <c r="H11" i="427"/>
  <c r="H10" i="427"/>
  <c r="H9" i="427"/>
  <c r="H8" i="427"/>
  <c r="K8" i="427"/>
  <c r="K9" i="427" s="1"/>
  <c r="K10" i="427" s="1"/>
  <c r="K11" i="427" s="1"/>
  <c r="K12" i="427" s="1"/>
  <c r="K13" i="427" s="1"/>
  <c r="K14" i="427" s="1"/>
  <c r="K15" i="427" s="1"/>
  <c r="K16" i="427" s="1"/>
  <c r="K17" i="427" s="1"/>
  <c r="K18" i="427" s="1"/>
  <c r="K19" i="427" s="1"/>
  <c r="K20" i="427" s="1"/>
  <c r="K21" i="427" s="1"/>
  <c r="K22" i="427" s="1"/>
  <c r="K23" i="427" s="1"/>
  <c r="K24" i="427" s="1"/>
  <c r="K25" i="427" s="1"/>
  <c r="K26" i="427" s="1"/>
  <c r="K27" i="427" s="1"/>
  <c r="K28" i="427" s="1"/>
  <c r="K29" i="427" s="1"/>
  <c r="H7" i="427"/>
  <c r="D7" i="427"/>
  <c r="D8" i="427"/>
  <c r="D9" i="427" s="1"/>
  <c r="D10" i="427" s="1"/>
  <c r="D11" i="427" s="1"/>
  <c r="D12" i="427" s="1"/>
  <c r="D13" i="427" s="1"/>
  <c r="D14" i="427" s="1"/>
  <c r="D15" i="427" s="1"/>
  <c r="D16" i="427" s="1"/>
  <c r="D17" i="427" s="1"/>
  <c r="D18" i="427" s="1"/>
  <c r="D19" i="427" s="1"/>
  <c r="D20" i="427" s="1"/>
  <c r="D21" i="427" s="1"/>
  <c r="D22" i="427" s="1"/>
  <c r="D23" i="427" s="1"/>
  <c r="D24" i="427" s="1"/>
  <c r="D25" i="427" s="1"/>
  <c r="D26" i="427" s="1"/>
  <c r="D27" i="427" s="1"/>
  <c r="D28" i="427" s="1"/>
  <c r="E6" i="427"/>
  <c r="D6" i="427"/>
  <c r="I137" i="422"/>
  <c r="K120" i="422"/>
  <c r="D120" i="422"/>
  <c r="H21" i="426"/>
  <c r="H20" i="426"/>
  <c r="H19" i="426"/>
  <c r="H18" i="426"/>
  <c r="I17" i="426"/>
  <c r="H17" i="426"/>
  <c r="H16" i="426"/>
  <c r="H15" i="426"/>
  <c r="J14" i="426"/>
  <c r="J15" i="426"/>
  <c r="J16" i="426"/>
  <c r="J17" i="426"/>
  <c r="J18" i="426"/>
  <c r="J19" i="426" s="1"/>
  <c r="J20" i="426" s="1"/>
  <c r="J21" i="426" s="1"/>
  <c r="J120" i="422" s="1"/>
  <c r="H14" i="426"/>
  <c r="H13" i="426"/>
  <c r="H12" i="426"/>
  <c r="H11" i="426"/>
  <c r="H10" i="426"/>
  <c r="H9" i="426"/>
  <c r="H8" i="426"/>
  <c r="K8" i="426"/>
  <c r="K9" i="426"/>
  <c r="K10" i="426" s="1"/>
  <c r="K11" i="426" s="1"/>
  <c r="K12" i="426" s="1"/>
  <c r="K13" i="426" s="1"/>
  <c r="K14" i="426" s="1"/>
  <c r="K15" i="426" s="1"/>
  <c r="K16" i="426" s="1"/>
  <c r="K17" i="426"/>
  <c r="K18" i="426" s="1"/>
  <c r="K19" i="426" s="1"/>
  <c r="K20" i="426" s="1"/>
  <c r="K21" i="426" s="1"/>
  <c r="D8" i="426"/>
  <c r="D9" i="426"/>
  <c r="D10" i="426"/>
  <c r="D11" i="426" s="1"/>
  <c r="D12" i="426" s="1"/>
  <c r="D13" i="426" s="1"/>
  <c r="D14" i="426" s="1"/>
  <c r="D15" i="426" s="1"/>
  <c r="D16" i="426" s="1"/>
  <c r="D17" i="426" s="1"/>
  <c r="D18" i="426" s="1"/>
  <c r="D19" i="426" s="1"/>
  <c r="D20" i="426" s="1"/>
  <c r="D21" i="426" s="1"/>
  <c r="E120" i="422" s="1"/>
  <c r="E7" i="426"/>
  <c r="D7" i="426"/>
  <c r="K119" i="422"/>
  <c r="I119" i="422"/>
  <c r="E119" i="422"/>
  <c r="D119" i="422"/>
  <c r="A119" i="422"/>
  <c r="K118" i="422"/>
  <c r="J118" i="422"/>
  <c r="D118" i="422"/>
  <c r="A118" i="422"/>
  <c r="H43" i="425"/>
  <c r="J42" i="425"/>
  <c r="H42" i="425"/>
  <c r="H41" i="425"/>
  <c r="H40" i="425"/>
  <c r="H39" i="425"/>
  <c r="H38" i="425"/>
  <c r="H37" i="425"/>
  <c r="H36" i="425"/>
  <c r="H35" i="425"/>
  <c r="H34" i="425"/>
  <c r="H33" i="425"/>
  <c r="H32" i="425"/>
  <c r="H31" i="425"/>
  <c r="H30" i="425"/>
  <c r="H29" i="425"/>
  <c r="H28" i="425"/>
  <c r="H27" i="425"/>
  <c r="H26" i="425"/>
  <c r="H25" i="425"/>
  <c r="H24" i="425"/>
  <c r="H23" i="425"/>
  <c r="H22" i="425"/>
  <c r="H21" i="425"/>
  <c r="H20" i="425"/>
  <c r="H19" i="425"/>
  <c r="H18" i="425"/>
  <c r="H17" i="425"/>
  <c r="H16" i="425"/>
  <c r="H15" i="425"/>
  <c r="H14" i="425"/>
  <c r="H13" i="425"/>
  <c r="H12" i="425"/>
  <c r="H11" i="425"/>
  <c r="H10" i="425"/>
  <c r="H9" i="425"/>
  <c r="K9" i="425" s="1"/>
  <c r="K10" i="425" s="1"/>
  <c r="K11" i="425" s="1"/>
  <c r="K12" i="425" s="1"/>
  <c r="K13" i="425" s="1"/>
  <c r="K14" i="425" s="1"/>
  <c r="K15" i="425" s="1"/>
  <c r="K16" i="425" s="1"/>
  <c r="K17" i="425" s="1"/>
  <c r="K18" i="425" s="1"/>
  <c r="K19" i="425" s="1"/>
  <c r="K20" i="425" s="1"/>
  <c r="K21" i="425" s="1"/>
  <c r="K22" i="425" s="1"/>
  <c r="K23" i="425" s="1"/>
  <c r="K24" i="425" s="1"/>
  <c r="K25" i="425" s="1"/>
  <c r="K26" i="425" s="1"/>
  <c r="K27" i="425" s="1"/>
  <c r="K28" i="425" s="1"/>
  <c r="K29" i="425" s="1"/>
  <c r="K30" i="425" s="1"/>
  <c r="K31" i="425" s="1"/>
  <c r="K32" i="425" s="1"/>
  <c r="K33" i="425" s="1"/>
  <c r="K34" i="425" s="1"/>
  <c r="K35" i="425" s="1"/>
  <c r="K36" i="425" s="1"/>
  <c r="K37" i="425" s="1"/>
  <c r="K38" i="425" s="1"/>
  <c r="K39" i="425" s="1"/>
  <c r="K40" i="425" s="1"/>
  <c r="K41" i="425" s="1"/>
  <c r="K42" i="425" s="1"/>
  <c r="H8" i="425"/>
  <c r="K8" i="425"/>
  <c r="D8" i="425"/>
  <c r="D9" i="425" s="1"/>
  <c r="D10" i="425" s="1"/>
  <c r="D11" i="425" s="1"/>
  <c r="D12" i="425" s="1"/>
  <c r="D13" i="425" s="1"/>
  <c r="D14" i="425" s="1"/>
  <c r="D15" i="425" s="1"/>
  <c r="D16" i="425" s="1"/>
  <c r="D17" i="425" s="1"/>
  <c r="D18" i="425" s="1"/>
  <c r="D19" i="425" s="1"/>
  <c r="D20" i="425" s="1"/>
  <c r="D21" i="425" s="1"/>
  <c r="D22" i="425" s="1"/>
  <c r="D23" i="425" s="1"/>
  <c r="D24" i="425" s="1"/>
  <c r="D25" i="425" s="1"/>
  <c r="D26" i="425" s="1"/>
  <c r="D27" i="425" s="1"/>
  <c r="D28" i="425" s="1"/>
  <c r="D29" i="425" s="1"/>
  <c r="D30" i="425" s="1"/>
  <c r="D31" i="425" s="1"/>
  <c r="D32" i="425" s="1"/>
  <c r="D33" i="425" s="1"/>
  <c r="D34" i="425" s="1"/>
  <c r="D35" i="425" s="1"/>
  <c r="D36" i="425" s="1"/>
  <c r="D37" i="425" s="1"/>
  <c r="D38" i="425" s="1"/>
  <c r="D39" i="425" s="1"/>
  <c r="D40" i="425" s="1"/>
  <c r="D41" i="425" s="1"/>
  <c r="D42" i="425" s="1"/>
  <c r="E118" i="422" s="1"/>
  <c r="E7" i="425"/>
  <c r="D7" i="425"/>
  <c r="C7" i="424"/>
  <c r="E7" i="424"/>
  <c r="F119" i="422" s="1"/>
  <c r="B7" i="424"/>
  <c r="D7" i="424"/>
  <c r="K115" i="422"/>
  <c r="D115" i="422"/>
  <c r="A115" i="422"/>
  <c r="D114" i="422"/>
  <c r="A114" i="422"/>
  <c r="H42" i="423"/>
  <c r="H41" i="423"/>
  <c r="G41" i="423"/>
  <c r="H40" i="423"/>
  <c r="G40" i="423"/>
  <c r="H39" i="423"/>
  <c r="G39" i="423"/>
  <c r="H38" i="423"/>
  <c r="G38" i="423"/>
  <c r="H37" i="423"/>
  <c r="G37" i="423"/>
  <c r="H36" i="423"/>
  <c r="G36" i="423"/>
  <c r="H35" i="423"/>
  <c r="G35" i="423"/>
  <c r="H34" i="423"/>
  <c r="G34" i="423"/>
  <c r="H33" i="423"/>
  <c r="G33" i="423"/>
  <c r="H32" i="423"/>
  <c r="G32" i="423"/>
  <c r="H31" i="423"/>
  <c r="G31" i="423"/>
  <c r="H30" i="423"/>
  <c r="G30" i="423"/>
  <c r="G29" i="423"/>
  <c r="I28" i="423"/>
  <c r="G28" i="423"/>
  <c r="H26" i="423"/>
  <c r="H25" i="423"/>
  <c r="H24" i="423"/>
  <c r="H23" i="423"/>
  <c r="I22" i="423"/>
  <c r="H22" i="423"/>
  <c r="C19" i="423"/>
  <c r="H21" i="423" s="1"/>
  <c r="B19" i="423"/>
  <c r="J18" i="423"/>
  <c r="J19" i="423"/>
  <c r="J20" i="423"/>
  <c r="J21" i="423"/>
  <c r="J22" i="423" s="1"/>
  <c r="J23" i="423" s="1"/>
  <c r="J24" i="423" s="1"/>
  <c r="J25" i="423"/>
  <c r="J26" i="423" s="1"/>
  <c r="J27" i="423" s="1"/>
  <c r="J28" i="423" s="1"/>
  <c r="J29" i="423" s="1"/>
  <c r="J30" i="423" s="1"/>
  <c r="J31" i="423" s="1"/>
  <c r="J32" i="423" s="1"/>
  <c r="J33" i="423" s="1"/>
  <c r="J34" i="423" s="1"/>
  <c r="J35" i="423" s="1"/>
  <c r="J36" i="423" s="1"/>
  <c r="J37" i="423" s="1"/>
  <c r="J38" i="423" s="1"/>
  <c r="J39" i="423" s="1"/>
  <c r="J40" i="423" s="1"/>
  <c r="J41" i="423"/>
  <c r="J115" i="422" s="1"/>
  <c r="H18" i="423"/>
  <c r="C18" i="423"/>
  <c r="H20" i="423"/>
  <c r="B18" i="423"/>
  <c r="J17" i="423"/>
  <c r="H17" i="423"/>
  <c r="C17" i="423"/>
  <c r="B17" i="423"/>
  <c r="H16" i="423"/>
  <c r="H15" i="423"/>
  <c r="H14" i="423"/>
  <c r="H13" i="423"/>
  <c r="H12" i="423"/>
  <c r="H11" i="423"/>
  <c r="H10" i="423"/>
  <c r="K9" i="423"/>
  <c r="K10" i="423" s="1"/>
  <c r="K11" i="423" s="1"/>
  <c r="K12" i="423" s="1"/>
  <c r="K13" i="423" s="1"/>
  <c r="K14" i="423" s="1"/>
  <c r="K15" i="423" s="1"/>
  <c r="K16" i="423" s="1"/>
  <c r="K17" i="423" s="1"/>
  <c r="K18" i="423" s="1"/>
  <c r="H9" i="423"/>
  <c r="G8" i="423"/>
  <c r="G7" i="423"/>
  <c r="E7" i="423"/>
  <c r="E8" i="423"/>
  <c r="G9" i="423" s="1"/>
  <c r="D7" i="423"/>
  <c r="D8" i="423"/>
  <c r="D9" i="423"/>
  <c r="D10" i="423"/>
  <c r="D11" i="423"/>
  <c r="D12" i="423" s="1"/>
  <c r="D13" i="423" s="1"/>
  <c r="D14" i="423" s="1"/>
  <c r="D15" i="423" s="1"/>
  <c r="D16" i="423" s="1"/>
  <c r="D17" i="423" s="1"/>
  <c r="D18" i="423" s="1"/>
  <c r="D19" i="423" s="1"/>
  <c r="D20" i="423" s="1"/>
  <c r="D21" i="423" s="1"/>
  <c r="D22" i="423" s="1"/>
  <c r="D23" i="423" s="1"/>
  <c r="D24" i="423" s="1"/>
  <c r="D25" i="423" s="1"/>
  <c r="D26" i="423" s="1"/>
  <c r="D27" i="423"/>
  <c r="D28" i="423" s="1"/>
  <c r="D29" i="423" s="1"/>
  <c r="D30" i="423" s="1"/>
  <c r="D31" i="423" s="1"/>
  <c r="D32" i="423" s="1"/>
  <c r="D33" i="423" s="1"/>
  <c r="D34" i="423" s="1"/>
  <c r="D35" i="423" s="1"/>
  <c r="D36" i="423" s="1"/>
  <c r="D37" i="423" s="1"/>
  <c r="D38" i="423" s="1"/>
  <c r="D39" i="423" s="1"/>
  <c r="D40" i="423" s="1"/>
  <c r="D41" i="423" s="1"/>
  <c r="E115" i="422" s="1"/>
  <c r="K9" i="422"/>
  <c r="J9" i="422"/>
  <c r="I9" i="422"/>
  <c r="F9" i="422"/>
  <c r="E9" i="422"/>
  <c r="D9" i="422"/>
  <c r="D8" i="422"/>
  <c r="P28" i="240"/>
  <c r="J186" i="422"/>
  <c r="I186" i="422"/>
  <c r="D186" i="422"/>
  <c r="A186" i="422"/>
  <c r="D185" i="422"/>
  <c r="A185" i="422"/>
  <c r="K181" i="422"/>
  <c r="D181" i="422"/>
  <c r="A181" i="422"/>
  <c r="K177" i="422"/>
  <c r="J177" i="422"/>
  <c r="I177" i="422"/>
  <c r="F177" i="422"/>
  <c r="E177" i="422"/>
  <c r="D177" i="422"/>
  <c r="A177" i="422"/>
  <c r="K176" i="422"/>
  <c r="J176" i="422"/>
  <c r="I176" i="422"/>
  <c r="D176" i="422"/>
  <c r="A176" i="422"/>
  <c r="K175" i="422"/>
  <c r="J175" i="422"/>
  <c r="I175" i="422"/>
  <c r="F175" i="422"/>
  <c r="E175" i="422"/>
  <c r="D175" i="422"/>
  <c r="A175" i="422"/>
  <c r="K174" i="422"/>
  <c r="J174" i="422"/>
  <c r="I174" i="422"/>
  <c r="F174" i="422"/>
  <c r="E174" i="422"/>
  <c r="D174" i="422"/>
  <c r="A174" i="422"/>
  <c r="J173" i="422"/>
  <c r="D173" i="422"/>
  <c r="A173" i="422"/>
  <c r="J172" i="422"/>
  <c r="D172" i="422"/>
  <c r="A172" i="422"/>
  <c r="D171" i="422"/>
  <c r="A171" i="422"/>
  <c r="K170" i="422"/>
  <c r="J170" i="422"/>
  <c r="I170" i="422"/>
  <c r="F170" i="422"/>
  <c r="E170" i="422"/>
  <c r="D170" i="422"/>
  <c r="A170" i="422"/>
  <c r="K169" i="422"/>
  <c r="J169" i="422"/>
  <c r="I169" i="422"/>
  <c r="F169" i="422"/>
  <c r="E169" i="422"/>
  <c r="D169" i="422"/>
  <c r="A169" i="422"/>
  <c r="D168" i="422"/>
  <c r="A168" i="422"/>
  <c r="K167" i="422"/>
  <c r="J167" i="422"/>
  <c r="I167" i="422"/>
  <c r="F167" i="422"/>
  <c r="E167" i="422"/>
  <c r="D167" i="422"/>
  <c r="A167" i="422"/>
  <c r="D166" i="422"/>
  <c r="A166" i="422"/>
  <c r="K161" i="422"/>
  <c r="D161" i="422"/>
  <c r="A161" i="422"/>
  <c r="K159" i="422"/>
  <c r="I159" i="422"/>
  <c r="D159" i="422"/>
  <c r="A159" i="422"/>
  <c r="K155" i="422"/>
  <c r="J155" i="422"/>
  <c r="I155" i="422"/>
  <c r="F155" i="422"/>
  <c r="E155" i="422"/>
  <c r="D155" i="422"/>
  <c r="A155" i="422"/>
  <c r="D154" i="422"/>
  <c r="A154" i="422"/>
  <c r="D153" i="422"/>
  <c r="A153" i="422"/>
  <c r="K152" i="422"/>
  <c r="J152" i="422"/>
  <c r="I152" i="422"/>
  <c r="F152" i="422"/>
  <c r="E152" i="422"/>
  <c r="D152" i="422"/>
  <c r="A152" i="422"/>
  <c r="D142" i="422"/>
  <c r="A142" i="422"/>
  <c r="D141" i="422"/>
  <c r="A141" i="422"/>
  <c r="D140" i="422"/>
  <c r="A140" i="422"/>
  <c r="D139" i="422"/>
  <c r="A139" i="422"/>
  <c r="D138" i="422"/>
  <c r="A138" i="422"/>
  <c r="K137" i="422"/>
  <c r="J137" i="422"/>
  <c r="F137" i="422"/>
  <c r="E137" i="422"/>
  <c r="D137" i="422"/>
  <c r="A137" i="422"/>
  <c r="D136" i="422"/>
  <c r="A136" i="422"/>
  <c r="K135" i="422"/>
  <c r="J135" i="422"/>
  <c r="I135" i="422"/>
  <c r="F135" i="422"/>
  <c r="E135" i="422"/>
  <c r="D135" i="422"/>
  <c r="A135" i="422"/>
  <c r="J131" i="422"/>
  <c r="D131" i="422"/>
  <c r="A131" i="422"/>
  <c r="D130" i="422"/>
  <c r="A130" i="422"/>
  <c r="D129" i="422"/>
  <c r="A129" i="422"/>
  <c r="D128" i="422"/>
  <c r="A128" i="422"/>
  <c r="D127" i="422"/>
  <c r="A127" i="422"/>
  <c r="K126" i="422"/>
  <c r="J126" i="422"/>
  <c r="I126" i="422"/>
  <c r="F126" i="422"/>
  <c r="E126" i="422"/>
  <c r="D126" i="422"/>
  <c r="A126" i="422"/>
  <c r="D125" i="422"/>
  <c r="A125" i="422"/>
  <c r="D124" i="422"/>
  <c r="A124" i="422"/>
  <c r="D123" i="422"/>
  <c r="A123" i="422"/>
  <c r="D122" i="422"/>
  <c r="A122" i="422"/>
  <c r="A121" i="422"/>
  <c r="D121" i="422"/>
  <c r="D117" i="422"/>
  <c r="A117" i="422"/>
  <c r="D116" i="422"/>
  <c r="A116" i="422"/>
  <c r="D110" i="422"/>
  <c r="A110" i="422"/>
  <c r="D109" i="422"/>
  <c r="A109" i="422"/>
  <c r="K108" i="422"/>
  <c r="D108" i="422"/>
  <c r="A108" i="422"/>
  <c r="K107" i="422"/>
  <c r="J107" i="422"/>
  <c r="I107" i="422"/>
  <c r="F107" i="422"/>
  <c r="E107" i="422"/>
  <c r="D107" i="422"/>
  <c r="A107" i="422"/>
  <c r="D106" i="422"/>
  <c r="A106" i="422"/>
  <c r="D105" i="422"/>
  <c r="A105" i="422"/>
  <c r="D104" i="422"/>
  <c r="A104" i="422"/>
  <c r="D160" i="422"/>
  <c r="A160" i="422"/>
  <c r="D103" i="422"/>
  <c r="A103" i="422"/>
  <c r="D102" i="422"/>
  <c r="A102" i="422"/>
  <c r="D101" i="422"/>
  <c r="A101" i="422"/>
  <c r="K100" i="422"/>
  <c r="D100" i="422"/>
  <c r="A100" i="422"/>
  <c r="K99" i="422"/>
  <c r="D99" i="422"/>
  <c r="A99" i="422"/>
  <c r="D98" i="422"/>
  <c r="A98" i="422"/>
  <c r="D97" i="422"/>
  <c r="A97" i="422"/>
  <c r="J92" i="422"/>
  <c r="D92" i="422"/>
  <c r="A92" i="422"/>
  <c r="K91" i="422"/>
  <c r="J91" i="422"/>
  <c r="I91" i="422"/>
  <c r="F91" i="422"/>
  <c r="E91" i="422"/>
  <c r="D91" i="422"/>
  <c r="A91" i="422"/>
  <c r="D90" i="422"/>
  <c r="A90" i="422"/>
  <c r="K89" i="422"/>
  <c r="J89" i="422"/>
  <c r="I89" i="422"/>
  <c r="F89" i="422"/>
  <c r="E89" i="422"/>
  <c r="D89" i="422"/>
  <c r="A89" i="422"/>
  <c r="K88" i="422"/>
  <c r="J88" i="422"/>
  <c r="I88" i="422"/>
  <c r="F88" i="422"/>
  <c r="E88" i="422"/>
  <c r="D88" i="422"/>
  <c r="A88" i="422"/>
  <c r="K87" i="422"/>
  <c r="J87" i="422"/>
  <c r="I87" i="422"/>
  <c r="F87" i="422"/>
  <c r="E87" i="422"/>
  <c r="D87" i="422"/>
  <c r="A87" i="422"/>
  <c r="J86" i="422"/>
  <c r="D86" i="422"/>
  <c r="A86" i="422"/>
  <c r="K85" i="422"/>
  <c r="J85" i="422"/>
  <c r="I85" i="422"/>
  <c r="F85" i="422"/>
  <c r="E85" i="422"/>
  <c r="D85" i="422"/>
  <c r="A85" i="422"/>
  <c r="D84" i="422"/>
  <c r="A84" i="422"/>
  <c r="K83" i="422"/>
  <c r="J83" i="422"/>
  <c r="I83" i="422"/>
  <c r="F83" i="422"/>
  <c r="E83" i="422"/>
  <c r="D83" i="422"/>
  <c r="A83" i="422"/>
  <c r="D82" i="422"/>
  <c r="A82" i="422"/>
  <c r="D81" i="422"/>
  <c r="A81" i="422"/>
  <c r="D80" i="422"/>
  <c r="A80" i="422"/>
  <c r="K79" i="422"/>
  <c r="J79" i="422"/>
  <c r="I79" i="422"/>
  <c r="F79" i="422"/>
  <c r="E79" i="422"/>
  <c r="D79" i="422"/>
  <c r="A79" i="422"/>
  <c r="I78" i="422"/>
  <c r="D78" i="422"/>
  <c r="A78" i="422"/>
  <c r="D77" i="422"/>
  <c r="A77" i="422"/>
  <c r="K76" i="422"/>
  <c r="J76" i="422"/>
  <c r="H76" i="422" s="1"/>
  <c r="I76" i="422"/>
  <c r="F76" i="422"/>
  <c r="E76" i="422"/>
  <c r="D76" i="422"/>
  <c r="A76" i="422"/>
  <c r="K75" i="422"/>
  <c r="I75" i="422"/>
  <c r="D75" i="422"/>
  <c r="A75" i="422"/>
  <c r="D74" i="422"/>
  <c r="A74" i="422"/>
  <c r="K73" i="422"/>
  <c r="J73" i="422"/>
  <c r="I73" i="422"/>
  <c r="F73" i="422"/>
  <c r="E73" i="422"/>
  <c r="D73" i="422"/>
  <c r="A73" i="422"/>
  <c r="K70" i="422"/>
  <c r="J70" i="422"/>
  <c r="I70" i="422"/>
  <c r="D70" i="422"/>
  <c r="A70" i="422"/>
  <c r="D69" i="422"/>
  <c r="A69" i="422"/>
  <c r="J68" i="422"/>
  <c r="D68" i="422"/>
  <c r="A68" i="422"/>
  <c r="D67" i="422"/>
  <c r="A67" i="422"/>
  <c r="D66" i="422"/>
  <c r="A66" i="422"/>
  <c r="I65" i="422"/>
  <c r="D65" i="422"/>
  <c r="A65" i="422"/>
  <c r="D64" i="422"/>
  <c r="A64" i="422"/>
  <c r="D63" i="422"/>
  <c r="A63" i="422"/>
  <c r="D62" i="422"/>
  <c r="A62" i="422"/>
  <c r="K61" i="422"/>
  <c r="J61" i="422"/>
  <c r="I61" i="422"/>
  <c r="F61" i="422"/>
  <c r="E61" i="422"/>
  <c r="D61" i="422"/>
  <c r="A61" i="422"/>
  <c r="D60" i="422"/>
  <c r="A60" i="422"/>
  <c r="J59" i="422"/>
  <c r="D59" i="422"/>
  <c r="A59" i="422"/>
  <c r="K58" i="422"/>
  <c r="J58" i="422"/>
  <c r="D58" i="422"/>
  <c r="A58" i="422"/>
  <c r="D57" i="422"/>
  <c r="A57" i="422"/>
  <c r="D56" i="422"/>
  <c r="A56" i="422"/>
  <c r="D55" i="422"/>
  <c r="A55" i="422"/>
  <c r="D54" i="422"/>
  <c r="A54" i="422"/>
  <c r="D53" i="422"/>
  <c r="A53" i="422"/>
  <c r="D52" i="422"/>
  <c r="A52" i="422"/>
  <c r="D51" i="422"/>
  <c r="A51" i="422"/>
  <c r="D50" i="422"/>
  <c r="A50" i="422"/>
  <c r="K49" i="422"/>
  <c r="D49" i="422"/>
  <c r="A49" i="422"/>
  <c r="D48" i="422"/>
  <c r="A48" i="422"/>
  <c r="D47" i="422"/>
  <c r="A47" i="422"/>
  <c r="D46" i="422"/>
  <c r="A46" i="422"/>
  <c r="D45" i="422"/>
  <c r="A45" i="422"/>
  <c r="D44" i="422"/>
  <c r="A44" i="422"/>
  <c r="D43" i="422"/>
  <c r="A43" i="422"/>
  <c r="K42" i="422"/>
  <c r="J42" i="422"/>
  <c r="I42" i="422"/>
  <c r="D42" i="422"/>
  <c r="A42" i="422"/>
  <c r="D41" i="422"/>
  <c r="A41" i="422"/>
  <c r="D40" i="422"/>
  <c r="A40" i="422"/>
  <c r="D39" i="422"/>
  <c r="A39" i="422"/>
  <c r="K35" i="422"/>
  <c r="J35" i="422"/>
  <c r="I35" i="422"/>
  <c r="F35" i="422"/>
  <c r="E35" i="422"/>
  <c r="D35" i="422"/>
  <c r="A35" i="422"/>
  <c r="D34" i="422"/>
  <c r="A34" i="422"/>
  <c r="K33" i="422"/>
  <c r="D33" i="422"/>
  <c r="A33" i="422"/>
  <c r="D32" i="422"/>
  <c r="A32" i="422"/>
  <c r="D31" i="422"/>
  <c r="A31" i="422"/>
  <c r="D30" i="422"/>
  <c r="A30" i="422"/>
  <c r="D29" i="422"/>
  <c r="A29" i="422"/>
  <c r="D28" i="422"/>
  <c r="A28" i="422"/>
  <c r="K27" i="422"/>
  <c r="I27" i="422"/>
  <c r="D27" i="422"/>
  <c r="A27" i="422"/>
  <c r="D26" i="422"/>
  <c r="A26" i="422"/>
  <c r="D25" i="422"/>
  <c r="A25" i="422"/>
  <c r="J24" i="422"/>
  <c r="F24" i="422"/>
  <c r="E24" i="422"/>
  <c r="D24" i="422"/>
  <c r="A24" i="422"/>
  <c r="D23" i="422"/>
  <c r="A23" i="422"/>
  <c r="D22" i="422"/>
  <c r="A22" i="422"/>
  <c r="D21" i="422"/>
  <c r="A21" i="422"/>
  <c r="D17" i="422"/>
  <c r="A17" i="422"/>
  <c r="K16" i="422"/>
  <c r="J16" i="422"/>
  <c r="I16" i="422"/>
  <c r="F16" i="422"/>
  <c r="E16" i="422"/>
  <c r="D16" i="422"/>
  <c r="A16" i="422"/>
  <c r="K15" i="422"/>
  <c r="J15" i="422"/>
  <c r="I15" i="422"/>
  <c r="F15" i="422"/>
  <c r="E15" i="422"/>
  <c r="D15" i="422"/>
  <c r="A15" i="422"/>
  <c r="K14" i="422"/>
  <c r="J14" i="422"/>
  <c r="I14" i="422"/>
  <c r="F14" i="422"/>
  <c r="E14" i="422"/>
  <c r="D14" i="422"/>
  <c r="A14" i="422"/>
  <c r="D13" i="422"/>
  <c r="A13" i="422"/>
  <c r="D12" i="422"/>
  <c r="A12" i="422"/>
  <c r="K11" i="422"/>
  <c r="J11" i="422"/>
  <c r="I11" i="422"/>
  <c r="F11" i="422"/>
  <c r="E11" i="422"/>
  <c r="D11" i="422"/>
  <c r="A11" i="422"/>
  <c r="D10" i="422"/>
  <c r="A10" i="422"/>
  <c r="D7" i="422"/>
  <c r="A7" i="422"/>
  <c r="D6" i="422"/>
  <c r="A6" i="422"/>
  <c r="D4" i="422"/>
  <c r="A4" i="422"/>
  <c r="K3" i="422"/>
  <c r="D3" i="422"/>
  <c r="A3" i="422"/>
  <c r="K5" i="422"/>
  <c r="D5" i="422"/>
  <c r="A5" i="422"/>
  <c r="H93" i="422"/>
  <c r="D8" i="10"/>
  <c r="F8" i="10" s="1"/>
  <c r="E8" i="10"/>
  <c r="L8" i="10"/>
  <c r="E9" i="10"/>
  <c r="H9" i="10"/>
  <c r="K9" i="10"/>
  <c r="K10" i="10" s="1"/>
  <c r="K11" i="10" s="1"/>
  <c r="K12" i="10" s="1"/>
  <c r="K13" i="10" s="1"/>
  <c r="K14" i="10" s="1"/>
  <c r="K15" i="10" s="1"/>
  <c r="K16" i="10" s="1"/>
  <c r="K17" i="10" s="1"/>
  <c r="K18" i="10" s="1"/>
  <c r="K19" i="10" s="1"/>
  <c r="K20" i="10" s="1"/>
  <c r="K21" i="10" s="1"/>
  <c r="L9" i="10"/>
  <c r="E10" i="10"/>
  <c r="E11" i="10" s="1"/>
  <c r="E12" i="10" s="1"/>
  <c r="H10" i="10"/>
  <c r="J10" i="10"/>
  <c r="H11" i="10"/>
  <c r="J11" i="10"/>
  <c r="H12" i="10"/>
  <c r="J12" i="10"/>
  <c r="E13" i="10"/>
  <c r="H13" i="10"/>
  <c r="J13" i="10"/>
  <c r="J14" i="10" s="1"/>
  <c r="J15" i="10" s="1"/>
  <c r="H14" i="10"/>
  <c r="H15" i="10"/>
  <c r="H16" i="10"/>
  <c r="J16" i="10"/>
  <c r="H17" i="10"/>
  <c r="J17" i="10"/>
  <c r="J18" i="10" s="1"/>
  <c r="J19" i="10" s="1"/>
  <c r="H18" i="10"/>
  <c r="H19" i="10"/>
  <c r="H20" i="10"/>
  <c r="J20" i="10"/>
  <c r="H21" i="10"/>
  <c r="J21" i="10"/>
  <c r="J22" i="10" s="1"/>
  <c r="J23" i="10" s="1"/>
  <c r="J24" i="10" s="1"/>
  <c r="J25" i="10" s="1"/>
  <c r="J26" i="10" s="1"/>
  <c r="J27" i="10" s="1"/>
  <c r="J28" i="10" s="1"/>
  <c r="J29" i="10" s="1"/>
  <c r="J30" i="10" s="1"/>
  <c r="J31" i="10" s="1"/>
  <c r="J32" i="10" s="1"/>
  <c r="J33" i="10" s="1"/>
  <c r="J34" i="10" s="1"/>
  <c r="J3" i="422" s="1"/>
  <c r="H25" i="10"/>
  <c r="H26" i="10"/>
  <c r="H27" i="10"/>
  <c r="H28" i="10"/>
  <c r="H29" i="10"/>
  <c r="H30" i="10"/>
  <c r="H31" i="10"/>
  <c r="H32" i="10"/>
  <c r="D7" i="11"/>
  <c r="D8" i="11" s="1"/>
  <c r="D9" i="11" s="1"/>
  <c r="D10" i="11" s="1"/>
  <c r="D11" i="11" s="1"/>
  <c r="D12" i="11" s="1"/>
  <c r="E7" i="11"/>
  <c r="L7" i="11" s="1"/>
  <c r="E8" i="11"/>
  <c r="L8" i="11" s="1"/>
  <c r="H8" i="11"/>
  <c r="K8" i="11" s="1"/>
  <c r="K9" i="11" s="1"/>
  <c r="K10" i="11" s="1"/>
  <c r="K11" i="11" s="1"/>
  <c r="K12" i="11" s="1"/>
  <c r="H9" i="11"/>
  <c r="J9" i="11"/>
  <c r="H10" i="11"/>
  <c r="J10" i="11"/>
  <c r="J11" i="11" s="1"/>
  <c r="J12" i="11" s="1"/>
  <c r="H11" i="11"/>
  <c r="H12" i="11"/>
  <c r="D19" i="11"/>
  <c r="D20" i="11" s="1"/>
  <c r="E19" i="11"/>
  <c r="L19" i="11" s="1"/>
  <c r="E20" i="11"/>
  <c r="H20" i="11"/>
  <c r="K20" i="11" s="1"/>
  <c r="K21" i="11" s="1"/>
  <c r="K22" i="11" s="1"/>
  <c r="K23" i="11" s="1"/>
  <c r="J20" i="11"/>
  <c r="D21" i="11"/>
  <c r="D22" i="11" s="1"/>
  <c r="D23" i="11" s="1"/>
  <c r="D24" i="11" s="1"/>
  <c r="D25" i="11" s="1"/>
  <c r="D26" i="11" s="1"/>
  <c r="D27" i="11" s="1"/>
  <c r="D28" i="11" s="1"/>
  <c r="D29" i="11" s="1"/>
  <c r="D30" i="11" s="1"/>
  <c r="D31" i="11" s="1"/>
  <c r="D32" i="11" s="1"/>
  <c r="D33" i="11" s="1"/>
  <c r="D34" i="11" s="1"/>
  <c r="D35" i="11" s="1"/>
  <c r="D36" i="11" s="1"/>
  <c r="D37" i="11" s="1"/>
  <c r="D38" i="11" s="1"/>
  <c r="D39" i="11" s="1"/>
  <c r="D40" i="11" s="1"/>
  <c r="D41" i="11" s="1"/>
  <c r="D42" i="11" s="1"/>
  <c r="D43" i="11" s="1"/>
  <c r="D44" i="11" s="1"/>
  <c r="D45" i="11" s="1"/>
  <c r="D46" i="11" s="1"/>
  <c r="D47" i="11" s="1"/>
  <c r="D48" i="11" s="1"/>
  <c r="D49" i="11" s="1"/>
  <c r="D50" i="11" s="1"/>
  <c r="E4" i="422" s="1"/>
  <c r="H21" i="11"/>
  <c r="J21" i="11"/>
  <c r="J22" i="11" s="1"/>
  <c r="H22" i="11"/>
  <c r="H23" i="11"/>
  <c r="I23" i="11"/>
  <c r="J23" i="11"/>
  <c r="H24" i="11"/>
  <c r="H25" i="11"/>
  <c r="H26" i="11"/>
  <c r="H27" i="11"/>
  <c r="H28" i="11"/>
  <c r="I28" i="11"/>
  <c r="H29" i="11"/>
  <c r="H30" i="11"/>
  <c r="I30" i="11"/>
  <c r="H31" i="11"/>
  <c r="H32" i="11"/>
  <c r="I32" i="11"/>
  <c r="H33" i="11"/>
  <c r="H34" i="11"/>
  <c r="H35" i="11"/>
  <c r="H36" i="11"/>
  <c r="H37" i="11"/>
  <c r="H38" i="11"/>
  <c r="H39" i="11"/>
  <c r="H40" i="11"/>
  <c r="H41" i="11"/>
  <c r="H42" i="11"/>
  <c r="H43" i="11"/>
  <c r="H44" i="11"/>
  <c r="H45" i="11"/>
  <c r="H46" i="11"/>
  <c r="H47" i="11"/>
  <c r="H48" i="11"/>
  <c r="H49" i="11"/>
  <c r="H50" i="11"/>
  <c r="K4" i="422" s="1"/>
  <c r="D7" i="209"/>
  <c r="D8" i="209" s="1"/>
  <c r="E7" i="209"/>
  <c r="E8" i="209" s="1"/>
  <c r="L8" i="209" s="1"/>
  <c r="H8" i="209"/>
  <c r="K8" i="209" s="1"/>
  <c r="K9" i="209" s="1"/>
  <c r="K10" i="209" s="1"/>
  <c r="K11" i="209" s="1"/>
  <c r="K12" i="209" s="1"/>
  <c r="K13" i="209" s="1"/>
  <c r="K14" i="209" s="1"/>
  <c r="K15" i="209" s="1"/>
  <c r="K16" i="209" s="1"/>
  <c r="K17" i="209" s="1"/>
  <c r="K18" i="209" s="1"/>
  <c r="K19" i="209" s="1"/>
  <c r="K20" i="209" s="1"/>
  <c r="K21" i="209" s="1"/>
  <c r="K22" i="209" s="1"/>
  <c r="K23" i="209" s="1"/>
  <c r="K24" i="209" s="1"/>
  <c r="K25" i="209" s="1"/>
  <c r="D9" i="209"/>
  <c r="D10" i="209" s="1"/>
  <c r="D11" i="209" s="1"/>
  <c r="D12" i="209" s="1"/>
  <c r="D13" i="209" s="1"/>
  <c r="D14" i="209" s="1"/>
  <c r="D15" i="209" s="1"/>
  <c r="D16" i="209" s="1"/>
  <c r="D17" i="209"/>
  <c r="D18" i="209" s="1"/>
  <c r="D19" i="209" s="1"/>
  <c r="D20" i="209" s="1"/>
  <c r="D21" i="209" s="1"/>
  <c r="D22" i="209" s="1"/>
  <c r="D23" i="209" s="1"/>
  <c r="D24" i="209" s="1"/>
  <c r="D25" i="209" s="1"/>
  <c r="D26" i="209" s="1"/>
  <c r="D27" i="209" s="1"/>
  <c r="D28" i="209" s="1"/>
  <c r="E5" i="422" s="1"/>
  <c r="E9" i="209"/>
  <c r="H9" i="209"/>
  <c r="H10" i="209"/>
  <c r="H11" i="209"/>
  <c r="J11" i="209"/>
  <c r="H12" i="209"/>
  <c r="J12" i="209"/>
  <c r="J13" i="209" s="1"/>
  <c r="H13" i="209"/>
  <c r="H14" i="209"/>
  <c r="J14" i="209"/>
  <c r="J15" i="209" s="1"/>
  <c r="J16" i="209" s="1"/>
  <c r="J17" i="209" s="1"/>
  <c r="H15" i="209"/>
  <c r="H16" i="209"/>
  <c r="H17" i="209"/>
  <c r="H18" i="209"/>
  <c r="I18" i="209"/>
  <c r="H19" i="209"/>
  <c r="H20" i="209"/>
  <c r="H21" i="209"/>
  <c r="H22" i="209"/>
  <c r="H23" i="209"/>
  <c r="I23" i="209"/>
  <c r="H24" i="209"/>
  <c r="H25" i="209"/>
  <c r="H26" i="209"/>
  <c r="H27" i="209"/>
  <c r="H28" i="209"/>
  <c r="H29" i="209"/>
  <c r="D7" i="259"/>
  <c r="D8" i="259" s="1"/>
  <c r="D9" i="259" s="1"/>
  <c r="D10" i="259" s="1"/>
  <c r="D11" i="259" s="1"/>
  <c r="D12" i="259" s="1"/>
  <c r="D13" i="259" s="1"/>
  <c r="D14" i="259" s="1"/>
  <c r="D15" i="259" s="1"/>
  <c r="D16" i="259" s="1"/>
  <c r="D17" i="259" s="1"/>
  <c r="D18" i="259" s="1"/>
  <c r="D19" i="259" s="1"/>
  <c r="D20" i="259" s="1"/>
  <c r="D21" i="259" s="1"/>
  <c r="D22" i="259" s="1"/>
  <c r="D23" i="259" s="1"/>
  <c r="D24" i="259" s="1"/>
  <c r="E6" i="422" s="1"/>
  <c r="E7" i="259"/>
  <c r="L7" i="259" s="1"/>
  <c r="E8" i="259"/>
  <c r="E9" i="259" s="1"/>
  <c r="L9" i="259" s="1"/>
  <c r="H8" i="259"/>
  <c r="J8" i="259"/>
  <c r="K8" i="259"/>
  <c r="L8" i="259"/>
  <c r="H9" i="259"/>
  <c r="J9" i="259"/>
  <c r="J10" i="259" s="1"/>
  <c r="E10" i="259"/>
  <c r="E11" i="259" s="1"/>
  <c r="H10" i="259"/>
  <c r="L10" i="259"/>
  <c r="H11" i="259"/>
  <c r="J11" i="259"/>
  <c r="J12" i="259" s="1"/>
  <c r="J13" i="259" s="1"/>
  <c r="L13" i="259" s="1"/>
  <c r="E12" i="259"/>
  <c r="E13" i="259" s="1"/>
  <c r="H12" i="259"/>
  <c r="H13" i="259"/>
  <c r="E14" i="259"/>
  <c r="H14" i="259"/>
  <c r="J14" i="259"/>
  <c r="E15" i="259"/>
  <c r="E16" i="259" s="1"/>
  <c r="H15" i="259"/>
  <c r="H16" i="259"/>
  <c r="E17" i="259"/>
  <c r="E18" i="259" s="1"/>
  <c r="H17" i="259"/>
  <c r="H18" i="259"/>
  <c r="E19" i="259"/>
  <c r="H19" i="259"/>
  <c r="H20" i="259"/>
  <c r="H21" i="259"/>
  <c r="H22" i="259"/>
  <c r="I22" i="259"/>
  <c r="H23" i="259"/>
  <c r="H24" i="259"/>
  <c r="K6" i="422" s="1"/>
  <c r="D7" i="260"/>
  <c r="E7" i="260"/>
  <c r="E8" i="260" s="1"/>
  <c r="D8" i="260"/>
  <c r="D9" i="260" s="1"/>
  <c r="D10" i="260" s="1"/>
  <c r="D11" i="260" s="1"/>
  <c r="D12" i="260" s="1"/>
  <c r="D13" i="260" s="1"/>
  <c r="D14" i="260" s="1"/>
  <c r="D15" i="260" s="1"/>
  <c r="D16" i="260" s="1"/>
  <c r="D17" i="260" s="1"/>
  <c r="D18" i="260" s="1"/>
  <c r="D19" i="260" s="1"/>
  <c r="D20" i="260" s="1"/>
  <c r="D21" i="260" s="1"/>
  <c r="D22" i="260" s="1"/>
  <c r="D23" i="260" s="1"/>
  <c r="D24" i="260" s="1"/>
  <c r="D25" i="260" s="1"/>
  <c r="D26" i="260" s="1"/>
  <c r="E7" i="422" s="1"/>
  <c r="H8" i="260"/>
  <c r="K8" i="260" s="1"/>
  <c r="K9" i="260" s="1"/>
  <c r="K10" i="260" s="1"/>
  <c r="K11" i="260" s="1"/>
  <c r="K12" i="260" s="1"/>
  <c r="K13" i="260" s="1"/>
  <c r="K14" i="260" s="1"/>
  <c r="K15" i="260" s="1"/>
  <c r="K16" i="260" s="1"/>
  <c r="K17" i="260" s="1"/>
  <c r="K18" i="260" s="1"/>
  <c r="K19" i="260" s="1"/>
  <c r="K20" i="260" s="1"/>
  <c r="K21" i="260" s="1"/>
  <c r="H9" i="260"/>
  <c r="J9" i="260"/>
  <c r="J10" i="260" s="1"/>
  <c r="J11" i="260" s="1"/>
  <c r="J12" i="260" s="1"/>
  <c r="J13" i="260" s="1"/>
  <c r="J14" i="260" s="1"/>
  <c r="J15" i="260" s="1"/>
  <c r="J16" i="260" s="1"/>
  <c r="J17" i="260" s="1"/>
  <c r="J18" i="260" s="1"/>
  <c r="J19" i="260" s="1"/>
  <c r="J20" i="260" s="1"/>
  <c r="J21" i="260" s="1"/>
  <c r="J22" i="260" s="1"/>
  <c r="H10" i="260"/>
  <c r="H11" i="260"/>
  <c r="H12" i="260"/>
  <c r="H13" i="260"/>
  <c r="H14" i="260"/>
  <c r="H15" i="260"/>
  <c r="H16" i="260"/>
  <c r="H17" i="260"/>
  <c r="H18" i="260"/>
  <c r="H19" i="260"/>
  <c r="H20" i="260"/>
  <c r="H21" i="260"/>
  <c r="H22" i="260"/>
  <c r="K22" i="260"/>
  <c r="K23" i="260" s="1"/>
  <c r="K24" i="260" s="1"/>
  <c r="K25" i="260" s="1"/>
  <c r="H23" i="260"/>
  <c r="J23" i="260"/>
  <c r="J24" i="260" s="1"/>
  <c r="J25" i="260" s="1"/>
  <c r="J26" i="260" s="1"/>
  <c r="J7" i="422" s="1"/>
  <c r="H24" i="260"/>
  <c r="H25" i="260"/>
  <c r="H26" i="260"/>
  <c r="K7" i="422" s="1"/>
  <c r="K26" i="260"/>
  <c r="I7" i="422" s="1"/>
  <c r="H27" i="260"/>
  <c r="D7" i="365"/>
  <c r="E7" i="365"/>
  <c r="D8" i="365"/>
  <c r="H8" i="365"/>
  <c r="K8" i="365"/>
  <c r="D9" i="365"/>
  <c r="D10" i="365" s="1"/>
  <c r="D11" i="365" s="1"/>
  <c r="D12" i="365" s="1"/>
  <c r="D13" i="365" s="1"/>
  <c r="D14" i="365" s="1"/>
  <c r="D15" i="365" s="1"/>
  <c r="D16" i="365" s="1"/>
  <c r="D17" i="365" s="1"/>
  <c r="E8" i="422" s="1"/>
  <c r="H9" i="365"/>
  <c r="H10" i="365"/>
  <c r="H11" i="365"/>
  <c r="J11" i="365"/>
  <c r="H12" i="365"/>
  <c r="J12" i="365"/>
  <c r="J13" i="365"/>
  <c r="H13" i="365"/>
  <c r="H14" i="365"/>
  <c r="J14" i="365"/>
  <c r="J15" i="365" s="1"/>
  <c r="J16" i="365" s="1"/>
  <c r="J17" i="365"/>
  <c r="J8" i="422" s="1"/>
  <c r="H15" i="365"/>
  <c r="H16" i="365"/>
  <c r="H17" i="365"/>
  <c r="K8" i="422" s="1"/>
  <c r="D7" i="401"/>
  <c r="D8" i="401" s="1"/>
  <c r="D9" i="401" s="1"/>
  <c r="E7" i="401"/>
  <c r="G7" i="401" s="1"/>
  <c r="J7" i="401"/>
  <c r="L7" i="401" s="1"/>
  <c r="E8" i="401"/>
  <c r="H8" i="401"/>
  <c r="J8" i="401"/>
  <c r="J9" i="401" s="1"/>
  <c r="K8" i="401"/>
  <c r="H9" i="401"/>
  <c r="D7" i="287"/>
  <c r="E7" i="287"/>
  <c r="D8" i="287"/>
  <c r="D9" i="287" s="1"/>
  <c r="D10" i="287" s="1"/>
  <c r="D11" i="287" s="1"/>
  <c r="D12" i="287" s="1"/>
  <c r="D13" i="287" s="1"/>
  <c r="D14" i="287" s="1"/>
  <c r="D15" i="287" s="1"/>
  <c r="D16" i="287" s="1"/>
  <c r="D17" i="287" s="1"/>
  <c r="D18" i="287" s="1"/>
  <c r="D19" i="287" s="1"/>
  <c r="E10" i="422" s="1"/>
  <c r="H8" i="287"/>
  <c r="K8" i="287" s="1"/>
  <c r="H9" i="287"/>
  <c r="H10" i="287"/>
  <c r="J10" i="287"/>
  <c r="H11" i="287"/>
  <c r="J11" i="287"/>
  <c r="J12" i="287" s="1"/>
  <c r="J13" i="287" s="1"/>
  <c r="J14" i="287" s="1"/>
  <c r="J15" i="287" s="1"/>
  <c r="J16" i="287" s="1"/>
  <c r="J17" i="287" s="1"/>
  <c r="J18" i="287" s="1"/>
  <c r="J19" i="287" s="1"/>
  <c r="J10" i="422" s="1"/>
  <c r="H12" i="287"/>
  <c r="H13" i="287"/>
  <c r="H14" i="287"/>
  <c r="H15" i="287"/>
  <c r="H16" i="287"/>
  <c r="H17" i="287"/>
  <c r="H18" i="287"/>
  <c r="H19" i="287"/>
  <c r="K10" i="422" s="1"/>
  <c r="H20" i="287"/>
  <c r="D7" i="295"/>
  <c r="E7" i="295"/>
  <c r="G7" i="295" s="1"/>
  <c r="D8" i="295"/>
  <c r="D9" i="295" s="1"/>
  <c r="D10" i="295" s="1"/>
  <c r="D11" i="295" s="1"/>
  <c r="D12" i="295" s="1"/>
  <c r="E8" i="295"/>
  <c r="G8" i="295" s="1"/>
  <c r="H8" i="295"/>
  <c r="K8" i="295"/>
  <c r="K9" i="295" s="1"/>
  <c r="K10" i="295" s="1"/>
  <c r="K11" i="295" s="1"/>
  <c r="K12" i="295"/>
  <c r="K13" i="295" s="1"/>
  <c r="K14" i="295" s="1"/>
  <c r="K15" i="295" s="1"/>
  <c r="K16" i="295" s="1"/>
  <c r="K17" i="295" s="1"/>
  <c r="K18" i="295" s="1"/>
  <c r="K19" i="295" s="1"/>
  <c r="K20" i="295" s="1"/>
  <c r="K21" i="295" s="1"/>
  <c r="K22" i="295" s="1"/>
  <c r="D13" i="295"/>
  <c r="D14" i="295" s="1"/>
  <c r="D15" i="295" s="1"/>
  <c r="D16" i="295" s="1"/>
  <c r="D17" i="295" s="1"/>
  <c r="D18" i="295" s="1"/>
  <c r="D19" i="295" s="1"/>
  <c r="D20" i="295" s="1"/>
  <c r="D21" i="295" s="1"/>
  <c r="H9" i="295"/>
  <c r="J9" i="295"/>
  <c r="H10" i="295"/>
  <c r="H11" i="295"/>
  <c r="H12" i="295"/>
  <c r="H13" i="295"/>
  <c r="H14" i="295"/>
  <c r="H15" i="295"/>
  <c r="H16" i="295"/>
  <c r="H17" i="295"/>
  <c r="H18" i="295"/>
  <c r="H19" i="295"/>
  <c r="H20" i="295"/>
  <c r="H21" i="295"/>
  <c r="H22" i="295"/>
  <c r="D7" i="297"/>
  <c r="E7" i="297"/>
  <c r="D8" i="297"/>
  <c r="D9" i="297"/>
  <c r="K8" i="297"/>
  <c r="K9" i="297"/>
  <c r="D10" i="297"/>
  <c r="H10" i="297"/>
  <c r="K10" i="297"/>
  <c r="D11" i="297"/>
  <c r="D12" i="297" s="1"/>
  <c r="D13" i="297" s="1"/>
  <c r="D14" i="297" s="1"/>
  <c r="D15" i="297" s="1"/>
  <c r="D16" i="297" s="1"/>
  <c r="D17" i="297" s="1"/>
  <c r="H11" i="297"/>
  <c r="K11" i="297"/>
  <c r="K12" i="297"/>
  <c r="K13" i="297" s="1"/>
  <c r="H12" i="297"/>
  <c r="J12" i="297"/>
  <c r="J13" i="297" s="1"/>
  <c r="H13" i="297"/>
  <c r="K14" i="297"/>
  <c r="K15" i="297" s="1"/>
  <c r="H14" i="297"/>
  <c r="J14" i="297"/>
  <c r="J15" i="297" s="1"/>
  <c r="H15" i="297"/>
  <c r="K16" i="297"/>
  <c r="K17" i="297" s="1"/>
  <c r="H16" i="297"/>
  <c r="J16" i="297"/>
  <c r="J17" i="297" s="1"/>
  <c r="J18" i="297" s="1"/>
  <c r="J19" i="297" s="1"/>
  <c r="J20" i="297" s="1"/>
  <c r="J21" i="297" s="1"/>
  <c r="H17" i="297"/>
  <c r="K18" i="297"/>
  <c r="B18" i="297"/>
  <c r="D18" i="297" s="1"/>
  <c r="D19" i="297" s="1"/>
  <c r="D20" i="297" s="1"/>
  <c r="C18" i="297"/>
  <c r="H18" i="297"/>
  <c r="H19" i="297"/>
  <c r="H20" i="297"/>
  <c r="B21" i="297"/>
  <c r="C21" i="297"/>
  <c r="H24" i="297" s="1"/>
  <c r="H21" i="297"/>
  <c r="H22" i="297"/>
  <c r="J22" i="297"/>
  <c r="J23" i="297" s="1"/>
  <c r="J12" i="422" s="1"/>
  <c r="B23" i="297"/>
  <c r="C23" i="297"/>
  <c r="H23" i="297"/>
  <c r="K12" i="422" s="1"/>
  <c r="D7" i="309"/>
  <c r="D8" i="309" s="1"/>
  <c r="D9" i="309" s="1"/>
  <c r="D10" i="309" s="1"/>
  <c r="D11" i="309" s="1"/>
  <c r="D12" i="309" s="1"/>
  <c r="D13" i="309" s="1"/>
  <c r="D14" i="309" s="1"/>
  <c r="D15" i="309" s="1"/>
  <c r="D16" i="309" s="1"/>
  <c r="D17" i="309" s="1"/>
  <c r="D18" i="309" s="1"/>
  <c r="D19" i="309" s="1"/>
  <c r="E13" i="422" s="1"/>
  <c r="E7" i="309"/>
  <c r="E8" i="309" s="1"/>
  <c r="G7" i="309"/>
  <c r="K8" i="309"/>
  <c r="K9" i="309" s="1"/>
  <c r="K10" i="309" s="1"/>
  <c r="K11" i="309" s="1"/>
  <c r="K12" i="309" s="1"/>
  <c r="K13" i="309" s="1"/>
  <c r="K14" i="309" s="1"/>
  <c r="K15" i="309" s="1"/>
  <c r="K16" i="309" s="1"/>
  <c r="K17" i="309" s="1"/>
  <c r="K18" i="309" s="1"/>
  <c r="K19" i="309" s="1"/>
  <c r="H9" i="309"/>
  <c r="J9" i="309"/>
  <c r="H10" i="309"/>
  <c r="J10" i="309"/>
  <c r="J11" i="309" s="1"/>
  <c r="H11" i="309"/>
  <c r="H12" i="309"/>
  <c r="J12" i="309"/>
  <c r="J13" i="309" s="1"/>
  <c r="J14" i="309" s="1"/>
  <c r="J15" i="309" s="1"/>
  <c r="J16" i="309" s="1"/>
  <c r="J17" i="309" s="1"/>
  <c r="J18" i="309" s="1"/>
  <c r="J19" i="309" s="1"/>
  <c r="J13" i="422" s="1"/>
  <c r="H13" i="309"/>
  <c r="H14" i="309"/>
  <c r="H15" i="309"/>
  <c r="H16" i="309"/>
  <c r="H17" i="309"/>
  <c r="H18" i="309"/>
  <c r="H19" i="309"/>
  <c r="K13" i="422" s="1"/>
  <c r="H20" i="309"/>
  <c r="D7" i="332"/>
  <c r="E7" i="332"/>
  <c r="G7" i="332"/>
  <c r="J7" i="332"/>
  <c r="L7" i="332" s="1"/>
  <c r="K8" i="332"/>
  <c r="D7" i="314"/>
  <c r="E7" i="314"/>
  <c r="G7" i="314" s="1"/>
  <c r="K8" i="314"/>
  <c r="D7" i="154"/>
  <c r="E7" i="154"/>
  <c r="G7" i="154" s="1"/>
  <c r="L7" i="154"/>
  <c r="D8" i="154"/>
  <c r="E8" i="154"/>
  <c r="K8" i="154"/>
  <c r="K9" i="154"/>
  <c r="D9" i="154"/>
  <c r="D10" i="154" s="1"/>
  <c r="D11" i="154" s="1"/>
  <c r="D12" i="154"/>
  <c r="D13" i="154" s="1"/>
  <c r="D14" i="154" s="1"/>
  <c r="D15" i="154" s="1"/>
  <c r="D16" i="154"/>
  <c r="D17" i="154" s="1"/>
  <c r="D18" i="154" s="1"/>
  <c r="D19" i="154" s="1"/>
  <c r="D20" i="154" s="1"/>
  <c r="D21" i="154" s="1"/>
  <c r="D22" i="154" s="1"/>
  <c r="D23" i="154" s="1"/>
  <c r="D24" i="154" s="1"/>
  <c r="D25" i="154" s="1"/>
  <c r="D26" i="154" s="1"/>
  <c r="D27" i="154" s="1"/>
  <c r="D28" i="154" s="1"/>
  <c r="D29" i="154" s="1"/>
  <c r="D30" i="154" s="1"/>
  <c r="D31" i="154" s="1"/>
  <c r="D32" i="154" s="1"/>
  <c r="D33" i="154" s="1"/>
  <c r="D34" i="154" s="1"/>
  <c r="D35" i="154" s="1"/>
  <c r="K10" i="154"/>
  <c r="K11" i="154" s="1"/>
  <c r="K12" i="154" s="1"/>
  <c r="K13" i="154" s="1"/>
  <c r="K14" i="154" s="1"/>
  <c r="K15" i="154" s="1"/>
  <c r="H17" i="154"/>
  <c r="H18" i="154"/>
  <c r="J18" i="154"/>
  <c r="J19" i="154" s="1"/>
  <c r="J20" i="154" s="1"/>
  <c r="J21" i="154" s="1"/>
  <c r="J22" i="154" s="1"/>
  <c r="H19" i="154"/>
  <c r="H20" i="154"/>
  <c r="H21" i="154"/>
  <c r="H22" i="154"/>
  <c r="H23" i="154"/>
  <c r="I23" i="154"/>
  <c r="J23" i="154" s="1"/>
  <c r="J24" i="154" s="1"/>
  <c r="J25" i="154" s="1"/>
  <c r="J26" i="154" s="1"/>
  <c r="J27" i="154" s="1"/>
  <c r="J28" i="154" s="1"/>
  <c r="J29" i="154" s="1"/>
  <c r="J30" i="154" s="1"/>
  <c r="J31" i="154" s="1"/>
  <c r="J32" i="154" s="1"/>
  <c r="J33" i="154" s="1"/>
  <c r="H24" i="154"/>
  <c r="B25" i="154"/>
  <c r="C25" i="154"/>
  <c r="H25" i="154"/>
  <c r="H27" i="154"/>
  <c r="H28" i="154"/>
  <c r="B29" i="154"/>
  <c r="C29" i="154"/>
  <c r="H29" i="154"/>
  <c r="H30" i="154"/>
  <c r="H31" i="154"/>
  <c r="H32" i="154"/>
  <c r="H33" i="154"/>
  <c r="H34" i="154"/>
  <c r="I34" i="154"/>
  <c r="H35" i="154"/>
  <c r="H36" i="154"/>
  <c r="R36" i="154"/>
  <c r="R43" i="154"/>
  <c r="B7" i="364"/>
  <c r="C7" i="364"/>
  <c r="H8" i="364" s="1"/>
  <c r="K8" i="364" s="1"/>
  <c r="D7" i="364"/>
  <c r="D8" i="364" s="1"/>
  <c r="F8" i="364" s="1"/>
  <c r="F7" i="364"/>
  <c r="K9" i="364"/>
  <c r="K10" i="364" s="1"/>
  <c r="K11" i="364" s="1"/>
  <c r="K12" i="364" s="1"/>
  <c r="H9" i="364"/>
  <c r="H10" i="364"/>
  <c r="H11" i="364"/>
  <c r="H12" i="364"/>
  <c r="J12" i="364"/>
  <c r="J13" i="364"/>
  <c r="J14" i="364"/>
  <c r="J15" i="364" s="1"/>
  <c r="J16" i="364" s="1"/>
  <c r="J17" i="364" s="1"/>
  <c r="J18" i="364"/>
  <c r="J19" i="364" s="1"/>
  <c r="J20" i="364" s="1"/>
  <c r="J21" i="364" s="1"/>
  <c r="H13" i="364"/>
  <c r="S13" i="364"/>
  <c r="S17" i="364" s="1"/>
  <c r="H14" i="364"/>
  <c r="H15" i="364"/>
  <c r="H16" i="364"/>
  <c r="H17" i="364"/>
  <c r="H18" i="364"/>
  <c r="H19" i="364"/>
  <c r="I19" i="364"/>
  <c r="H20" i="364"/>
  <c r="H21" i="364"/>
  <c r="H22" i="364"/>
  <c r="V6" i="268"/>
  <c r="D8" i="268"/>
  <c r="E8" i="268"/>
  <c r="F8" i="268"/>
  <c r="G8" i="268"/>
  <c r="D9" i="268"/>
  <c r="D10" i="268" s="1"/>
  <c r="D11" i="268" s="1"/>
  <c r="D12" i="268" s="1"/>
  <c r="F9" i="268"/>
  <c r="F12" i="268"/>
  <c r="K13" i="268"/>
  <c r="H15" i="268"/>
  <c r="H16" i="268"/>
  <c r="J16" i="268"/>
  <c r="J17" i="268" s="1"/>
  <c r="J18" i="268" s="1"/>
  <c r="J19" i="268" s="1"/>
  <c r="J20" i="268" s="1"/>
  <c r="J21" i="268" s="1"/>
  <c r="J22" i="268" s="1"/>
  <c r="J23" i="268" s="1"/>
  <c r="J24" i="268" s="1"/>
  <c r="J25" i="268" s="1"/>
  <c r="J26" i="268" s="1"/>
  <c r="H17" i="268"/>
  <c r="H18" i="268"/>
  <c r="H19" i="268"/>
  <c r="V19" i="268"/>
  <c r="V45" i="268"/>
  <c r="H20" i="268"/>
  <c r="H21" i="268"/>
  <c r="H22" i="268"/>
  <c r="V22" i="268"/>
  <c r="H23" i="268"/>
  <c r="H24" i="268"/>
  <c r="V24" i="268"/>
  <c r="H25" i="268"/>
  <c r="H26" i="268"/>
  <c r="D8" i="296"/>
  <c r="D9" i="296" s="1"/>
  <c r="E8" i="296"/>
  <c r="L8" i="296" s="1"/>
  <c r="F8" i="296"/>
  <c r="G8" i="296"/>
  <c r="E9" i="296"/>
  <c r="L9" i="296"/>
  <c r="G9" i="296"/>
  <c r="G11" i="296"/>
  <c r="H12" i="296"/>
  <c r="K12" i="296"/>
  <c r="K13" i="296" s="1"/>
  <c r="K14" i="296" s="1"/>
  <c r="K15" i="296" s="1"/>
  <c r="K16" i="296"/>
  <c r="K17" i="296" s="1"/>
  <c r="K18" i="296" s="1"/>
  <c r="K19" i="296" s="1"/>
  <c r="K20" i="296" s="1"/>
  <c r="K21" i="296" s="1"/>
  <c r="K22" i="296" s="1"/>
  <c r="K23" i="296" s="1"/>
  <c r="H13" i="296"/>
  <c r="H14" i="296"/>
  <c r="J14" i="296"/>
  <c r="H15" i="296"/>
  <c r="J15" i="296"/>
  <c r="J16" i="296" s="1"/>
  <c r="J17" i="296" s="1"/>
  <c r="J18" i="296" s="1"/>
  <c r="J19" i="296" s="1"/>
  <c r="J20" i="296" s="1"/>
  <c r="J21" i="296" s="1"/>
  <c r="J22" i="296" s="1"/>
  <c r="H16" i="296"/>
  <c r="H17" i="296"/>
  <c r="H18" i="296"/>
  <c r="H19" i="296"/>
  <c r="H20" i="296"/>
  <c r="H21" i="296"/>
  <c r="H22" i="296"/>
  <c r="J23" i="296"/>
  <c r="J17" i="422" s="1"/>
  <c r="H23" i="296"/>
  <c r="K17" i="422" s="1"/>
  <c r="H24" i="296"/>
  <c r="D8" i="414"/>
  <c r="E8" i="414"/>
  <c r="E9" i="414" s="1"/>
  <c r="L9" i="414" s="1"/>
  <c r="F8" i="414"/>
  <c r="G8" i="414"/>
  <c r="J8" i="414"/>
  <c r="L8" i="414"/>
  <c r="D9" i="414"/>
  <c r="F9" i="414" s="1"/>
  <c r="J9" i="414"/>
  <c r="K9" i="414"/>
  <c r="H10" i="414"/>
  <c r="K10" i="414" s="1"/>
  <c r="D7" i="381"/>
  <c r="E7" i="381"/>
  <c r="G7" i="381"/>
  <c r="J7" i="381"/>
  <c r="D8" i="381"/>
  <c r="D9" i="381"/>
  <c r="G8" i="381"/>
  <c r="K8" i="381"/>
  <c r="K9" i="381" s="1"/>
  <c r="K10" i="381" s="1"/>
  <c r="H9" i="381"/>
  <c r="H10" i="381"/>
  <c r="C7" i="415"/>
  <c r="D7" i="415"/>
  <c r="D8" i="415"/>
  <c r="E7" i="415"/>
  <c r="G7" i="415" s="1"/>
  <c r="J7" i="415"/>
  <c r="L7" i="415"/>
  <c r="E8" i="415"/>
  <c r="L8" i="415" s="1"/>
  <c r="K8" i="415"/>
  <c r="K9" i="415" s="1"/>
  <c r="H9" i="415"/>
  <c r="D8" i="33"/>
  <c r="F8" i="33" s="1"/>
  <c r="D9" i="33"/>
  <c r="E8" i="33"/>
  <c r="G8" i="33"/>
  <c r="L8" i="33"/>
  <c r="E9" i="33"/>
  <c r="L9" i="33" s="1"/>
  <c r="G9" i="33"/>
  <c r="G10" i="33"/>
  <c r="H10" i="33"/>
  <c r="K10" i="33" s="1"/>
  <c r="K11" i="33" s="1"/>
  <c r="K12" i="33" s="1"/>
  <c r="K13" i="33" s="1"/>
  <c r="K14" i="33" s="1"/>
  <c r="K15" i="33" s="1"/>
  <c r="K16" i="33" s="1"/>
  <c r="K17" i="33" s="1"/>
  <c r="K18" i="33" s="1"/>
  <c r="K19" i="33" s="1"/>
  <c r="K20" i="33" s="1"/>
  <c r="K21" i="33" s="1"/>
  <c r="K22" i="33" s="1"/>
  <c r="K23" i="33" s="1"/>
  <c r="K24" i="33" s="1"/>
  <c r="K25" i="33" s="1"/>
  <c r="K26" i="33" s="1"/>
  <c r="K27" i="33" s="1"/>
  <c r="K28" i="33" s="1"/>
  <c r="K29" i="33" s="1"/>
  <c r="K30" i="33" s="1"/>
  <c r="K31" i="33" s="1"/>
  <c r="K32" i="33" s="1"/>
  <c r="K33" i="33" s="1"/>
  <c r="K34" i="33" s="1"/>
  <c r="K35" i="33" s="1"/>
  <c r="K36" i="33" s="1"/>
  <c r="K37" i="33" s="1"/>
  <c r="K38" i="33" s="1"/>
  <c r="K39" i="33" s="1"/>
  <c r="K40" i="33" s="1"/>
  <c r="K41" i="33" s="1"/>
  <c r="K42" i="33" s="1"/>
  <c r="K43" i="33" s="1"/>
  <c r="K44" i="33" s="1"/>
  <c r="K45" i="33" s="1"/>
  <c r="G11" i="33"/>
  <c r="H11" i="33"/>
  <c r="G12" i="33"/>
  <c r="H12" i="33"/>
  <c r="G13" i="33"/>
  <c r="H13" i="33"/>
  <c r="G14" i="33"/>
  <c r="H14" i="33"/>
  <c r="J14" i="33"/>
  <c r="G15" i="33"/>
  <c r="H15" i="33"/>
  <c r="J15" i="33"/>
  <c r="J16" i="33" s="1"/>
  <c r="J17" i="33" s="1"/>
  <c r="J18" i="33" s="1"/>
  <c r="J19" i="33" s="1"/>
  <c r="G16" i="33"/>
  <c r="H16" i="33"/>
  <c r="G17" i="33"/>
  <c r="H17" i="33"/>
  <c r="G18" i="33"/>
  <c r="H18" i="33"/>
  <c r="I18" i="33"/>
  <c r="G19" i="33"/>
  <c r="H19" i="33"/>
  <c r="G20" i="33"/>
  <c r="H20" i="33"/>
  <c r="J20" i="33"/>
  <c r="J21" i="33" s="1"/>
  <c r="J22" i="33" s="1"/>
  <c r="J23" i="33" s="1"/>
  <c r="J24" i="33" s="1"/>
  <c r="J25" i="33" s="1"/>
  <c r="J26" i="33" s="1"/>
  <c r="J27" i="33" s="1"/>
  <c r="J28" i="33" s="1"/>
  <c r="J29" i="33" s="1"/>
  <c r="J30" i="33" s="1"/>
  <c r="J31" i="33" s="1"/>
  <c r="J32" i="33" s="1"/>
  <c r="J33" i="33" s="1"/>
  <c r="J34" i="33" s="1"/>
  <c r="J35" i="33" s="1"/>
  <c r="J36" i="33" s="1"/>
  <c r="J37" i="33" s="1"/>
  <c r="J38" i="33" s="1"/>
  <c r="J39" i="33" s="1"/>
  <c r="J40" i="33" s="1"/>
  <c r="J41" i="33" s="1"/>
  <c r="J42" i="33" s="1"/>
  <c r="J43" i="33" s="1"/>
  <c r="J44" i="33" s="1"/>
  <c r="G21" i="33"/>
  <c r="H21" i="33"/>
  <c r="G22" i="33"/>
  <c r="H22" i="33"/>
  <c r="I22" i="33"/>
  <c r="G23" i="33"/>
  <c r="H23" i="33"/>
  <c r="G24" i="33"/>
  <c r="H24" i="33"/>
  <c r="G25" i="33"/>
  <c r="H25" i="33"/>
  <c r="G26" i="33"/>
  <c r="H26" i="33"/>
  <c r="I26" i="33"/>
  <c r="G27" i="33"/>
  <c r="H27" i="33"/>
  <c r="G28" i="33"/>
  <c r="H28" i="33"/>
  <c r="G29" i="33"/>
  <c r="H29" i="33"/>
  <c r="G30" i="33"/>
  <c r="H30" i="33"/>
  <c r="G31" i="33"/>
  <c r="H31" i="33"/>
  <c r="G32" i="33"/>
  <c r="H32" i="33"/>
  <c r="G33" i="33"/>
  <c r="H33" i="33"/>
  <c r="G34" i="33"/>
  <c r="H34" i="33"/>
  <c r="G35" i="33"/>
  <c r="H35" i="33"/>
  <c r="G36" i="33"/>
  <c r="H36" i="33"/>
  <c r="G37" i="33"/>
  <c r="H37" i="33"/>
  <c r="G38" i="33"/>
  <c r="H38" i="33"/>
  <c r="G39" i="33"/>
  <c r="H39" i="33"/>
  <c r="G40" i="33"/>
  <c r="H40" i="33"/>
  <c r="G41" i="33"/>
  <c r="H41" i="33"/>
  <c r="G42" i="33"/>
  <c r="H42" i="33"/>
  <c r="G43" i="33"/>
  <c r="H43" i="33"/>
  <c r="G44" i="33"/>
  <c r="H44" i="33"/>
  <c r="H45" i="33"/>
  <c r="D58" i="33"/>
  <c r="D59" i="33" s="1"/>
  <c r="E58" i="33"/>
  <c r="L58" i="33" s="1"/>
  <c r="F58" i="33"/>
  <c r="G58" i="33"/>
  <c r="E59" i="33"/>
  <c r="L59" i="33"/>
  <c r="G59" i="33"/>
  <c r="G60" i="33"/>
  <c r="H60" i="33"/>
  <c r="K60" i="33"/>
  <c r="K64" i="33"/>
  <c r="K65" i="33" s="1"/>
  <c r="K66" i="33" s="1"/>
  <c r="K67" i="33" s="1"/>
  <c r="K68" i="33" s="1"/>
  <c r="K69" i="33" s="1"/>
  <c r="K70" i="33" s="1"/>
  <c r="K71" i="33" s="1"/>
  <c r="K72" i="33" s="1"/>
  <c r="K73" i="33" s="1"/>
  <c r="K74" i="33" s="1"/>
  <c r="K75" i="33" s="1"/>
  <c r="K76" i="33" s="1"/>
  <c r="K77" i="33" s="1"/>
  <c r="K78" i="33" s="1"/>
  <c r="K79" i="33" s="1"/>
  <c r="K80" i="33" s="1"/>
  <c r="K81" i="33" s="1"/>
  <c r="K82" i="33" s="1"/>
  <c r="K83" i="33" s="1"/>
  <c r="K84" i="33" s="1"/>
  <c r="K85" i="33" s="1"/>
  <c r="K86" i="33" s="1"/>
  <c r="K87" i="33" s="1"/>
  <c r="K88" i="33" s="1"/>
  <c r="K89" i="33" s="1"/>
  <c r="K90" i="33" s="1"/>
  <c r="K91" i="33" s="1"/>
  <c r="G61" i="33"/>
  <c r="H61" i="33"/>
  <c r="K61" i="33" s="1"/>
  <c r="K62" i="33" s="1"/>
  <c r="K63" i="33" s="1"/>
  <c r="G62" i="33"/>
  <c r="H62" i="33"/>
  <c r="G63" i="33"/>
  <c r="H63" i="33"/>
  <c r="G64" i="33"/>
  <c r="H64" i="33"/>
  <c r="J64" i="33"/>
  <c r="J65" i="33" s="1"/>
  <c r="J66" i="33" s="1"/>
  <c r="G65" i="33"/>
  <c r="H65" i="33"/>
  <c r="G66" i="33"/>
  <c r="H66" i="33"/>
  <c r="G67" i="33"/>
  <c r="H67" i="33"/>
  <c r="J67" i="33"/>
  <c r="G68" i="33"/>
  <c r="H68" i="33"/>
  <c r="I68" i="33"/>
  <c r="J68" i="33" s="1"/>
  <c r="J69" i="33" s="1"/>
  <c r="J70" i="33" s="1"/>
  <c r="J71" i="33" s="1"/>
  <c r="J72" i="33" s="1"/>
  <c r="J73" i="33" s="1"/>
  <c r="J74" i="33" s="1"/>
  <c r="J75" i="33" s="1"/>
  <c r="G69" i="33"/>
  <c r="H69" i="33"/>
  <c r="I69" i="33"/>
  <c r="J76" i="33"/>
  <c r="J77" i="33" s="1"/>
  <c r="J78" i="33" s="1"/>
  <c r="J79" i="33" s="1"/>
  <c r="J80" i="33" s="1"/>
  <c r="J81" i="33" s="1"/>
  <c r="J82" i="33" s="1"/>
  <c r="J83" i="33" s="1"/>
  <c r="J84" i="33" s="1"/>
  <c r="J85" i="33" s="1"/>
  <c r="J86" i="33" s="1"/>
  <c r="J87" i="33" s="1"/>
  <c r="J88" i="33" s="1"/>
  <c r="J89" i="33" s="1"/>
  <c r="J90" i="33" s="1"/>
  <c r="G70" i="33"/>
  <c r="H70" i="33"/>
  <c r="G71" i="33"/>
  <c r="H71" i="33"/>
  <c r="G72" i="33"/>
  <c r="H72" i="33"/>
  <c r="G73" i="33"/>
  <c r="H73" i="33"/>
  <c r="G74" i="33"/>
  <c r="H74" i="33"/>
  <c r="G75" i="33"/>
  <c r="H75" i="33"/>
  <c r="G76" i="33"/>
  <c r="H76" i="33"/>
  <c r="G77" i="33"/>
  <c r="H77" i="33"/>
  <c r="G78" i="33"/>
  <c r="H78" i="33"/>
  <c r="G79" i="33"/>
  <c r="H79" i="33"/>
  <c r="G80" i="33"/>
  <c r="H80" i="33"/>
  <c r="G81" i="33"/>
  <c r="H81" i="33"/>
  <c r="G82" i="33"/>
  <c r="H82" i="33"/>
  <c r="G83" i="33"/>
  <c r="H83" i="33"/>
  <c r="G84" i="33"/>
  <c r="H84" i="33"/>
  <c r="G85" i="33"/>
  <c r="H85" i="33"/>
  <c r="G86" i="33"/>
  <c r="H86" i="33"/>
  <c r="G87" i="33"/>
  <c r="H87" i="33"/>
  <c r="G88" i="33"/>
  <c r="H88" i="33"/>
  <c r="G89" i="33"/>
  <c r="H89" i="33"/>
  <c r="H90" i="33"/>
  <c r="H91" i="33"/>
  <c r="D103" i="33"/>
  <c r="E103" i="33"/>
  <c r="G103" i="33"/>
  <c r="L103" i="33"/>
  <c r="D104" i="33"/>
  <c r="D105" i="33" s="1"/>
  <c r="D106" i="33" s="1"/>
  <c r="D107" i="33" s="1"/>
  <c r="D108" i="33" s="1"/>
  <c r="D109" i="33" s="1"/>
  <c r="E104" i="33"/>
  <c r="L104" i="33" s="1"/>
  <c r="G104" i="33"/>
  <c r="K104" i="33"/>
  <c r="G105" i="33"/>
  <c r="H105" i="33"/>
  <c r="K105" i="33"/>
  <c r="K106" i="33" s="1"/>
  <c r="K107" i="33" s="1"/>
  <c r="K108" i="33" s="1"/>
  <c r="K109" i="33" s="1"/>
  <c r="K110" i="33" s="1"/>
  <c r="K111" i="33" s="1"/>
  <c r="K112" i="33" s="1"/>
  <c r="K113" i="33" s="1"/>
  <c r="K114" i="33" s="1"/>
  <c r="K115" i="33" s="1"/>
  <c r="K116" i="33" s="1"/>
  <c r="K117" i="33" s="1"/>
  <c r="K118" i="33" s="1"/>
  <c r="K119" i="33" s="1"/>
  <c r="K120" i="33" s="1"/>
  <c r="K121" i="33" s="1"/>
  <c r="K122" i="33" s="1"/>
  <c r="K123" i="33" s="1"/>
  <c r="K124" i="33" s="1"/>
  <c r="K125" i="33" s="1"/>
  <c r="K126" i="33" s="1"/>
  <c r="K127" i="33" s="1"/>
  <c r="K128" i="33" s="1"/>
  <c r="K129" i="33" s="1"/>
  <c r="K130" i="33" s="1"/>
  <c r="K131" i="33" s="1"/>
  <c r="K132" i="33" s="1"/>
  <c r="K133" i="33" s="1"/>
  <c r="K134" i="33" s="1"/>
  <c r="G106" i="33"/>
  <c r="H106" i="33"/>
  <c r="G107" i="33"/>
  <c r="H107" i="33"/>
  <c r="K135" i="33"/>
  <c r="D110" i="33"/>
  <c r="D111" i="33" s="1"/>
  <c r="D112" i="33" s="1"/>
  <c r="D113" i="33" s="1"/>
  <c r="D114" i="33" s="1"/>
  <c r="D115" i="33"/>
  <c r="D116" i="33" s="1"/>
  <c r="D117" i="33" s="1"/>
  <c r="D118" i="33" s="1"/>
  <c r="D119" i="33" s="1"/>
  <c r="D120" i="33" s="1"/>
  <c r="D121" i="33" s="1"/>
  <c r="D122" i="33" s="1"/>
  <c r="D123" i="33" s="1"/>
  <c r="D124" i="33" s="1"/>
  <c r="D125" i="33" s="1"/>
  <c r="D126" i="33" s="1"/>
  <c r="D127" i="33" s="1"/>
  <c r="D128" i="33" s="1"/>
  <c r="D129" i="33" s="1"/>
  <c r="D130" i="33" s="1"/>
  <c r="D131" i="33" s="1"/>
  <c r="D132" i="33" s="1"/>
  <c r="D133" i="33" s="1"/>
  <c r="D134" i="33" s="1"/>
  <c r="D135" i="33" s="1"/>
  <c r="G108" i="33"/>
  <c r="H108" i="33"/>
  <c r="J108" i="33"/>
  <c r="J109" i="33"/>
  <c r="J110" i="33" s="1"/>
  <c r="J111" i="33" s="1"/>
  <c r="J112" i="33" s="1"/>
  <c r="J113" i="33" s="1"/>
  <c r="J114" i="33" s="1"/>
  <c r="J115" i="33" s="1"/>
  <c r="J116" i="33" s="1"/>
  <c r="J117" i="33"/>
  <c r="J118" i="33" s="1"/>
  <c r="J119" i="33" s="1"/>
  <c r="J120" i="33" s="1"/>
  <c r="J121" i="33" s="1"/>
  <c r="J122" i="33" s="1"/>
  <c r="J123" i="33" s="1"/>
  <c r="J124" i="33" s="1"/>
  <c r="J125" i="33" s="1"/>
  <c r="J126" i="33" s="1"/>
  <c r="J127" i="33" s="1"/>
  <c r="J128" i="33" s="1"/>
  <c r="J129" i="33" s="1"/>
  <c r="J130" i="33" s="1"/>
  <c r="J131" i="33" s="1"/>
  <c r="J132" i="33" s="1"/>
  <c r="J133" i="33" s="1"/>
  <c r="J134" i="33" s="1"/>
  <c r="J135" i="33" s="1"/>
  <c r="G109" i="33"/>
  <c r="H109" i="33"/>
  <c r="G110" i="33"/>
  <c r="H110" i="33"/>
  <c r="G111" i="33"/>
  <c r="H111" i="33"/>
  <c r="G112" i="33"/>
  <c r="H112" i="33"/>
  <c r="G113" i="33"/>
  <c r="H113" i="33"/>
  <c r="G114" i="33"/>
  <c r="H114" i="33"/>
  <c r="G115" i="33"/>
  <c r="H115" i="33"/>
  <c r="G116" i="33"/>
  <c r="H116" i="33"/>
  <c r="G117" i="33"/>
  <c r="H117" i="33"/>
  <c r="G118" i="33"/>
  <c r="H118" i="33"/>
  <c r="G119" i="33"/>
  <c r="H119" i="33"/>
  <c r="G120" i="33"/>
  <c r="H120" i="33"/>
  <c r="G121" i="33"/>
  <c r="H121" i="33"/>
  <c r="G122" i="33"/>
  <c r="H122" i="33"/>
  <c r="G123" i="33"/>
  <c r="H123" i="33"/>
  <c r="G124" i="33"/>
  <c r="H124" i="33"/>
  <c r="G125" i="33"/>
  <c r="H125" i="33"/>
  <c r="G126" i="33"/>
  <c r="H126" i="33"/>
  <c r="G127" i="33"/>
  <c r="H127" i="33"/>
  <c r="G128" i="33"/>
  <c r="H128" i="33"/>
  <c r="G129" i="33"/>
  <c r="H129" i="33"/>
  <c r="G130" i="33"/>
  <c r="H130" i="33"/>
  <c r="C131" i="33"/>
  <c r="G131" i="33"/>
  <c r="H131" i="33"/>
  <c r="H132" i="33"/>
  <c r="H133" i="33"/>
  <c r="D7" i="54"/>
  <c r="D8" i="54" s="1"/>
  <c r="D9" i="54" s="1"/>
  <c r="D10" i="54" s="1"/>
  <c r="D11" i="54" s="1"/>
  <c r="D12" i="54" s="1"/>
  <c r="D13" i="54" s="1"/>
  <c r="D14" i="54" s="1"/>
  <c r="D15" i="54" s="1"/>
  <c r="D16" i="54" s="1"/>
  <c r="D17" i="54" s="1"/>
  <c r="D18" i="54" s="1"/>
  <c r="D19" i="54" s="1"/>
  <c r="E7" i="54"/>
  <c r="L7" i="54" s="1"/>
  <c r="F7" i="54"/>
  <c r="G7" i="54"/>
  <c r="F8" i="54"/>
  <c r="K8" i="54"/>
  <c r="K9" i="54" s="1"/>
  <c r="K10" i="54" s="1"/>
  <c r="D20" i="54"/>
  <c r="D21" i="54" s="1"/>
  <c r="D22" i="54" s="1"/>
  <c r="D23" i="54" s="1"/>
  <c r="D24" i="54" s="1"/>
  <c r="D25" i="54" s="1"/>
  <c r="D26" i="54" s="1"/>
  <c r="D27" i="54" s="1"/>
  <c r="D28" i="54" s="1"/>
  <c r="D29" i="54" s="1"/>
  <c r="D30" i="54" s="1"/>
  <c r="D31" i="54" s="1"/>
  <c r="D32" i="54" s="1"/>
  <c r="D33" i="54" s="1"/>
  <c r="D34" i="54" s="1"/>
  <c r="D35" i="54" s="1"/>
  <c r="D36" i="54" s="1"/>
  <c r="D37" i="54" s="1"/>
  <c r="D38" i="54" s="1"/>
  <c r="D39" i="54" s="1"/>
  <c r="D40" i="54" s="1"/>
  <c r="D41" i="54" s="1"/>
  <c r="D42" i="54" s="1"/>
  <c r="D43" i="54" s="1"/>
  <c r="D44" i="54" s="1"/>
  <c r="D45" i="54" s="1"/>
  <c r="D46" i="54" s="1"/>
  <c r="D47" i="54" s="1"/>
  <c r="D48" i="54" s="1"/>
  <c r="D49" i="54" s="1"/>
  <c r="D50" i="54" s="1"/>
  <c r="D51" i="54" s="1"/>
  <c r="D52" i="54" s="1"/>
  <c r="D53" i="54" s="1"/>
  <c r="D54" i="54" s="1"/>
  <c r="D55" i="54" s="1"/>
  <c r="D56" i="54" s="1"/>
  <c r="D57" i="54" s="1"/>
  <c r="D58" i="54" s="1"/>
  <c r="D59" i="54" s="1"/>
  <c r="D60" i="54" s="1"/>
  <c r="D61" i="54" s="1"/>
  <c r="D62" i="54" s="1"/>
  <c r="D63" i="54" s="1"/>
  <c r="D64" i="54" s="1"/>
  <c r="D65" i="54" s="1"/>
  <c r="D66" i="54" s="1"/>
  <c r="D67" i="54" s="1"/>
  <c r="D68" i="54" s="1"/>
  <c r="D69" i="54" s="1"/>
  <c r="F9" i="54"/>
  <c r="H9" i="54"/>
  <c r="F10" i="54"/>
  <c r="H10" i="54"/>
  <c r="J10" i="54"/>
  <c r="J12" i="54"/>
  <c r="J13" i="54" s="1"/>
  <c r="J14" i="54" s="1"/>
  <c r="J15" i="54" s="1"/>
  <c r="J16" i="54" s="1"/>
  <c r="J17" i="54" s="1"/>
  <c r="J18" i="54" s="1"/>
  <c r="J19" i="54" s="1"/>
  <c r="J20" i="54" s="1"/>
  <c r="J21" i="54" s="1"/>
  <c r="J22" i="54" s="1"/>
  <c r="J23" i="54" s="1"/>
  <c r="J24" i="54" s="1"/>
  <c r="J25" i="54" s="1"/>
  <c r="J26" i="54" s="1"/>
  <c r="J27" i="54" s="1"/>
  <c r="J28" i="54" s="1"/>
  <c r="J29" i="54" s="1"/>
  <c r="J30" i="54" s="1"/>
  <c r="J31" i="54" s="1"/>
  <c r="J32" i="54" s="1"/>
  <c r="J33" i="54" s="1"/>
  <c r="J34" i="54" s="1"/>
  <c r="J35" i="54" s="1"/>
  <c r="J36" i="54" s="1"/>
  <c r="J37" i="54" s="1"/>
  <c r="J38" i="54" s="1"/>
  <c r="J39" i="54" s="1"/>
  <c r="J40" i="54" s="1"/>
  <c r="J41" i="54" s="1"/>
  <c r="J42" i="54" s="1"/>
  <c r="J43" i="54" s="1"/>
  <c r="J44" i="54" s="1"/>
  <c r="J45" i="54" s="1"/>
  <c r="J46" i="54" s="1"/>
  <c r="J47" i="54" s="1"/>
  <c r="J48" i="54" s="1"/>
  <c r="J49" i="54" s="1"/>
  <c r="J50" i="54" s="1"/>
  <c r="J51" i="54" s="1"/>
  <c r="J52" i="54"/>
  <c r="J53" i="54" s="1"/>
  <c r="J54" i="54" s="1"/>
  <c r="J55" i="54" s="1"/>
  <c r="J56" i="54" s="1"/>
  <c r="J57" i="54" s="1"/>
  <c r="J58" i="54" s="1"/>
  <c r="J59" i="54" s="1"/>
  <c r="J60" i="54" s="1"/>
  <c r="J61" i="54" s="1"/>
  <c r="J62" i="54" s="1"/>
  <c r="J63" i="54" s="1"/>
  <c r="J64" i="54" s="1"/>
  <c r="J65" i="54" s="1"/>
  <c r="J66" i="54" s="1"/>
  <c r="J67" i="54" s="1"/>
  <c r="J68" i="54" s="1"/>
  <c r="J69" i="54" s="1"/>
  <c r="F11" i="54"/>
  <c r="H11" i="54"/>
  <c r="I11" i="54"/>
  <c r="J11" i="54" s="1"/>
  <c r="F12" i="54"/>
  <c r="H12" i="54"/>
  <c r="F13" i="54"/>
  <c r="H13" i="54"/>
  <c r="F14" i="54"/>
  <c r="H14" i="54"/>
  <c r="I14" i="54"/>
  <c r="F15" i="54"/>
  <c r="G15" i="54"/>
  <c r="H15" i="54"/>
  <c r="F16" i="54"/>
  <c r="G16" i="54"/>
  <c r="F17" i="54"/>
  <c r="G17" i="54"/>
  <c r="H17" i="54"/>
  <c r="F18" i="54"/>
  <c r="G18" i="54"/>
  <c r="H18" i="54"/>
  <c r="F19" i="54"/>
  <c r="G19" i="54"/>
  <c r="H19" i="54"/>
  <c r="I19" i="54"/>
  <c r="F20" i="54"/>
  <c r="G20" i="54"/>
  <c r="H20" i="54"/>
  <c r="F21" i="54"/>
  <c r="G21" i="54"/>
  <c r="H21" i="54"/>
  <c r="F22" i="54"/>
  <c r="G22" i="54"/>
  <c r="H22" i="54"/>
  <c r="F23" i="54"/>
  <c r="G23" i="54"/>
  <c r="H23" i="54"/>
  <c r="I23" i="54"/>
  <c r="F24" i="54"/>
  <c r="G24" i="54"/>
  <c r="H24" i="54"/>
  <c r="F25" i="54"/>
  <c r="G25" i="54"/>
  <c r="H25" i="54"/>
  <c r="F26" i="54"/>
  <c r="G26" i="54"/>
  <c r="H26" i="54"/>
  <c r="F27" i="54"/>
  <c r="G27" i="54"/>
  <c r="H27" i="54"/>
  <c r="F28" i="54"/>
  <c r="G28" i="54"/>
  <c r="H28" i="54"/>
  <c r="F29" i="54"/>
  <c r="G29" i="54"/>
  <c r="H29" i="54"/>
  <c r="F30" i="54"/>
  <c r="G30" i="54"/>
  <c r="H30" i="54"/>
  <c r="F31" i="54"/>
  <c r="G31" i="54"/>
  <c r="H31" i="54"/>
  <c r="I31" i="54"/>
  <c r="B32" i="54"/>
  <c r="C32" i="54"/>
  <c r="H34" i="54"/>
  <c r="F32" i="54"/>
  <c r="G32" i="54"/>
  <c r="H32" i="54"/>
  <c r="B33" i="54"/>
  <c r="F33" i="54" s="1"/>
  <c r="C33" i="54"/>
  <c r="H33" i="54"/>
  <c r="B34" i="54"/>
  <c r="C34" i="54"/>
  <c r="F34" i="54"/>
  <c r="G34" i="54"/>
  <c r="B35" i="54"/>
  <c r="C35" i="54"/>
  <c r="H37" i="54"/>
  <c r="F35" i="54"/>
  <c r="G35" i="54"/>
  <c r="I35" i="54"/>
  <c r="B36" i="54"/>
  <c r="F36" i="54" s="1"/>
  <c r="C36" i="54"/>
  <c r="H36" i="54"/>
  <c r="I36" i="54"/>
  <c r="F37" i="54"/>
  <c r="G37" i="54"/>
  <c r="B38" i="54"/>
  <c r="F38" i="54" s="1"/>
  <c r="C38" i="54"/>
  <c r="F39" i="54"/>
  <c r="G39" i="54"/>
  <c r="H39" i="54"/>
  <c r="B40" i="54"/>
  <c r="F40" i="54" s="1"/>
  <c r="C40" i="54"/>
  <c r="G40" i="54"/>
  <c r="I40" i="54"/>
  <c r="B41" i="54"/>
  <c r="C41" i="54"/>
  <c r="F41" i="54"/>
  <c r="G41" i="54"/>
  <c r="H41" i="54"/>
  <c r="F42" i="54"/>
  <c r="G42" i="54"/>
  <c r="H42" i="54"/>
  <c r="B43" i="54"/>
  <c r="C43" i="54"/>
  <c r="F43" i="54"/>
  <c r="G43" i="54"/>
  <c r="H43" i="54"/>
  <c r="F44" i="54"/>
  <c r="G44" i="54"/>
  <c r="H44" i="54"/>
  <c r="F45" i="54"/>
  <c r="G45" i="54"/>
  <c r="H45" i="54"/>
  <c r="F46" i="54"/>
  <c r="G46" i="54"/>
  <c r="H46" i="54"/>
  <c r="F47" i="54"/>
  <c r="G47" i="54"/>
  <c r="H47" i="54"/>
  <c r="F48" i="54"/>
  <c r="G48" i="54"/>
  <c r="H48" i="54"/>
  <c r="F49" i="54"/>
  <c r="G49" i="54"/>
  <c r="H49" i="54"/>
  <c r="I49" i="54"/>
  <c r="F50" i="54"/>
  <c r="G50" i="54"/>
  <c r="H50" i="54"/>
  <c r="F51" i="54"/>
  <c r="G51" i="54"/>
  <c r="H51" i="54"/>
  <c r="F52" i="54"/>
  <c r="G52" i="54"/>
  <c r="H52" i="54"/>
  <c r="F53" i="54"/>
  <c r="G53" i="54"/>
  <c r="H53" i="54"/>
  <c r="F54" i="54"/>
  <c r="G54" i="54"/>
  <c r="H54" i="54"/>
  <c r="F55" i="54"/>
  <c r="G55" i="54"/>
  <c r="H55" i="54"/>
  <c r="F56" i="54"/>
  <c r="G56" i="54"/>
  <c r="H56" i="54"/>
  <c r="F57" i="54"/>
  <c r="G57" i="54"/>
  <c r="H57" i="54"/>
  <c r="F58" i="54"/>
  <c r="G58" i="54"/>
  <c r="H58" i="54"/>
  <c r="F59" i="54"/>
  <c r="G59" i="54"/>
  <c r="H59" i="54"/>
  <c r="G60" i="54"/>
  <c r="H60" i="54"/>
  <c r="G61" i="54"/>
  <c r="H61" i="54"/>
  <c r="G62" i="54"/>
  <c r="H62" i="54"/>
  <c r="G63" i="54"/>
  <c r="H63" i="54"/>
  <c r="G64" i="54"/>
  <c r="H64" i="54"/>
  <c r="G65" i="54"/>
  <c r="H65" i="54"/>
  <c r="G66" i="54"/>
  <c r="H66" i="54"/>
  <c r="G67" i="54"/>
  <c r="H67" i="54"/>
  <c r="G68" i="54"/>
  <c r="H68" i="54"/>
  <c r="G69" i="54"/>
  <c r="H69" i="54"/>
  <c r="I69" i="54"/>
  <c r="H70" i="54"/>
  <c r="D7" i="55"/>
  <c r="D8" i="55" s="1"/>
  <c r="D9" i="55"/>
  <c r="D10" i="55" s="1"/>
  <c r="D11" i="55" s="1"/>
  <c r="D12" i="55" s="1"/>
  <c r="D13" i="55" s="1"/>
  <c r="D14" i="55" s="1"/>
  <c r="D15" i="55" s="1"/>
  <c r="D16" i="55" s="1"/>
  <c r="D17" i="55" s="1"/>
  <c r="D18" i="55" s="1"/>
  <c r="D19" i="55" s="1"/>
  <c r="D20" i="55" s="1"/>
  <c r="D21" i="55" s="1"/>
  <c r="D22" i="55" s="1"/>
  <c r="D23" i="55" s="1"/>
  <c r="D24" i="55" s="1"/>
  <c r="D25" i="55" s="1"/>
  <c r="D26" i="55" s="1"/>
  <c r="D27" i="55" s="1"/>
  <c r="D28" i="55" s="1"/>
  <c r="D29" i="55" s="1"/>
  <c r="D30" i="55" s="1"/>
  <c r="D31" i="55" s="1"/>
  <c r="D32" i="55" s="1"/>
  <c r="D33" i="55" s="1"/>
  <c r="D34" i="55" s="1"/>
  <c r="D35" i="55" s="1"/>
  <c r="D36" i="55" s="1"/>
  <c r="D37" i="55" s="1"/>
  <c r="D38" i="55" s="1"/>
  <c r="D39" i="55" s="1"/>
  <c r="D40" i="55" s="1"/>
  <c r="E7" i="55"/>
  <c r="L7" i="55" s="1"/>
  <c r="F7" i="55"/>
  <c r="F8" i="55" s="1"/>
  <c r="F9" i="55" s="1"/>
  <c r="F10" i="55"/>
  <c r="F11" i="55" s="1"/>
  <c r="F12" i="55" s="1"/>
  <c r="F13" i="55" s="1"/>
  <c r="F14" i="55"/>
  <c r="F15" i="55" s="1"/>
  <c r="F16" i="55" s="1"/>
  <c r="F17" i="55" s="1"/>
  <c r="F18" i="55" s="1"/>
  <c r="F19" i="55" s="1"/>
  <c r="F20" i="55" s="1"/>
  <c r="F21" i="55" s="1"/>
  <c r="F22" i="55"/>
  <c r="F23" i="55" s="1"/>
  <c r="F24" i="55" s="1"/>
  <c r="F25" i="55" s="1"/>
  <c r="F26" i="55" s="1"/>
  <c r="F27" i="55" s="1"/>
  <c r="F28" i="55" s="1"/>
  <c r="F29" i="55" s="1"/>
  <c r="F30" i="55" s="1"/>
  <c r="F31" i="55" s="1"/>
  <c r="F32" i="55" s="1"/>
  <c r="F33" i="55" s="1"/>
  <c r="F34" i="55" s="1"/>
  <c r="F35" i="55" s="1"/>
  <c r="F36" i="55" s="1"/>
  <c r="F37" i="55" s="1"/>
  <c r="F38" i="55" s="1"/>
  <c r="F39" i="55" s="1"/>
  <c r="F40" i="55" s="1"/>
  <c r="G7" i="55"/>
  <c r="G8" i="55"/>
  <c r="G9" i="55"/>
  <c r="H9" i="55"/>
  <c r="K9" i="55" s="1"/>
  <c r="K10" i="55" s="1"/>
  <c r="K11" i="55"/>
  <c r="K12" i="55" s="1"/>
  <c r="G10" i="55"/>
  <c r="H10" i="55"/>
  <c r="J10" i="55"/>
  <c r="J11" i="55" s="1"/>
  <c r="J12" i="55" s="1"/>
  <c r="J13" i="55" s="1"/>
  <c r="G11" i="55"/>
  <c r="H11" i="55"/>
  <c r="G12" i="55"/>
  <c r="H12" i="55"/>
  <c r="G13" i="55"/>
  <c r="H13" i="55"/>
  <c r="G14" i="55"/>
  <c r="H14" i="55"/>
  <c r="J14" i="55"/>
  <c r="J15" i="55" s="1"/>
  <c r="J16" i="55" s="1"/>
  <c r="J17" i="55" s="1"/>
  <c r="J18" i="55" s="1"/>
  <c r="J19" i="55" s="1"/>
  <c r="J20" i="55" s="1"/>
  <c r="J21" i="55" s="1"/>
  <c r="J22" i="55" s="1"/>
  <c r="G15" i="55"/>
  <c r="H15" i="55"/>
  <c r="G16" i="55"/>
  <c r="H16" i="55"/>
  <c r="J23" i="55"/>
  <c r="J24" i="55" s="1"/>
  <c r="J25" i="55" s="1"/>
  <c r="J26" i="55" s="1"/>
  <c r="J27" i="55" s="1"/>
  <c r="J28" i="55" s="1"/>
  <c r="J29" i="55" s="1"/>
  <c r="J30" i="55" s="1"/>
  <c r="J31" i="55" s="1"/>
  <c r="J32" i="55" s="1"/>
  <c r="J33" i="55" s="1"/>
  <c r="J34" i="55" s="1"/>
  <c r="J35" i="55" s="1"/>
  <c r="J36" i="55" s="1"/>
  <c r="J37" i="55" s="1"/>
  <c r="J38" i="55" s="1"/>
  <c r="J39" i="55" s="1"/>
  <c r="J40" i="55" s="1"/>
  <c r="G17" i="55"/>
  <c r="H17" i="55"/>
  <c r="I17" i="55"/>
  <c r="G18" i="55"/>
  <c r="H18" i="55"/>
  <c r="I18" i="55"/>
  <c r="G19" i="55"/>
  <c r="H19" i="55"/>
  <c r="G20" i="55"/>
  <c r="H20" i="55"/>
  <c r="G21" i="55"/>
  <c r="H21" i="55"/>
  <c r="G22" i="55"/>
  <c r="H22" i="55"/>
  <c r="G23" i="55"/>
  <c r="H23" i="55"/>
  <c r="G24" i="55"/>
  <c r="H24" i="55"/>
  <c r="I24" i="55"/>
  <c r="G25" i="55"/>
  <c r="H25" i="55"/>
  <c r="G26" i="55"/>
  <c r="H26" i="55"/>
  <c r="G27" i="55"/>
  <c r="H27" i="55"/>
  <c r="G28" i="55"/>
  <c r="H28" i="55"/>
  <c r="G29" i="55"/>
  <c r="H29" i="55"/>
  <c r="G30" i="55"/>
  <c r="H30" i="55"/>
  <c r="G31" i="55"/>
  <c r="H31" i="55"/>
  <c r="G32" i="55"/>
  <c r="H32" i="55"/>
  <c r="G33" i="55"/>
  <c r="H33" i="55"/>
  <c r="G34" i="55"/>
  <c r="H34" i="55"/>
  <c r="G35" i="55"/>
  <c r="H35" i="55"/>
  <c r="G36" i="55"/>
  <c r="H36" i="55"/>
  <c r="G37" i="55"/>
  <c r="H37" i="55"/>
  <c r="G38" i="55"/>
  <c r="H38" i="55"/>
  <c r="G39" i="55"/>
  <c r="H39" i="55"/>
  <c r="G40" i="55"/>
  <c r="H40" i="55"/>
  <c r="D8" i="203"/>
  <c r="E8" i="203"/>
  <c r="F8" i="203"/>
  <c r="L8" i="203"/>
  <c r="D9" i="203"/>
  <c r="E9" i="203"/>
  <c r="F9" i="203"/>
  <c r="H9" i="203"/>
  <c r="K9" i="203" s="1"/>
  <c r="L9" i="203"/>
  <c r="D10" i="203"/>
  <c r="F10" i="203" s="1"/>
  <c r="E10" i="203"/>
  <c r="H10" i="203"/>
  <c r="K10" i="203"/>
  <c r="D11" i="203"/>
  <c r="F11" i="203" s="1"/>
  <c r="H11" i="203"/>
  <c r="J11" i="203"/>
  <c r="J12" i="203" s="1"/>
  <c r="J13" i="203" s="1"/>
  <c r="J14" i="203"/>
  <c r="J15" i="203" s="1"/>
  <c r="J16" i="203" s="1"/>
  <c r="J17" i="203" s="1"/>
  <c r="J18" i="203"/>
  <c r="J19" i="203" s="1"/>
  <c r="J20" i="203" s="1"/>
  <c r="J21" i="203" s="1"/>
  <c r="J22" i="203" s="1"/>
  <c r="J23" i="203" s="1"/>
  <c r="J24" i="203" s="1"/>
  <c r="J25" i="203" s="1"/>
  <c r="J26" i="203" s="1"/>
  <c r="J27" i="203" s="1"/>
  <c r="J28" i="203" s="1"/>
  <c r="J29" i="203" s="1"/>
  <c r="J30" i="203" s="1"/>
  <c r="J31" i="203" s="1"/>
  <c r="J32" i="203" s="1"/>
  <c r="J33" i="203" s="1"/>
  <c r="J34" i="203" s="1"/>
  <c r="H12" i="203"/>
  <c r="H13" i="203"/>
  <c r="H14" i="203"/>
  <c r="H15" i="203"/>
  <c r="H16" i="203"/>
  <c r="H17" i="203"/>
  <c r="H18" i="203"/>
  <c r="H19" i="203"/>
  <c r="B20" i="203"/>
  <c r="C20" i="203"/>
  <c r="H21" i="203" s="1"/>
  <c r="H20" i="203"/>
  <c r="B21" i="203"/>
  <c r="C21" i="203"/>
  <c r="H22" i="203" s="1"/>
  <c r="B22" i="203"/>
  <c r="C22" i="203"/>
  <c r="H23" i="203" s="1"/>
  <c r="B23" i="203"/>
  <c r="C23" i="203"/>
  <c r="H24" i="203"/>
  <c r="B25" i="203"/>
  <c r="C25" i="203"/>
  <c r="H26" i="203"/>
  <c r="H25" i="203"/>
  <c r="H27" i="203"/>
  <c r="H28" i="203"/>
  <c r="H29" i="203"/>
  <c r="H30" i="203"/>
  <c r="H31" i="203"/>
  <c r="H32" i="203"/>
  <c r="H33" i="203"/>
  <c r="H34" i="203"/>
  <c r="D42" i="203"/>
  <c r="F42" i="203" s="1"/>
  <c r="E42" i="203"/>
  <c r="L42" i="203"/>
  <c r="D43" i="203"/>
  <c r="E43" i="203"/>
  <c r="H43" i="203"/>
  <c r="K43" i="203" s="1"/>
  <c r="K44" i="203" s="1"/>
  <c r="K45" i="203" s="1"/>
  <c r="K46" i="203"/>
  <c r="L43" i="203"/>
  <c r="E44" i="203"/>
  <c r="H44" i="203"/>
  <c r="L44" i="203"/>
  <c r="E45" i="203"/>
  <c r="L45" i="203"/>
  <c r="H45" i="203"/>
  <c r="J45" i="203"/>
  <c r="H46" i="203"/>
  <c r="J46" i="203"/>
  <c r="J47" i="203" s="1"/>
  <c r="H47" i="203"/>
  <c r="I47" i="203"/>
  <c r="J48" i="203"/>
  <c r="J49" i="203" s="1"/>
  <c r="J50" i="203" s="1"/>
  <c r="J51" i="203" s="1"/>
  <c r="J52" i="203" s="1"/>
  <c r="J53" i="203" s="1"/>
  <c r="J54" i="203" s="1"/>
  <c r="J55" i="203" s="1"/>
  <c r="J56" i="203" s="1"/>
  <c r="J57" i="203" s="1"/>
  <c r="J58" i="203" s="1"/>
  <c r="H48" i="203"/>
  <c r="H49" i="203"/>
  <c r="H50" i="203"/>
  <c r="H51" i="203"/>
  <c r="H52" i="203"/>
  <c r="H53" i="203"/>
  <c r="H54" i="203"/>
  <c r="H55" i="203"/>
  <c r="H56" i="203"/>
  <c r="H57" i="203"/>
  <c r="H58" i="203"/>
  <c r="H59" i="203"/>
  <c r="J59" i="203"/>
  <c r="J60" i="203" s="1"/>
  <c r="J61" i="203" s="1"/>
  <c r="J62" i="203" s="1"/>
  <c r="J63" i="203" s="1"/>
  <c r="J64" i="203" s="1"/>
  <c r="J65" i="203" s="1"/>
  <c r="H60" i="203"/>
  <c r="H61" i="203"/>
  <c r="H62" i="203"/>
  <c r="H63" i="203"/>
  <c r="H64" i="203"/>
  <c r="H65" i="203"/>
  <c r="D72" i="203"/>
  <c r="F72" i="203" s="1"/>
  <c r="E72" i="203"/>
  <c r="L72" i="203" s="1"/>
  <c r="D73" i="203"/>
  <c r="E73" i="203"/>
  <c r="H73" i="203"/>
  <c r="K73" i="203"/>
  <c r="H74" i="203"/>
  <c r="H75" i="203"/>
  <c r="H76" i="203"/>
  <c r="H77" i="203"/>
  <c r="H78" i="203"/>
  <c r="H79" i="203"/>
  <c r="H80" i="203"/>
  <c r="H81" i="203"/>
  <c r="H82" i="203"/>
  <c r="H83" i="203"/>
  <c r="H84" i="203"/>
  <c r="H85" i="203"/>
  <c r="K5" i="57"/>
  <c r="D7" i="57"/>
  <c r="F7" i="57" s="1"/>
  <c r="E7" i="57"/>
  <c r="L7" i="57"/>
  <c r="D8" i="57"/>
  <c r="E8" i="57"/>
  <c r="H8" i="57"/>
  <c r="K8" i="57" s="1"/>
  <c r="K9" i="57" s="1"/>
  <c r="K10" i="57" s="1"/>
  <c r="K11" i="57"/>
  <c r="L8" i="57"/>
  <c r="E9" i="57"/>
  <c r="L9" i="57"/>
  <c r="H9" i="57"/>
  <c r="J9" i="57"/>
  <c r="H10" i="57"/>
  <c r="J10" i="57"/>
  <c r="J11" i="57" s="1"/>
  <c r="J12" i="57" s="1"/>
  <c r="J13" i="57" s="1"/>
  <c r="J14" i="57" s="1"/>
  <c r="J15" i="57" s="1"/>
  <c r="J16" i="57" s="1"/>
  <c r="J17" i="57" s="1"/>
  <c r="J18" i="57"/>
  <c r="J19" i="57" s="1"/>
  <c r="J20" i="57" s="1"/>
  <c r="J21" i="57" s="1"/>
  <c r="J22" i="57" s="1"/>
  <c r="J23" i="57" s="1"/>
  <c r="J24" i="57" s="1"/>
  <c r="J25" i="57" s="1"/>
  <c r="J26" i="57" s="1"/>
  <c r="J27" i="57" s="1"/>
  <c r="J28" i="57" s="1"/>
  <c r="J29" i="57" s="1"/>
  <c r="J30" i="57" s="1"/>
  <c r="J31" i="57" s="1"/>
  <c r="J32" i="57" s="1"/>
  <c r="H11" i="57"/>
  <c r="H12" i="57"/>
  <c r="H13" i="57"/>
  <c r="H14" i="57"/>
  <c r="H15" i="57"/>
  <c r="H16" i="57"/>
  <c r="H17" i="57"/>
  <c r="H18" i="57"/>
  <c r="H19" i="57"/>
  <c r="H20" i="57"/>
  <c r="I20" i="57"/>
  <c r="H21" i="57"/>
  <c r="I21" i="57"/>
  <c r="H22" i="57"/>
  <c r="H23" i="57"/>
  <c r="H24" i="57"/>
  <c r="H25" i="57"/>
  <c r="H26" i="57"/>
  <c r="H27" i="57"/>
  <c r="H28" i="57"/>
  <c r="H29" i="57"/>
  <c r="H30" i="57"/>
  <c r="H31" i="57"/>
  <c r="H32" i="57"/>
  <c r="H33" i="57"/>
  <c r="I33" i="57"/>
  <c r="H34" i="57"/>
  <c r="H35" i="57"/>
  <c r="H36" i="57"/>
  <c r="H37" i="57"/>
  <c r="H38" i="57"/>
  <c r="H39" i="57"/>
  <c r="H40" i="57"/>
  <c r="H41" i="57"/>
  <c r="H42" i="57"/>
  <c r="H43" i="57"/>
  <c r="H44" i="57"/>
  <c r="H45" i="57"/>
  <c r="H46" i="57"/>
  <c r="K26" i="422" s="1"/>
  <c r="H47" i="57"/>
  <c r="D8" i="61"/>
  <c r="D9" i="61"/>
  <c r="D10" i="61" s="1"/>
  <c r="D11" i="61" s="1"/>
  <c r="D12" i="61" s="1"/>
  <c r="D13" i="61" s="1"/>
  <c r="D14" i="61" s="1"/>
  <c r="D15" i="61" s="1"/>
  <c r="D16" i="61" s="1"/>
  <c r="D17" i="61" s="1"/>
  <c r="D18" i="61" s="1"/>
  <c r="D19" i="61" s="1"/>
  <c r="D20" i="61" s="1"/>
  <c r="D21" i="61" s="1"/>
  <c r="D22" i="61" s="1"/>
  <c r="D23" i="61" s="1"/>
  <c r="D24" i="61" s="1"/>
  <c r="D25" i="61" s="1"/>
  <c r="D26" i="61" s="1"/>
  <c r="D27" i="61" s="1"/>
  <c r="D28" i="61" s="1"/>
  <c r="D29" i="61" s="1"/>
  <c r="D30" i="61" s="1"/>
  <c r="D31" i="61" s="1"/>
  <c r="D32" i="61" s="1"/>
  <c r="D33" i="61" s="1"/>
  <c r="D34" i="61" s="1"/>
  <c r="D35" i="61" s="1"/>
  <c r="D36" i="61" s="1"/>
  <c r="D37" i="61" s="1"/>
  <c r="D38" i="61" s="1"/>
  <c r="D39" i="61" s="1"/>
  <c r="D40" i="61" s="1"/>
  <c r="D41" i="61" s="1"/>
  <c r="D42" i="61" s="1"/>
  <c r="D43" i="61" s="1"/>
  <c r="D44" i="61" s="1"/>
  <c r="D45" i="61" s="1"/>
  <c r="E21" i="422" s="1"/>
  <c r="E8" i="61"/>
  <c r="L8" i="61"/>
  <c r="E9" i="61"/>
  <c r="H9" i="61"/>
  <c r="K9" i="61" s="1"/>
  <c r="K10" i="61" s="1"/>
  <c r="J9" i="61"/>
  <c r="L9" i="61" s="1"/>
  <c r="E10" i="61"/>
  <c r="E11" i="61" s="1"/>
  <c r="H10" i="61"/>
  <c r="J10" i="61"/>
  <c r="J11" i="61" s="1"/>
  <c r="J12" i="61" s="1"/>
  <c r="J13" i="61" s="1"/>
  <c r="J14" i="61" s="1"/>
  <c r="J15" i="61" s="1"/>
  <c r="J16" i="61" s="1"/>
  <c r="J17" i="61" s="1"/>
  <c r="J18" i="61" s="1"/>
  <c r="J19" i="61" s="1"/>
  <c r="J20" i="61" s="1"/>
  <c r="J21" i="61" s="1"/>
  <c r="J22" i="61" s="1"/>
  <c r="J23" i="61" s="1"/>
  <c r="J24" i="61" s="1"/>
  <c r="J25" i="61" s="1"/>
  <c r="J26" i="61" s="1"/>
  <c r="J27" i="61" s="1"/>
  <c r="J28" i="61" s="1"/>
  <c r="J29" i="61" s="1"/>
  <c r="J30" i="61" s="1"/>
  <c r="J31" i="61" s="1"/>
  <c r="J32" i="61" s="1"/>
  <c r="J33" i="61" s="1"/>
  <c r="J34" i="61" s="1"/>
  <c r="J35" i="61" s="1"/>
  <c r="H11" i="61"/>
  <c r="K11" i="61"/>
  <c r="K12" i="61" s="1"/>
  <c r="K13" i="61" s="1"/>
  <c r="K14" i="61" s="1"/>
  <c r="H12" i="61"/>
  <c r="H13" i="61"/>
  <c r="H14" i="61"/>
  <c r="H15" i="61"/>
  <c r="K15" i="61"/>
  <c r="K16" i="61" s="1"/>
  <c r="K17" i="61" s="1"/>
  <c r="K18" i="61" s="1"/>
  <c r="K19" i="61" s="1"/>
  <c r="K20" i="61" s="1"/>
  <c r="K21" i="61" s="1"/>
  <c r="K22" i="61" s="1"/>
  <c r="K23" i="61" s="1"/>
  <c r="K24" i="61" s="1"/>
  <c r="K25" i="61" s="1"/>
  <c r="K26" i="61" s="1"/>
  <c r="K27" i="61" s="1"/>
  <c r="K28" i="61" s="1"/>
  <c r="K29" i="61" s="1"/>
  <c r="K30" i="61" s="1"/>
  <c r="K31" i="61" s="1"/>
  <c r="K32" i="61" s="1"/>
  <c r="K33" i="61" s="1"/>
  <c r="K34" i="61" s="1"/>
  <c r="K35" i="61" s="1"/>
  <c r="K36" i="61" s="1"/>
  <c r="K37" i="61" s="1"/>
  <c r="K38" i="61" s="1"/>
  <c r="K39" i="61" s="1"/>
  <c r="K40" i="61" s="1"/>
  <c r="K41" i="61" s="1"/>
  <c r="K42" i="61" s="1"/>
  <c r="K43" i="61" s="1"/>
  <c r="K44" i="61" s="1"/>
  <c r="K45" i="61" s="1"/>
  <c r="H16" i="61"/>
  <c r="H17" i="61"/>
  <c r="H18" i="61"/>
  <c r="H19" i="61"/>
  <c r="H20" i="61"/>
  <c r="H21" i="61"/>
  <c r="H22" i="61"/>
  <c r="H23" i="61"/>
  <c r="H24" i="61"/>
  <c r="H25" i="61"/>
  <c r="H26" i="61"/>
  <c r="H27" i="61"/>
  <c r="H28" i="61"/>
  <c r="J36" i="61"/>
  <c r="J37" i="61" s="1"/>
  <c r="J38" i="61" s="1"/>
  <c r="J39" i="61" s="1"/>
  <c r="J40" i="61" s="1"/>
  <c r="J41" i="61" s="1"/>
  <c r="J42" i="61" s="1"/>
  <c r="J43" i="61" s="1"/>
  <c r="J44" i="61" s="1"/>
  <c r="J45" i="61" s="1"/>
  <c r="H29" i="61"/>
  <c r="I29" i="61"/>
  <c r="H30" i="61"/>
  <c r="H31" i="61"/>
  <c r="H32" i="61"/>
  <c r="H33" i="61"/>
  <c r="H34" i="61"/>
  <c r="H35" i="61"/>
  <c r="H36" i="61"/>
  <c r="H37" i="61"/>
  <c r="H38" i="61"/>
  <c r="H39" i="61"/>
  <c r="H40" i="61"/>
  <c r="H41" i="61"/>
  <c r="H42" i="61"/>
  <c r="H43" i="61"/>
  <c r="H44" i="61"/>
  <c r="H45" i="61"/>
  <c r="K21" i="422" s="1"/>
  <c r="D8" i="62"/>
  <c r="E8" i="62"/>
  <c r="D9" i="62"/>
  <c r="E9" i="62"/>
  <c r="E10" i="62" s="1"/>
  <c r="G9" i="62"/>
  <c r="H9" i="62"/>
  <c r="K9" i="62" s="1"/>
  <c r="L9" i="62"/>
  <c r="D10" i="62"/>
  <c r="G10" i="62"/>
  <c r="H10" i="62"/>
  <c r="D11" i="62"/>
  <c r="D12" i="62"/>
  <c r="D13" i="62" s="1"/>
  <c r="D14" i="62" s="1"/>
  <c r="D15" i="62" s="1"/>
  <c r="D16" i="62"/>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D46" i="62" s="1"/>
  <c r="D47" i="62" s="1"/>
  <c r="D48" i="62" s="1"/>
  <c r="D49" i="62" s="1"/>
  <c r="G11" i="62"/>
  <c r="H11" i="62"/>
  <c r="J11" i="62"/>
  <c r="J12" i="62"/>
  <c r="J13" i="62" s="1"/>
  <c r="J14" i="62" s="1"/>
  <c r="J15" i="62" s="1"/>
  <c r="J16" i="62" s="1"/>
  <c r="J17" i="62" s="1"/>
  <c r="J18" i="62" s="1"/>
  <c r="J19" i="62" s="1"/>
  <c r="J20" i="62" s="1"/>
  <c r="J21" i="62" s="1"/>
  <c r="J22" i="62" s="1"/>
  <c r="J23" i="62" s="1"/>
  <c r="J24" i="62" s="1"/>
  <c r="J25" i="62" s="1"/>
  <c r="J26" i="62" s="1"/>
  <c r="J27" i="62" s="1"/>
  <c r="J28" i="62" s="1"/>
  <c r="J29" i="62" s="1"/>
  <c r="J30" i="62" s="1"/>
  <c r="J31" i="62" s="1"/>
  <c r="J32" i="62" s="1"/>
  <c r="J33" i="62" s="1"/>
  <c r="J34" i="62" s="1"/>
  <c r="J35" i="62" s="1"/>
  <c r="J36" i="62" s="1"/>
  <c r="J37" i="62" s="1"/>
  <c r="J38" i="62" s="1"/>
  <c r="J39" i="62" s="1"/>
  <c r="J40" i="62" s="1"/>
  <c r="J41" i="62" s="1"/>
  <c r="J42" i="62" s="1"/>
  <c r="J43" i="62" s="1"/>
  <c r="J44" i="62" s="1"/>
  <c r="J45" i="62" s="1"/>
  <c r="J46" i="62" s="1"/>
  <c r="J47" i="62" s="1"/>
  <c r="J48" i="62" s="1"/>
  <c r="J49" i="62" s="1"/>
  <c r="G12" i="62"/>
  <c r="H12" i="62"/>
  <c r="G13" i="62"/>
  <c r="H13" i="62"/>
  <c r="G14" i="62"/>
  <c r="H14" i="62"/>
  <c r="G15" i="62"/>
  <c r="H15" i="62"/>
  <c r="G16" i="62"/>
  <c r="H16" i="62"/>
  <c r="G17" i="62"/>
  <c r="H17" i="62"/>
  <c r="G18" i="62"/>
  <c r="H18" i="62"/>
  <c r="G19" i="62"/>
  <c r="H19" i="62"/>
  <c r="G20" i="62"/>
  <c r="H20" i="62"/>
  <c r="G21" i="62"/>
  <c r="H21" i="62"/>
  <c r="G22" i="62"/>
  <c r="H22" i="62"/>
  <c r="I22" i="62"/>
  <c r="G23" i="62"/>
  <c r="H23" i="62"/>
  <c r="G24" i="62"/>
  <c r="H24" i="62"/>
  <c r="G25" i="62"/>
  <c r="H25" i="62"/>
  <c r="G26" i="62"/>
  <c r="H26" i="62"/>
  <c r="G27" i="62"/>
  <c r="H27" i="62"/>
  <c r="G28" i="62"/>
  <c r="H28" i="62"/>
  <c r="G29" i="62"/>
  <c r="H29" i="62"/>
  <c r="G30" i="62"/>
  <c r="H30" i="62"/>
  <c r="G31" i="62"/>
  <c r="H31" i="62"/>
  <c r="G32" i="62"/>
  <c r="H32" i="62"/>
  <c r="G33" i="62"/>
  <c r="H33" i="62"/>
  <c r="G34" i="62"/>
  <c r="H34" i="62"/>
  <c r="G35" i="62"/>
  <c r="H35" i="62"/>
  <c r="G36" i="62"/>
  <c r="H36" i="62"/>
  <c r="G37" i="62"/>
  <c r="H37" i="62"/>
  <c r="G38" i="62"/>
  <c r="H38" i="62"/>
  <c r="G39" i="62"/>
  <c r="H39" i="62"/>
  <c r="G40" i="62"/>
  <c r="H40" i="62"/>
  <c r="G41" i="62"/>
  <c r="H41" i="62"/>
  <c r="G42" i="62"/>
  <c r="H42" i="62"/>
  <c r="G43" i="62"/>
  <c r="H43" i="62"/>
  <c r="G44" i="62"/>
  <c r="H44" i="62"/>
  <c r="G45" i="62"/>
  <c r="H45" i="62"/>
  <c r="G46" i="62"/>
  <c r="H46" i="62"/>
  <c r="G47" i="62"/>
  <c r="H47" i="62"/>
  <c r="G48" i="62"/>
  <c r="H48" i="62"/>
  <c r="G49" i="62"/>
  <c r="H49" i="62"/>
  <c r="H50" i="62"/>
  <c r="D9" i="213"/>
  <c r="E9" i="213"/>
  <c r="G9" i="213" s="1"/>
  <c r="L9" i="213"/>
  <c r="D10" i="213"/>
  <c r="D11" i="213"/>
  <c r="D12" i="213" s="1"/>
  <c r="D13" i="213" s="1"/>
  <c r="D14" i="213" s="1"/>
  <c r="D15" i="213" s="1"/>
  <c r="D16" i="213" s="1"/>
  <c r="D17" i="213" s="1"/>
  <c r="D18" i="213" s="1"/>
  <c r="D19" i="213" s="1"/>
  <c r="D20" i="213" s="1"/>
  <c r="D21" i="213"/>
  <c r="D22" i="213" s="1"/>
  <c r="D23" i="213" s="1"/>
  <c r="D24" i="213" s="1"/>
  <c r="D25" i="213" s="1"/>
  <c r="D26" i="213" s="1"/>
  <c r="D27" i="213" s="1"/>
  <c r="D28" i="213" s="1"/>
  <c r="D29" i="213" s="1"/>
  <c r="D30" i="213" s="1"/>
  <c r="D31" i="213" s="1"/>
  <c r="D32" i="213" s="1"/>
  <c r="D33" i="213" s="1"/>
  <c r="D34" i="213" s="1"/>
  <c r="D35" i="213" s="1"/>
  <c r="D36" i="213" s="1"/>
  <c r="D37" i="213" s="1"/>
  <c r="D38" i="213" s="1"/>
  <c r="D39" i="213" s="1"/>
  <c r="D40" i="213" s="1"/>
  <c r="D41" i="213" s="1"/>
  <c r="D42" i="213" s="1"/>
  <c r="D43" i="213" s="1"/>
  <c r="D44" i="213" s="1"/>
  <c r="D45" i="213" s="1"/>
  <c r="D46" i="213" s="1"/>
  <c r="D47" i="213" s="1"/>
  <c r="D48" i="213" s="1"/>
  <c r="D49" i="213" s="1"/>
  <c r="D50" i="213" s="1"/>
  <c r="D51" i="213" s="1"/>
  <c r="D52" i="213" s="1"/>
  <c r="D53" i="213" s="1"/>
  <c r="D54" i="213" s="1"/>
  <c r="D55" i="213" s="1"/>
  <c r="D56" i="213" s="1"/>
  <c r="D57" i="213" s="1"/>
  <c r="D58" i="213" s="1"/>
  <c r="D59" i="213" s="1"/>
  <c r="D60" i="213" s="1"/>
  <c r="E22" i="422" s="1"/>
  <c r="E10" i="213"/>
  <c r="K10" i="213"/>
  <c r="K11" i="213" s="1"/>
  <c r="E11" i="213"/>
  <c r="J11" i="213"/>
  <c r="J12" i="213" s="1"/>
  <c r="J15" i="213" s="1"/>
  <c r="K12" i="213"/>
  <c r="K13" i="213"/>
  <c r="K14" i="213" s="1"/>
  <c r="K15" i="213" s="1"/>
  <c r="K16" i="213" s="1"/>
  <c r="K17" i="213" s="1"/>
  <c r="K19" i="213" s="1"/>
  <c r="K20" i="213" s="1"/>
  <c r="K21" i="213" s="1"/>
  <c r="K22" i="213" s="1"/>
  <c r="K23" i="213" s="1"/>
  <c r="K24" i="213" s="1"/>
  <c r="K25" i="213" s="1"/>
  <c r="K26" i="213" s="1"/>
  <c r="K27" i="213" s="1"/>
  <c r="K28" i="213" s="1"/>
  <c r="H30" i="213"/>
  <c r="H31" i="213"/>
  <c r="J31" i="213"/>
  <c r="H32" i="213"/>
  <c r="J32" i="213"/>
  <c r="J33" i="213" s="1"/>
  <c r="J34" i="213" s="1"/>
  <c r="J35" i="213" s="1"/>
  <c r="J36" i="213" s="1"/>
  <c r="J37" i="213" s="1"/>
  <c r="J38" i="213" s="1"/>
  <c r="J39" i="213" s="1"/>
  <c r="J40" i="213" s="1"/>
  <c r="J41" i="213" s="1"/>
  <c r="J42" i="213" s="1"/>
  <c r="J43" i="213" s="1"/>
  <c r="H33" i="213"/>
  <c r="H34" i="213"/>
  <c r="H35" i="213"/>
  <c r="H36" i="213"/>
  <c r="J44" i="213"/>
  <c r="J45" i="213" s="1"/>
  <c r="J46" i="213" s="1"/>
  <c r="J47" i="213" s="1"/>
  <c r="J48" i="213" s="1"/>
  <c r="J49" i="213" s="1"/>
  <c r="J50" i="213" s="1"/>
  <c r="J51" i="213" s="1"/>
  <c r="J52" i="213" s="1"/>
  <c r="J53" i="213" s="1"/>
  <c r="J54" i="213" s="1"/>
  <c r="J55" i="213" s="1"/>
  <c r="J56" i="213" s="1"/>
  <c r="J57" i="213" s="1"/>
  <c r="J58" i="213" s="1"/>
  <c r="J59" i="213" s="1"/>
  <c r="J60" i="213" s="1"/>
  <c r="J22" i="422" s="1"/>
  <c r="H41" i="213"/>
  <c r="H42" i="213"/>
  <c r="I42" i="213"/>
  <c r="H43" i="213"/>
  <c r="H44" i="213"/>
  <c r="H45" i="213"/>
  <c r="H46" i="213"/>
  <c r="H47" i="213"/>
  <c r="C48" i="213"/>
  <c r="H49" i="213"/>
  <c r="H48" i="213"/>
  <c r="I49" i="213"/>
  <c r="H50" i="213"/>
  <c r="H51" i="213"/>
  <c r="H52" i="213"/>
  <c r="H53" i="213"/>
  <c r="H54" i="213"/>
  <c r="H55" i="213"/>
  <c r="H56" i="213"/>
  <c r="H57" i="213"/>
  <c r="H58" i="213"/>
  <c r="H59" i="213"/>
  <c r="H60" i="213"/>
  <c r="K22" i="422" s="1"/>
  <c r="B7" i="66"/>
  <c r="D7" i="66" s="1"/>
  <c r="D8" i="66" s="1"/>
  <c r="D9" i="66" s="1"/>
  <c r="D10" i="66" s="1"/>
  <c r="D11" i="66" s="1"/>
  <c r="D12" i="66" s="1"/>
  <c r="D13" i="66" s="1"/>
  <c r="D14" i="66" s="1"/>
  <c r="D15" i="66" s="1"/>
  <c r="D16" i="66" s="1"/>
  <c r="D17" i="66" s="1"/>
  <c r="D18" i="66" s="1"/>
  <c r="C7" i="66"/>
  <c r="G7" i="66"/>
  <c r="G8" i="66" s="1"/>
  <c r="G9" i="66"/>
  <c r="G10" i="66" s="1"/>
  <c r="G11" i="66" s="1"/>
  <c r="G12" i="66" s="1"/>
  <c r="G13" i="66"/>
  <c r="E7" i="66"/>
  <c r="E8" i="66" s="1"/>
  <c r="L8" i="66" s="1"/>
  <c r="K8" i="66"/>
  <c r="K9" i="66"/>
  <c r="K10" i="66" s="1"/>
  <c r="K11" i="66" s="1"/>
  <c r="K12" i="66" s="1"/>
  <c r="K13" i="66" s="1"/>
  <c r="K14" i="66" s="1"/>
  <c r="D19" i="66"/>
  <c r="D20" i="66" s="1"/>
  <c r="D21" i="66" s="1"/>
  <c r="D22" i="66" s="1"/>
  <c r="D23" i="66" s="1"/>
  <c r="D24" i="66" s="1"/>
  <c r="D25" i="66" s="1"/>
  <c r="D26" i="66" s="1"/>
  <c r="D27" i="66" s="1"/>
  <c r="D28" i="66" s="1"/>
  <c r="D29" i="66" s="1"/>
  <c r="D30" i="66" s="1"/>
  <c r="D31" i="66" s="1"/>
  <c r="D32" i="66" s="1"/>
  <c r="D33" i="66" s="1"/>
  <c r="D34" i="66" s="1"/>
  <c r="D35" i="66"/>
  <c r="D36" i="66" s="1"/>
  <c r="D37" i="66" s="1"/>
  <c r="D38" i="66" s="1"/>
  <c r="D39" i="66" s="1"/>
  <c r="D40" i="66" s="1"/>
  <c r="D41" i="66" s="1"/>
  <c r="D42" i="66" s="1"/>
  <c r="D43" i="66" s="1"/>
  <c r="E23" i="422" s="1"/>
  <c r="B12" i="66"/>
  <c r="C12" i="66"/>
  <c r="I15" i="66"/>
  <c r="J15" i="66"/>
  <c r="J16" i="66" s="1"/>
  <c r="J17" i="66" s="1"/>
  <c r="J18" i="66" s="1"/>
  <c r="J19" i="66"/>
  <c r="J20" i="66" s="1"/>
  <c r="J21" i="66" s="1"/>
  <c r="J22" i="66" s="1"/>
  <c r="J23" i="66"/>
  <c r="J24" i="66" s="1"/>
  <c r="J25" i="66" s="1"/>
  <c r="J26" i="66" s="1"/>
  <c r="J27" i="66" s="1"/>
  <c r="J28" i="66" s="1"/>
  <c r="J29" i="66" s="1"/>
  <c r="J30" i="66" s="1"/>
  <c r="J31" i="66" s="1"/>
  <c r="J32" i="66" s="1"/>
  <c r="J33" i="66" s="1"/>
  <c r="J34" i="66" s="1"/>
  <c r="J35" i="66" s="1"/>
  <c r="J36" i="66" s="1"/>
  <c r="J37" i="66" s="1"/>
  <c r="J38" i="66" s="1"/>
  <c r="J39" i="66" s="1"/>
  <c r="J40" i="66" s="1"/>
  <c r="J41" i="66" s="1"/>
  <c r="J42" i="66" s="1"/>
  <c r="J43" i="66" s="1"/>
  <c r="J23" i="422" s="1"/>
  <c r="I17" i="66"/>
  <c r="H18" i="66"/>
  <c r="B19" i="66"/>
  <c r="C19" i="66"/>
  <c r="H19" i="66"/>
  <c r="I19" i="66"/>
  <c r="H20" i="66"/>
  <c r="H21" i="66"/>
  <c r="H22" i="66"/>
  <c r="I22" i="66"/>
  <c r="H23" i="66"/>
  <c r="I23" i="66"/>
  <c r="H24" i="66"/>
  <c r="H25" i="66"/>
  <c r="H29" i="66"/>
  <c r="B30" i="66"/>
  <c r="C30" i="66"/>
  <c r="G34" i="66"/>
  <c r="G35" i="66"/>
  <c r="G36" i="66"/>
  <c r="H36" i="66"/>
  <c r="G37" i="66"/>
  <c r="H37" i="66"/>
  <c r="G38" i="66"/>
  <c r="H38" i="66"/>
  <c r="G39" i="66"/>
  <c r="H39" i="66"/>
  <c r="G40" i="66"/>
  <c r="H40" i="66"/>
  <c r="G41" i="66"/>
  <c r="H41" i="66"/>
  <c r="G42" i="66"/>
  <c r="H42" i="66"/>
  <c r="G43" i="66"/>
  <c r="H43" i="66"/>
  <c r="K23" i="422" s="1"/>
  <c r="H44" i="66"/>
  <c r="D7" i="224"/>
  <c r="E7" i="224"/>
  <c r="G7" i="224"/>
  <c r="L7" i="224"/>
  <c r="D8" i="224"/>
  <c r="E8" i="224"/>
  <c r="G8" i="224"/>
  <c r="L8" i="224"/>
  <c r="D9" i="224"/>
  <c r="E9" i="224"/>
  <c r="G9" i="224"/>
  <c r="H9" i="224"/>
  <c r="K9" i="224" s="1"/>
  <c r="K10" i="224" s="1"/>
  <c r="K11" i="224" s="1"/>
  <c r="K12" i="224" s="1"/>
  <c r="K13" i="224" s="1"/>
  <c r="L9" i="224"/>
  <c r="D10" i="224"/>
  <c r="E10" i="224"/>
  <c r="G10" i="224"/>
  <c r="H10" i="224"/>
  <c r="D11" i="224"/>
  <c r="G11" i="224"/>
  <c r="H11" i="224"/>
  <c r="D12" i="224"/>
  <c r="G12" i="224"/>
  <c r="H12" i="224"/>
  <c r="D13" i="224"/>
  <c r="G13" i="224"/>
  <c r="H13" i="224"/>
  <c r="D14" i="224"/>
  <c r="D15" i="224" s="1"/>
  <c r="D16" i="224" s="1"/>
  <c r="D17" i="224" s="1"/>
  <c r="D18" i="224"/>
  <c r="D19" i="224" s="1"/>
  <c r="G14" i="224"/>
  <c r="H14" i="224"/>
  <c r="J14" i="224"/>
  <c r="J15" i="224"/>
  <c r="J16" i="224" s="1"/>
  <c r="J17" i="224"/>
  <c r="J18" i="224" s="1"/>
  <c r="J19" i="224" s="1"/>
  <c r="J20" i="224" s="1"/>
  <c r="J21" i="224" s="1"/>
  <c r="J22" i="224" s="1"/>
  <c r="J23" i="224" s="1"/>
  <c r="J24" i="224" s="1"/>
  <c r="J25" i="224" s="1"/>
  <c r="J26" i="224" s="1"/>
  <c r="J27" i="224" s="1"/>
  <c r="J28" i="224" s="1"/>
  <c r="J29" i="224" s="1"/>
  <c r="J30" i="224" s="1"/>
  <c r="J31" i="224" s="1"/>
  <c r="J32" i="224" s="1"/>
  <c r="J33" i="224"/>
  <c r="J34" i="224" s="1"/>
  <c r="J35" i="224" s="1"/>
  <c r="J36" i="224" s="1"/>
  <c r="J37" i="224" s="1"/>
  <c r="J38" i="224" s="1"/>
  <c r="J39" i="224" s="1"/>
  <c r="J40" i="224" s="1"/>
  <c r="J41" i="224" s="1"/>
  <c r="J42" i="224" s="1"/>
  <c r="J43" i="224" s="1"/>
  <c r="J44" i="224" s="1"/>
  <c r="J45" i="224" s="1"/>
  <c r="G15" i="224"/>
  <c r="H15" i="224"/>
  <c r="G16" i="224"/>
  <c r="H16" i="224"/>
  <c r="G17" i="224"/>
  <c r="H17" i="224"/>
  <c r="G18" i="224"/>
  <c r="H18" i="224"/>
  <c r="G19" i="224"/>
  <c r="H19" i="224"/>
  <c r="D20" i="224"/>
  <c r="D21" i="224" s="1"/>
  <c r="D22" i="224" s="1"/>
  <c r="D23" i="224" s="1"/>
  <c r="D24" i="224" s="1"/>
  <c r="D25" i="224" s="1"/>
  <c r="D26" i="224" s="1"/>
  <c r="D27" i="224" s="1"/>
  <c r="D28" i="224" s="1"/>
  <c r="D29" i="224" s="1"/>
  <c r="D30" i="224" s="1"/>
  <c r="D31" i="224" s="1"/>
  <c r="D32" i="224" s="1"/>
  <c r="D33" i="224" s="1"/>
  <c r="D34" i="224" s="1"/>
  <c r="D35" i="224" s="1"/>
  <c r="D36" i="224" s="1"/>
  <c r="D37" i="224" s="1"/>
  <c r="D38" i="224" s="1"/>
  <c r="D39" i="224" s="1"/>
  <c r="D40" i="224" s="1"/>
  <c r="D41" i="224" s="1"/>
  <c r="D42" i="224" s="1"/>
  <c r="D43" i="224" s="1"/>
  <c r="D44" i="224" s="1"/>
  <c r="D45" i="224" s="1"/>
  <c r="D46" i="224" s="1"/>
  <c r="D47" i="224" s="1"/>
  <c r="D48" i="224" s="1"/>
  <c r="D49" i="224" s="1"/>
  <c r="D50" i="224" s="1"/>
  <c r="D51" i="224" s="1"/>
  <c r="G20" i="224"/>
  <c r="H20" i="224"/>
  <c r="G21" i="224"/>
  <c r="H21" i="224"/>
  <c r="G22" i="224"/>
  <c r="H22" i="224"/>
  <c r="G23" i="224"/>
  <c r="H23" i="224"/>
  <c r="G24" i="224"/>
  <c r="H24" i="224"/>
  <c r="I24" i="224"/>
  <c r="G25" i="224"/>
  <c r="H25" i="224"/>
  <c r="G26" i="224"/>
  <c r="H26" i="224"/>
  <c r="G27" i="224"/>
  <c r="H27" i="224"/>
  <c r="G28" i="224"/>
  <c r="H28" i="224"/>
  <c r="G29" i="224"/>
  <c r="H29" i="224"/>
  <c r="H30" i="224"/>
  <c r="H31" i="224"/>
  <c r="H32" i="224"/>
  <c r="H33" i="224"/>
  <c r="H34" i="224"/>
  <c r="H35" i="224"/>
  <c r="H36" i="224"/>
  <c r="H37" i="224"/>
  <c r="H38" i="224"/>
  <c r="H39" i="224"/>
  <c r="I39" i="224"/>
  <c r="H40" i="224"/>
  <c r="H41" i="224"/>
  <c r="H42" i="224"/>
  <c r="I43" i="224"/>
  <c r="I46" i="224"/>
  <c r="I48" i="224"/>
  <c r="G49" i="224"/>
  <c r="H49" i="224"/>
  <c r="G50" i="224"/>
  <c r="H50" i="224"/>
  <c r="G51" i="224"/>
  <c r="H51" i="224"/>
  <c r="H52" i="224"/>
  <c r="K24" i="422" s="1"/>
  <c r="D7" i="71"/>
  <c r="E7" i="71"/>
  <c r="D8" i="71"/>
  <c r="D9" i="71"/>
  <c r="D10" i="71" s="1"/>
  <c r="D11" i="71" s="1"/>
  <c r="D12" i="71" s="1"/>
  <c r="D13" i="71" s="1"/>
  <c r="D14" i="71" s="1"/>
  <c r="D15" i="71" s="1"/>
  <c r="D16" i="71" s="1"/>
  <c r="D17" i="71" s="1"/>
  <c r="D18" i="71" s="1"/>
  <c r="D19" i="71" s="1"/>
  <c r="H8" i="71"/>
  <c r="K8" i="71"/>
  <c r="H9" i="71"/>
  <c r="K9" i="71"/>
  <c r="H10" i="71"/>
  <c r="H11" i="71"/>
  <c r="H12" i="71"/>
  <c r="H13" i="71"/>
  <c r="H14" i="71"/>
  <c r="H15" i="71"/>
  <c r="H16" i="71"/>
  <c r="J16" i="71"/>
  <c r="H17" i="71"/>
  <c r="J17" i="71"/>
  <c r="J18" i="71" s="1"/>
  <c r="J19" i="71" s="1"/>
  <c r="H18" i="71"/>
  <c r="H19" i="71"/>
  <c r="H20" i="71"/>
  <c r="D7" i="72"/>
  <c r="D8" i="72" s="1"/>
  <c r="D9" i="72" s="1"/>
  <c r="D10" i="72" s="1"/>
  <c r="D11" i="72" s="1"/>
  <c r="D12" i="72" s="1"/>
  <c r="D13" i="72" s="1"/>
  <c r="D14" i="72" s="1"/>
  <c r="D15" i="72" s="1"/>
  <c r="D16" i="72" s="1"/>
  <c r="D17" i="72" s="1"/>
  <c r="E25" i="422" s="1"/>
  <c r="E7" i="72"/>
  <c r="H8" i="72"/>
  <c r="K8" i="72"/>
  <c r="K9" i="72" s="1"/>
  <c r="K10" i="72" s="1"/>
  <c r="H9" i="72"/>
  <c r="H10" i="72"/>
  <c r="H11" i="72"/>
  <c r="J11" i="72"/>
  <c r="H12" i="72"/>
  <c r="J12" i="72"/>
  <c r="J13" i="72" s="1"/>
  <c r="J14" i="72" s="1"/>
  <c r="J15" i="72" s="1"/>
  <c r="J16" i="72" s="1"/>
  <c r="J17" i="72" s="1"/>
  <c r="J25" i="422" s="1"/>
  <c r="H13" i="72"/>
  <c r="H14" i="72"/>
  <c r="I14" i="72"/>
  <c r="H15" i="72"/>
  <c r="H16" i="72"/>
  <c r="H17" i="72"/>
  <c r="K25" i="422" s="1"/>
  <c r="H18" i="72"/>
  <c r="D6" i="180"/>
  <c r="D7" i="180" s="1"/>
  <c r="D8" i="180" s="1"/>
  <c r="D9" i="180" s="1"/>
  <c r="D10" i="180" s="1"/>
  <c r="D11" i="180" s="1"/>
  <c r="E6" i="180"/>
  <c r="L6" i="180"/>
  <c r="J7" i="180"/>
  <c r="J8" i="180"/>
  <c r="D12" i="180"/>
  <c r="D13" i="180" s="1"/>
  <c r="D14" i="180" s="1"/>
  <c r="D15" i="180" s="1"/>
  <c r="E27" i="422" s="1"/>
  <c r="I9" i="180"/>
  <c r="J9" i="180" s="1"/>
  <c r="J10" i="180" s="1"/>
  <c r="J11" i="180" s="1"/>
  <c r="J12" i="180" s="1"/>
  <c r="J13" i="180" s="1"/>
  <c r="J14" i="180" s="1"/>
  <c r="J15" i="180" s="1"/>
  <c r="J27" i="422" s="1"/>
  <c r="D7" i="202"/>
  <c r="D8" i="202" s="1"/>
  <c r="D9" i="202" s="1"/>
  <c r="D10" i="202" s="1"/>
  <c r="D11" i="202" s="1"/>
  <c r="D12" i="202" s="1"/>
  <c r="D13" i="202" s="1"/>
  <c r="D14" i="202" s="1"/>
  <c r="D15" i="202" s="1"/>
  <c r="D16" i="202" s="1"/>
  <c r="D17" i="202" s="1"/>
  <c r="D18" i="202" s="1"/>
  <c r="D19" i="202" s="1"/>
  <c r="D20" i="202" s="1"/>
  <c r="D21" i="202" s="1"/>
  <c r="D22" i="202" s="1"/>
  <c r="D23" i="202" s="1"/>
  <c r="D24" i="202" s="1"/>
  <c r="D25" i="202" s="1"/>
  <c r="D26" i="202" s="1"/>
  <c r="D27" i="202" s="1"/>
  <c r="D28" i="202" s="1"/>
  <c r="D29" i="202" s="1"/>
  <c r="D30" i="202" s="1"/>
  <c r="D31" i="202" s="1"/>
  <c r="E7" i="202"/>
  <c r="L7" i="202"/>
  <c r="H8" i="202"/>
  <c r="K8" i="202" s="1"/>
  <c r="J8" i="202"/>
  <c r="H9" i="202"/>
  <c r="J9" i="202"/>
  <c r="H10" i="202"/>
  <c r="J10" i="202"/>
  <c r="H11" i="202"/>
  <c r="J11" i="202"/>
  <c r="H12" i="202"/>
  <c r="J12" i="202"/>
  <c r="H13" i="202"/>
  <c r="J13" i="202"/>
  <c r="H14" i="202"/>
  <c r="J14" i="202"/>
  <c r="H15" i="202"/>
  <c r="J15" i="202"/>
  <c r="H16" i="202"/>
  <c r="J16" i="202"/>
  <c r="H17" i="202"/>
  <c r="J17" i="202"/>
  <c r="H18" i="202"/>
  <c r="J18" i="202"/>
  <c r="H19" i="202"/>
  <c r="J19" i="202"/>
  <c r="H20" i="202"/>
  <c r="J20" i="202"/>
  <c r="H21" i="202"/>
  <c r="J21" i="202"/>
  <c r="H22" i="202"/>
  <c r="J22" i="202"/>
  <c r="H23" i="202"/>
  <c r="J23" i="202"/>
  <c r="H24" i="202"/>
  <c r="J24" i="202"/>
  <c r="H25" i="202"/>
  <c r="J25" i="202"/>
  <c r="H26" i="202"/>
  <c r="J26" i="202"/>
  <c r="H27" i="202"/>
  <c r="J27" i="202"/>
  <c r="H28" i="202"/>
  <c r="J28" i="202"/>
  <c r="H29" i="202"/>
  <c r="J29" i="202"/>
  <c r="D32" i="202"/>
  <c r="D33" i="202" s="1"/>
  <c r="D34" i="202" s="1"/>
  <c r="D35" i="202" s="1"/>
  <c r="E28" i="422" s="1"/>
  <c r="H30" i="202"/>
  <c r="I30" i="202"/>
  <c r="J30" i="202"/>
  <c r="H31" i="202"/>
  <c r="J31" i="202"/>
  <c r="J32" i="202" s="1"/>
  <c r="J33" i="202" s="1"/>
  <c r="J34" i="202" s="1"/>
  <c r="J35" i="202" s="1"/>
  <c r="J28" i="422" s="1"/>
  <c r="H32" i="202"/>
  <c r="H33" i="202"/>
  <c r="H34" i="202"/>
  <c r="H35" i="202"/>
  <c r="K28" i="422" s="1"/>
  <c r="I35" i="202"/>
  <c r="H36" i="202"/>
  <c r="D7" i="226"/>
  <c r="E7" i="226"/>
  <c r="D8" i="226"/>
  <c r="D9" i="226" s="1"/>
  <c r="D10" i="226" s="1"/>
  <c r="D11" i="226" s="1"/>
  <c r="D12" i="226" s="1"/>
  <c r="D13" i="226" s="1"/>
  <c r="D14" i="226" s="1"/>
  <c r="E8" i="226"/>
  <c r="H8" i="226"/>
  <c r="K8" i="226" s="1"/>
  <c r="K9" i="226" s="1"/>
  <c r="K10" i="226" s="1"/>
  <c r="K11" i="226" s="1"/>
  <c r="K12" i="226" s="1"/>
  <c r="K13" i="226" s="1"/>
  <c r="K14" i="226" s="1"/>
  <c r="K15" i="226" s="1"/>
  <c r="K16" i="226" s="1"/>
  <c r="H9" i="226"/>
  <c r="H10" i="226"/>
  <c r="H11" i="226"/>
  <c r="I11" i="226"/>
  <c r="J11" i="226"/>
  <c r="D15" i="226"/>
  <c r="D16" i="226" s="1"/>
  <c r="D17" i="226" s="1"/>
  <c r="D18" i="226" s="1"/>
  <c r="D19" i="226"/>
  <c r="D20" i="226" s="1"/>
  <c r="D21" i="226" s="1"/>
  <c r="E29" i="422" s="1"/>
  <c r="H12" i="226"/>
  <c r="H13" i="226"/>
  <c r="H14" i="226"/>
  <c r="H15" i="226"/>
  <c r="H16" i="226"/>
  <c r="H18" i="226"/>
  <c r="H19" i="226"/>
  <c r="H20" i="226"/>
  <c r="H21" i="226"/>
  <c r="K29" i="422" s="1"/>
  <c r="L22" i="226"/>
  <c r="D7" i="252"/>
  <c r="E7" i="252"/>
  <c r="L7" i="252" s="1"/>
  <c r="D8" i="252"/>
  <c r="H8" i="252"/>
  <c r="J8" i="252"/>
  <c r="K8" i="252"/>
  <c r="D9" i="252"/>
  <c r="H9" i="252"/>
  <c r="J9" i="252"/>
  <c r="K9" i="252"/>
  <c r="D10" i="252"/>
  <c r="H10" i="252"/>
  <c r="J10" i="252"/>
  <c r="K10" i="252"/>
  <c r="D11" i="252"/>
  <c r="H11" i="252"/>
  <c r="J11" i="252"/>
  <c r="K11" i="252"/>
  <c r="D12" i="252"/>
  <c r="H12" i="252"/>
  <c r="J12" i="252"/>
  <c r="K12" i="252"/>
  <c r="D13" i="252"/>
  <c r="H13" i="252"/>
  <c r="J13" i="252"/>
  <c r="K13" i="252"/>
  <c r="D14" i="252"/>
  <c r="H14" i="252"/>
  <c r="J14" i="252"/>
  <c r="K14" i="252"/>
  <c r="D15" i="252"/>
  <c r="H15" i="252"/>
  <c r="J15" i="252"/>
  <c r="K15" i="252"/>
  <c r="D16" i="252"/>
  <c r="H16" i="252"/>
  <c r="J16" i="252"/>
  <c r="K16" i="252"/>
  <c r="D17" i="252"/>
  <c r="H17" i="252"/>
  <c r="J17" i="252"/>
  <c r="K17" i="252"/>
  <c r="D18" i="252"/>
  <c r="H18" i="252"/>
  <c r="J18" i="252"/>
  <c r="K18" i="252"/>
  <c r="D19" i="252"/>
  <c r="H19" i="252"/>
  <c r="J19" i="252"/>
  <c r="K19" i="252"/>
  <c r="D20" i="252"/>
  <c r="H20" i="252"/>
  <c r="J20" i="252"/>
  <c r="K20" i="252"/>
  <c r="D21" i="252"/>
  <c r="H21" i="252"/>
  <c r="J21" i="252"/>
  <c r="K21" i="252"/>
  <c r="D22" i="252"/>
  <c r="H22" i="252"/>
  <c r="J22" i="252"/>
  <c r="K22" i="252"/>
  <c r="D23" i="252"/>
  <c r="H23" i="252"/>
  <c r="J23" i="252"/>
  <c r="K23" i="252"/>
  <c r="D24" i="252"/>
  <c r="E30" i="422" s="1"/>
  <c r="H24" i="252"/>
  <c r="K30" i="422" s="1"/>
  <c r="J24" i="252"/>
  <c r="J30" i="422" s="1"/>
  <c r="K24" i="252"/>
  <c r="I30" i="422" s="1"/>
  <c r="D7" i="257"/>
  <c r="E7" i="257"/>
  <c r="G7" i="257"/>
  <c r="L7" i="257"/>
  <c r="D8" i="257"/>
  <c r="D9" i="257" s="1"/>
  <c r="D10" i="257" s="1"/>
  <c r="D11" i="257" s="1"/>
  <c r="D12" i="257" s="1"/>
  <c r="D13" i="257" s="1"/>
  <c r="E8" i="257"/>
  <c r="L8" i="257"/>
  <c r="G8" i="257"/>
  <c r="K8" i="257"/>
  <c r="G9" i="257"/>
  <c r="H9" i="257"/>
  <c r="K9" i="257"/>
  <c r="G10" i="257"/>
  <c r="H10" i="257"/>
  <c r="K10" i="257"/>
  <c r="K11" i="257" s="1"/>
  <c r="K12" i="257" s="1"/>
  <c r="K13" i="257" s="1"/>
  <c r="K14" i="257" s="1"/>
  <c r="K15" i="257" s="1"/>
  <c r="K16" i="257" s="1"/>
  <c r="K17" i="257" s="1"/>
  <c r="K18" i="257" s="1"/>
  <c r="G11" i="257"/>
  <c r="H11" i="257"/>
  <c r="G12" i="257"/>
  <c r="H12" i="257"/>
  <c r="G13" i="257"/>
  <c r="H13" i="257"/>
  <c r="K19" i="257"/>
  <c r="D14" i="257"/>
  <c r="D15" i="257" s="1"/>
  <c r="D16" i="257" s="1"/>
  <c r="D17" i="257" s="1"/>
  <c r="D18" i="257" s="1"/>
  <c r="D19" i="257" s="1"/>
  <c r="E31" i="422" s="1"/>
  <c r="G14" i="257"/>
  <c r="H14" i="257"/>
  <c r="J14" i="257"/>
  <c r="J15" i="257" s="1"/>
  <c r="J16" i="257"/>
  <c r="J17" i="257" s="1"/>
  <c r="J18" i="257"/>
  <c r="J19" i="257" s="1"/>
  <c r="J31" i="422" s="1"/>
  <c r="G15" i="257"/>
  <c r="H15" i="257"/>
  <c r="G16" i="257"/>
  <c r="H16" i="257"/>
  <c r="G17" i="257"/>
  <c r="H17" i="257"/>
  <c r="G18" i="257"/>
  <c r="H18" i="257"/>
  <c r="H19" i="257"/>
  <c r="K31" i="422" s="1"/>
  <c r="H20" i="257"/>
  <c r="D7" i="271"/>
  <c r="E7" i="271"/>
  <c r="G7" i="271"/>
  <c r="L7" i="271"/>
  <c r="D8" i="271"/>
  <c r="E8" i="271"/>
  <c r="G8" i="271"/>
  <c r="K8" i="271"/>
  <c r="K9" i="271"/>
  <c r="D9" i="271"/>
  <c r="D10" i="271" s="1"/>
  <c r="D11" i="271" s="1"/>
  <c r="D12" i="271" s="1"/>
  <c r="D13" i="271" s="1"/>
  <c r="D14" i="271" s="1"/>
  <c r="D15" i="271"/>
  <c r="D16" i="271" s="1"/>
  <c r="D17" i="271" s="1"/>
  <c r="D18" i="271" s="1"/>
  <c r="D19" i="271" s="1"/>
  <c r="D20" i="271" s="1"/>
  <c r="D21" i="271" s="1"/>
  <c r="D22" i="271" s="1"/>
  <c r="D23" i="271" s="1"/>
  <c r="D24" i="271" s="1"/>
  <c r="D25" i="271" s="1"/>
  <c r="D26" i="271" s="1"/>
  <c r="D27" i="271" s="1"/>
  <c r="E32" i="422" s="1"/>
  <c r="G9" i="271"/>
  <c r="H10" i="271"/>
  <c r="H11" i="271"/>
  <c r="H12" i="271"/>
  <c r="I12" i="271"/>
  <c r="J12" i="271"/>
  <c r="J13" i="271" s="1"/>
  <c r="H13" i="271"/>
  <c r="H14" i="271"/>
  <c r="I14" i="271"/>
  <c r="H15" i="271"/>
  <c r="H16" i="271"/>
  <c r="H17" i="271"/>
  <c r="H18" i="271"/>
  <c r="I18" i="271"/>
  <c r="H19" i="271"/>
  <c r="H20" i="271"/>
  <c r="H21" i="271"/>
  <c r="H22" i="271"/>
  <c r="H23" i="271"/>
  <c r="H24" i="271"/>
  <c r="H25" i="271"/>
  <c r="H26" i="271"/>
  <c r="H27" i="271"/>
  <c r="K32" i="422" s="1"/>
  <c r="H28" i="271"/>
  <c r="D7" i="278"/>
  <c r="D8" i="278" s="1"/>
  <c r="D9" i="278" s="1"/>
  <c r="D10" i="278" s="1"/>
  <c r="D11" i="278" s="1"/>
  <c r="D12" i="278" s="1"/>
  <c r="D13" i="278" s="1"/>
  <c r="D14" i="278" s="1"/>
  <c r="D15" i="278" s="1"/>
  <c r="D16" i="278" s="1"/>
  <c r="D17" i="278" s="1"/>
  <c r="D18" i="278" s="1"/>
  <c r="D19" i="278" s="1"/>
  <c r="E33" i="422" s="1"/>
  <c r="E7" i="278"/>
  <c r="L7" i="278" s="1"/>
  <c r="G7" i="278"/>
  <c r="E8" i="278"/>
  <c r="G8" i="278"/>
  <c r="K8" i="278"/>
  <c r="K9" i="278" s="1"/>
  <c r="G9" i="278"/>
  <c r="H9" i="278"/>
  <c r="J9" i="278"/>
  <c r="K10" i="278"/>
  <c r="K11" i="278" s="1"/>
  <c r="K12" i="278"/>
  <c r="K13" i="278" s="1"/>
  <c r="K14" i="278" s="1"/>
  <c r="K15" i="278" s="1"/>
  <c r="K16" i="278" s="1"/>
  <c r="K17" i="278" s="1"/>
  <c r="K18" i="278" s="1"/>
  <c r="K19" i="278" s="1"/>
  <c r="I33" i="422" s="1"/>
  <c r="G10" i="278"/>
  <c r="H10" i="278"/>
  <c r="J10" i="278"/>
  <c r="J11" i="278" s="1"/>
  <c r="J12" i="278"/>
  <c r="J13" i="278" s="1"/>
  <c r="J14" i="278"/>
  <c r="J15" i="278" s="1"/>
  <c r="J16" i="278" s="1"/>
  <c r="J17" i="278" s="1"/>
  <c r="J18" i="278" s="1"/>
  <c r="J19" i="278" s="1"/>
  <c r="J33" i="422" s="1"/>
  <c r="G11" i="278"/>
  <c r="H11" i="278"/>
  <c r="G12" i="278"/>
  <c r="H12" i="278"/>
  <c r="G13" i="278"/>
  <c r="H13" i="278"/>
  <c r="G14" i="278"/>
  <c r="H14" i="278"/>
  <c r="G15" i="278"/>
  <c r="H15" i="278"/>
  <c r="G16" i="278"/>
  <c r="H16" i="278"/>
  <c r="G17" i="278"/>
  <c r="H17" i="278"/>
  <c r="H18" i="278"/>
  <c r="D7" i="282"/>
  <c r="E7" i="282"/>
  <c r="L7" i="282" s="1"/>
  <c r="G7" i="282"/>
  <c r="D8" i="282"/>
  <c r="E8" i="282"/>
  <c r="L8" i="282" s="1"/>
  <c r="G8" i="282"/>
  <c r="H8" i="282"/>
  <c r="J8" i="282"/>
  <c r="K8" i="282"/>
  <c r="D9" i="282"/>
  <c r="D10" i="282" s="1"/>
  <c r="G9" i="282"/>
  <c r="H9" i="282"/>
  <c r="K9" i="282" s="1"/>
  <c r="G10" i="282"/>
  <c r="H10" i="282"/>
  <c r="H11" i="282"/>
  <c r="L11" i="282"/>
  <c r="D7" i="300"/>
  <c r="E7" i="300"/>
  <c r="G7" i="300" s="1"/>
  <c r="L7" i="300"/>
  <c r="D8" i="300"/>
  <c r="E8" i="300"/>
  <c r="D9" i="300"/>
  <c r="G9" i="300"/>
  <c r="H9" i="300"/>
  <c r="K9" i="300"/>
  <c r="D10" i="300"/>
  <c r="D11" i="300" s="1"/>
  <c r="G10" i="300"/>
  <c r="H10" i="300"/>
  <c r="K10" i="300"/>
  <c r="K11" i="300" s="1"/>
  <c r="K12" i="300" s="1"/>
  <c r="K13" i="300" s="1"/>
  <c r="K14" i="300" s="1"/>
  <c r="K15" i="300" s="1"/>
  <c r="K16" i="300" s="1"/>
  <c r="K17" i="300" s="1"/>
  <c r="K18" i="300" s="1"/>
  <c r="D12" i="300"/>
  <c r="D13" i="300" s="1"/>
  <c r="G11" i="300"/>
  <c r="H11" i="300"/>
  <c r="J11" i="300"/>
  <c r="J12" i="300" s="1"/>
  <c r="J13" i="300"/>
  <c r="J14" i="300" s="1"/>
  <c r="J15" i="300"/>
  <c r="J16" i="300" s="1"/>
  <c r="J17" i="300" s="1"/>
  <c r="J18" i="300" s="1"/>
  <c r="J34" i="422" s="1"/>
  <c r="G12" i="300"/>
  <c r="H12" i="300"/>
  <c r="D14" i="300"/>
  <c r="D15" i="300" s="1"/>
  <c r="D16" i="300" s="1"/>
  <c r="D17" i="300" s="1"/>
  <c r="D18" i="300" s="1"/>
  <c r="E34" i="422" s="1"/>
  <c r="G13" i="300"/>
  <c r="H13" i="300"/>
  <c r="G14" i="300"/>
  <c r="H14" i="300"/>
  <c r="G15" i="300"/>
  <c r="H15" i="300"/>
  <c r="G16" i="300"/>
  <c r="H16" i="300"/>
  <c r="G17" i="300"/>
  <c r="G18" i="300"/>
  <c r="H18" i="300"/>
  <c r="K34" i="422" s="1"/>
  <c r="H19" i="300"/>
  <c r="D7" i="326"/>
  <c r="E7" i="326"/>
  <c r="G7" i="326" s="1"/>
  <c r="D8" i="326"/>
  <c r="E8" i="326"/>
  <c r="E9" i="326" s="1"/>
  <c r="H8" i="326"/>
  <c r="K8" i="326" s="1"/>
  <c r="D9" i="326"/>
  <c r="G9" i="326"/>
  <c r="H9" i="326"/>
  <c r="J9" i="326"/>
  <c r="K9" i="326"/>
  <c r="K10" i="326" s="1"/>
  <c r="K11" i="326" s="1"/>
  <c r="K12" i="326" s="1"/>
  <c r="K13" i="326" s="1"/>
  <c r="K14" i="326" s="1"/>
  <c r="K15" i="326" s="1"/>
  <c r="K16" i="326" s="1"/>
  <c r="K17" i="326" s="1"/>
  <c r="K18" i="326" s="1"/>
  <c r="K19" i="326" s="1"/>
  <c r="K20" i="326" s="1"/>
  <c r="K21" i="326" s="1"/>
  <c r="D10" i="326"/>
  <c r="D11" i="326"/>
  <c r="D12" i="326" s="1"/>
  <c r="D13" i="326" s="1"/>
  <c r="G10" i="326"/>
  <c r="H10" i="326"/>
  <c r="I10" i="326"/>
  <c r="P10" i="326"/>
  <c r="G11" i="326"/>
  <c r="H11" i="326"/>
  <c r="H12" i="326"/>
  <c r="D14" i="326"/>
  <c r="D15" i="326" s="1"/>
  <c r="D16" i="326" s="1"/>
  <c r="D17" i="326" s="1"/>
  <c r="D18" i="326" s="1"/>
  <c r="D19" i="326" s="1"/>
  <c r="D20" i="326" s="1"/>
  <c r="H13" i="326"/>
  <c r="H14" i="326"/>
  <c r="G15" i="326"/>
  <c r="H15" i="326"/>
  <c r="G16" i="326"/>
  <c r="H16" i="326"/>
  <c r="F17" i="326"/>
  <c r="G17" i="326"/>
  <c r="H17" i="326"/>
  <c r="I17" i="326"/>
  <c r="P17" i="326"/>
  <c r="F18" i="326"/>
  <c r="G18" i="326"/>
  <c r="H18" i="326"/>
  <c r="G19" i="326"/>
  <c r="H19" i="326"/>
  <c r="G20" i="326"/>
  <c r="H20" i="326"/>
  <c r="H21" i="326"/>
  <c r="P22" i="326"/>
  <c r="P26" i="326"/>
  <c r="Q28" i="326"/>
  <c r="O30" i="326"/>
  <c r="D7" i="307"/>
  <c r="F7" i="307" s="1"/>
  <c r="E7" i="307"/>
  <c r="L7" i="307"/>
  <c r="D8" i="307"/>
  <c r="D9" i="307" s="1"/>
  <c r="F9" i="307" s="1"/>
  <c r="E8" i="307"/>
  <c r="H8" i="307"/>
  <c r="I8" i="307"/>
  <c r="J8" i="307" s="1"/>
  <c r="J9" i="307" s="1"/>
  <c r="L8" i="307"/>
  <c r="E9" i="307"/>
  <c r="E10" i="307" s="1"/>
  <c r="H9" i="307"/>
  <c r="J10" i="307"/>
  <c r="H10" i="307"/>
  <c r="H11" i="307"/>
  <c r="I11" i="307"/>
  <c r="H12" i="307"/>
  <c r="H13" i="307"/>
  <c r="H14" i="307"/>
  <c r="H15" i="307"/>
  <c r="B16" i="307"/>
  <c r="C16" i="307"/>
  <c r="H16" i="307"/>
  <c r="H17" i="307"/>
  <c r="H18" i="307"/>
  <c r="H19" i="307"/>
  <c r="H20" i="307"/>
  <c r="H21" i="307"/>
  <c r="K39" i="422" s="1"/>
  <c r="D7" i="80"/>
  <c r="D8" i="80"/>
  <c r="D9" i="80" s="1"/>
  <c r="D10" i="80" s="1"/>
  <c r="D11" i="80" s="1"/>
  <c r="D12" i="80" s="1"/>
  <c r="D13" i="80" s="1"/>
  <c r="D14" i="80"/>
  <c r="D15" i="80" s="1"/>
  <c r="D16" i="80" s="1"/>
  <c r="D17" i="80" s="1"/>
  <c r="D18" i="80" s="1"/>
  <c r="D19" i="80" s="1"/>
  <c r="D20" i="80" s="1"/>
  <c r="D21" i="80" s="1"/>
  <c r="D22" i="80" s="1"/>
  <c r="D23" i="80" s="1"/>
  <c r="D24" i="80" s="1"/>
  <c r="D25" i="80" s="1"/>
  <c r="D26" i="80" s="1"/>
  <c r="D27" i="80" s="1"/>
  <c r="D28" i="80" s="1"/>
  <c r="D29" i="80" s="1"/>
  <c r="D30" i="80" s="1"/>
  <c r="D31" i="80" s="1"/>
  <c r="D32" i="80" s="1"/>
  <c r="D33" i="80" s="1"/>
  <c r="D34" i="80" s="1"/>
  <c r="D35" i="80" s="1"/>
  <c r="D36" i="80" s="1"/>
  <c r="D37" i="80" s="1"/>
  <c r="D38" i="80" s="1"/>
  <c r="D39" i="80" s="1"/>
  <c r="D40" i="80" s="1"/>
  <c r="D41" i="80" s="1"/>
  <c r="D42" i="80" s="1"/>
  <c r="D43" i="80" s="1"/>
  <c r="D44" i="80" s="1"/>
  <c r="D45" i="80" s="1"/>
  <c r="D46" i="80"/>
  <c r="D47" i="80" s="1"/>
  <c r="D48" i="80" s="1"/>
  <c r="D49" i="80" s="1"/>
  <c r="E40" i="422" s="1"/>
  <c r="E7" i="80"/>
  <c r="L7" i="80" s="1"/>
  <c r="E8" i="80"/>
  <c r="E9" i="80" s="1"/>
  <c r="K8" i="80"/>
  <c r="H9" i="80"/>
  <c r="K9" i="80" s="1"/>
  <c r="G10" i="80"/>
  <c r="H10" i="80"/>
  <c r="K10" i="80"/>
  <c r="K11" i="80" s="1"/>
  <c r="K12" i="80" s="1"/>
  <c r="G11" i="80"/>
  <c r="H11" i="80"/>
  <c r="G12" i="80"/>
  <c r="H12" i="80"/>
  <c r="G13" i="80"/>
  <c r="H13" i="80"/>
  <c r="G14" i="80"/>
  <c r="H14" i="80"/>
  <c r="G15" i="80"/>
  <c r="H15" i="80"/>
  <c r="J15" i="80"/>
  <c r="J16" i="80"/>
  <c r="J17" i="80" s="1"/>
  <c r="J18" i="80" s="1"/>
  <c r="J19" i="80" s="1"/>
  <c r="J20" i="80" s="1"/>
  <c r="J21" i="80" s="1"/>
  <c r="J22" i="80" s="1"/>
  <c r="J23" i="80" s="1"/>
  <c r="J24" i="80" s="1"/>
  <c r="J25" i="80" s="1"/>
  <c r="J26" i="80" s="1"/>
  <c r="J27" i="80" s="1"/>
  <c r="J28" i="80" s="1"/>
  <c r="J29" i="80" s="1"/>
  <c r="J30" i="80" s="1"/>
  <c r="J31" i="80" s="1"/>
  <c r="J32" i="80" s="1"/>
  <c r="J33" i="80" s="1"/>
  <c r="J34" i="80" s="1"/>
  <c r="J35" i="80" s="1"/>
  <c r="J36" i="80" s="1"/>
  <c r="J37" i="80" s="1"/>
  <c r="J38" i="80" s="1"/>
  <c r="J39" i="80" s="1"/>
  <c r="J40" i="80" s="1"/>
  <c r="J41" i="80" s="1"/>
  <c r="J42" i="80" s="1"/>
  <c r="J43" i="80" s="1"/>
  <c r="J44" i="80" s="1"/>
  <c r="J45" i="80" s="1"/>
  <c r="J46" i="80"/>
  <c r="J47" i="80" s="1"/>
  <c r="J48" i="80" s="1"/>
  <c r="J49" i="80" s="1"/>
  <c r="J40" i="422" s="1"/>
  <c r="G16" i="80"/>
  <c r="H16" i="80"/>
  <c r="G17" i="80"/>
  <c r="H17" i="80"/>
  <c r="G18" i="80"/>
  <c r="H18" i="80"/>
  <c r="G19" i="80"/>
  <c r="H19" i="80"/>
  <c r="G20" i="80"/>
  <c r="H20" i="80"/>
  <c r="G21" i="80"/>
  <c r="H21" i="80"/>
  <c r="G22" i="80"/>
  <c r="H22" i="80"/>
  <c r="G23" i="80"/>
  <c r="H23" i="80"/>
  <c r="G24" i="80"/>
  <c r="H24" i="80"/>
  <c r="G25" i="80"/>
  <c r="H25" i="80"/>
  <c r="G26" i="80"/>
  <c r="H26" i="80"/>
  <c r="G27" i="80"/>
  <c r="H27" i="80"/>
  <c r="G28" i="80"/>
  <c r="H28" i="80"/>
  <c r="G29" i="80"/>
  <c r="H29" i="80"/>
  <c r="G30" i="80"/>
  <c r="H30" i="80"/>
  <c r="G31" i="80"/>
  <c r="H31" i="80"/>
  <c r="G32" i="80"/>
  <c r="H32" i="80"/>
  <c r="G33" i="80"/>
  <c r="H33" i="80"/>
  <c r="G34" i="80"/>
  <c r="H34" i="80"/>
  <c r="G35" i="80"/>
  <c r="H35" i="80"/>
  <c r="G36" i="80"/>
  <c r="H36" i="80"/>
  <c r="G37" i="80"/>
  <c r="H37" i="80"/>
  <c r="G38" i="80"/>
  <c r="H38" i="80"/>
  <c r="G39" i="80"/>
  <c r="H39" i="80"/>
  <c r="G40" i="80"/>
  <c r="H40" i="80"/>
  <c r="I40" i="80"/>
  <c r="G41" i="80"/>
  <c r="H41" i="80"/>
  <c r="G42" i="80"/>
  <c r="H42" i="80"/>
  <c r="G43" i="80"/>
  <c r="H43" i="80"/>
  <c r="G44" i="80"/>
  <c r="H44" i="80"/>
  <c r="G45" i="80"/>
  <c r="H45" i="80"/>
  <c r="G46" i="80"/>
  <c r="H46" i="80"/>
  <c r="G47" i="80"/>
  <c r="H47" i="80"/>
  <c r="G48" i="80"/>
  <c r="H48" i="80"/>
  <c r="G49" i="80"/>
  <c r="H49" i="80"/>
  <c r="K40" i="422" s="1"/>
  <c r="H50" i="80"/>
  <c r="D7" i="81"/>
  <c r="E7" i="81"/>
  <c r="L7" i="81" s="1"/>
  <c r="G7" i="81"/>
  <c r="D8" i="81"/>
  <c r="E8" i="81"/>
  <c r="L8" i="81" s="1"/>
  <c r="G8" i="81"/>
  <c r="D9" i="81"/>
  <c r="D10" i="81"/>
  <c r="E9" i="81"/>
  <c r="G9" i="81"/>
  <c r="H9" i="81"/>
  <c r="J9" i="81"/>
  <c r="J10" i="81"/>
  <c r="J11" i="81" s="1"/>
  <c r="J12" i="81" s="1"/>
  <c r="J13" i="81" s="1"/>
  <c r="K9" i="81"/>
  <c r="K10" i="81" s="1"/>
  <c r="G10" i="81"/>
  <c r="H10" i="81"/>
  <c r="D11" i="81"/>
  <c r="D12" i="81" s="1"/>
  <c r="D13" i="81" s="1"/>
  <c r="D14" i="81" s="1"/>
  <c r="D15" i="81" s="1"/>
  <c r="D16" i="81" s="1"/>
  <c r="D17" i="81" s="1"/>
  <c r="D18" i="81" s="1"/>
  <c r="D19" i="81" s="1"/>
  <c r="D20" i="81" s="1"/>
  <c r="D21" i="81" s="1"/>
  <c r="D22" i="81"/>
  <c r="D23" i="81" s="1"/>
  <c r="D24" i="81" s="1"/>
  <c r="D25" i="81" s="1"/>
  <c r="D26" i="81" s="1"/>
  <c r="D27" i="81" s="1"/>
  <c r="D28" i="81" s="1"/>
  <c r="D29" i="81" s="1"/>
  <c r="D30" i="81" s="1"/>
  <c r="D31" i="81" s="1"/>
  <c r="D32" i="81" s="1"/>
  <c r="E41" i="422" s="1"/>
  <c r="G11" i="81"/>
  <c r="H11" i="81"/>
  <c r="G12" i="81"/>
  <c r="H12" i="81"/>
  <c r="G13" i="81"/>
  <c r="H13" i="81"/>
  <c r="J14" i="81"/>
  <c r="J15" i="81" s="1"/>
  <c r="J16" i="81" s="1"/>
  <c r="J17" i="81" s="1"/>
  <c r="J18" i="81" s="1"/>
  <c r="J19" i="81" s="1"/>
  <c r="J20" i="81" s="1"/>
  <c r="J21" i="81" s="1"/>
  <c r="J22" i="81" s="1"/>
  <c r="J23" i="81" s="1"/>
  <c r="J24" i="81" s="1"/>
  <c r="J25" i="81" s="1"/>
  <c r="J26" i="81"/>
  <c r="J27" i="81" s="1"/>
  <c r="J28" i="81" s="1"/>
  <c r="J29" i="81" s="1"/>
  <c r="J30" i="81" s="1"/>
  <c r="J31" i="81" s="1"/>
  <c r="J32" i="81" s="1"/>
  <c r="J41" i="422" s="1"/>
  <c r="G14" i="81"/>
  <c r="H14" i="81"/>
  <c r="G15" i="81"/>
  <c r="H15" i="81"/>
  <c r="G16" i="81"/>
  <c r="H16" i="81"/>
  <c r="G18" i="81"/>
  <c r="H18" i="81"/>
  <c r="G19" i="81"/>
  <c r="H19" i="81"/>
  <c r="G20" i="81"/>
  <c r="H20" i="81"/>
  <c r="G21" i="81"/>
  <c r="H21" i="81"/>
  <c r="I21" i="81"/>
  <c r="G22" i="81"/>
  <c r="H22" i="81"/>
  <c r="G23" i="81"/>
  <c r="H23" i="81"/>
  <c r="G24" i="81"/>
  <c r="H24" i="81"/>
  <c r="I24" i="81"/>
  <c r="G25" i="81"/>
  <c r="H25" i="81"/>
  <c r="G26" i="81"/>
  <c r="H26" i="81"/>
  <c r="G27" i="81"/>
  <c r="H27" i="81"/>
  <c r="G28" i="81"/>
  <c r="H28" i="81"/>
  <c r="I28" i="81"/>
  <c r="G29" i="81"/>
  <c r="H29" i="81"/>
  <c r="G30" i="81"/>
  <c r="H30" i="81"/>
  <c r="G31" i="81"/>
  <c r="H31" i="81"/>
  <c r="H32" i="81"/>
  <c r="K41" i="422" s="1"/>
  <c r="D7" i="85"/>
  <c r="D8" i="85" s="1"/>
  <c r="E7" i="85"/>
  <c r="L7" i="85"/>
  <c r="E8" i="85"/>
  <c r="L8" i="85" s="1"/>
  <c r="I8" i="85"/>
  <c r="K8" i="85"/>
  <c r="K9" i="85" s="1"/>
  <c r="K10" i="85" s="1"/>
  <c r="L9" i="85"/>
  <c r="D23" i="85"/>
  <c r="E23" i="85"/>
  <c r="F42" i="422" s="1"/>
  <c r="J24" i="85"/>
  <c r="K24" i="85"/>
  <c r="K25" i="85" s="1"/>
  <c r="L25" i="85"/>
  <c r="D7" i="182"/>
  <c r="E7" i="182"/>
  <c r="D8" i="182"/>
  <c r="H8" i="182"/>
  <c r="J8" i="182"/>
  <c r="K8" i="182"/>
  <c r="D9" i="182"/>
  <c r="H9" i="182"/>
  <c r="J9" i="182"/>
  <c r="K9" i="182"/>
  <c r="D10" i="182"/>
  <c r="H10" i="182"/>
  <c r="J10" i="182"/>
  <c r="K10" i="182"/>
  <c r="D11" i="182"/>
  <c r="H11" i="182"/>
  <c r="J11" i="182"/>
  <c r="K11" i="182"/>
  <c r="D12" i="182"/>
  <c r="H12" i="182"/>
  <c r="J12" i="182"/>
  <c r="K12" i="182"/>
  <c r="D13" i="182"/>
  <c r="H13" i="182"/>
  <c r="J13" i="182"/>
  <c r="K13" i="182"/>
  <c r="D14" i="182"/>
  <c r="H14" i="182"/>
  <c r="J14" i="182"/>
  <c r="K14" i="182"/>
  <c r="D15" i="182"/>
  <c r="H15" i="182"/>
  <c r="J15" i="182"/>
  <c r="K15" i="182"/>
  <c r="D16" i="182"/>
  <c r="H16" i="182"/>
  <c r="J16" i="182"/>
  <c r="K16" i="182"/>
  <c r="D17" i="182"/>
  <c r="H17" i="182"/>
  <c r="J17" i="182"/>
  <c r="K17" i="182"/>
  <c r="D18" i="182"/>
  <c r="H18" i="182"/>
  <c r="J18" i="182"/>
  <c r="K18" i="182"/>
  <c r="D19" i="182"/>
  <c r="H19" i="182"/>
  <c r="J19" i="182"/>
  <c r="K19" i="182"/>
  <c r="D20" i="182"/>
  <c r="H20" i="182"/>
  <c r="J20" i="182"/>
  <c r="K20" i="182"/>
  <c r="D21" i="182"/>
  <c r="H21" i="182"/>
  <c r="J21" i="182"/>
  <c r="K21" i="182"/>
  <c r="D22" i="182"/>
  <c r="H22" i="182"/>
  <c r="J22" i="182"/>
  <c r="K22" i="182"/>
  <c r="D23" i="182"/>
  <c r="H23" i="182"/>
  <c r="J23" i="182"/>
  <c r="K23" i="182"/>
  <c r="D24" i="182"/>
  <c r="H24" i="182"/>
  <c r="J24" i="182"/>
  <c r="K24" i="182"/>
  <c r="D25" i="182"/>
  <c r="H25" i="182"/>
  <c r="J25" i="182"/>
  <c r="K25" i="182"/>
  <c r="D26" i="182"/>
  <c r="H26" i="182"/>
  <c r="J26" i="182"/>
  <c r="K26" i="182"/>
  <c r="D27" i="182"/>
  <c r="H27" i="182"/>
  <c r="J27" i="182"/>
  <c r="K27" i="182"/>
  <c r="D28" i="182"/>
  <c r="H28" i="182"/>
  <c r="J28" i="182"/>
  <c r="K28" i="182"/>
  <c r="D29" i="182"/>
  <c r="H29" i="182"/>
  <c r="J29" i="182"/>
  <c r="K29" i="182"/>
  <c r="D30" i="182"/>
  <c r="H30" i="182"/>
  <c r="J30" i="182"/>
  <c r="K30" i="182"/>
  <c r="D31" i="182"/>
  <c r="H31" i="182"/>
  <c r="J31" i="182"/>
  <c r="K31" i="182"/>
  <c r="D32" i="182"/>
  <c r="H32" i="182"/>
  <c r="J32" i="182"/>
  <c r="K32" i="182"/>
  <c r="D33" i="182"/>
  <c r="H33" i="182"/>
  <c r="J33" i="182"/>
  <c r="K33" i="182"/>
  <c r="D34" i="182"/>
  <c r="H34" i="182"/>
  <c r="J34" i="182"/>
  <c r="K34" i="182"/>
  <c r="D35" i="182"/>
  <c r="E43" i="422" s="1"/>
  <c r="H35" i="182"/>
  <c r="K43" i="422" s="1"/>
  <c r="J35" i="182"/>
  <c r="J43" i="422" s="1"/>
  <c r="K35" i="182"/>
  <c r="H36" i="182"/>
  <c r="D8" i="217"/>
  <c r="E8" i="217"/>
  <c r="G8" i="217"/>
  <c r="D9" i="217"/>
  <c r="D10" i="217"/>
  <c r="D11" i="217" s="1"/>
  <c r="D12" i="217" s="1"/>
  <c r="D13" i="217" s="1"/>
  <c r="D14" i="217" s="1"/>
  <c r="D15" i="217" s="1"/>
  <c r="G9" i="217"/>
  <c r="K9" i="217"/>
  <c r="K10" i="217" s="1"/>
  <c r="K11" i="217" s="1"/>
  <c r="K12" i="217" s="1"/>
  <c r="G10" i="217"/>
  <c r="H10" i="217"/>
  <c r="J10" i="217"/>
  <c r="J11" i="217" s="1"/>
  <c r="J12" i="217" s="1"/>
  <c r="J13" i="217" s="1"/>
  <c r="J14" i="217" s="1"/>
  <c r="J15" i="217" s="1"/>
  <c r="J16" i="217" s="1"/>
  <c r="J17" i="217" s="1"/>
  <c r="J18" i="217" s="1"/>
  <c r="J19" i="217" s="1"/>
  <c r="D16" i="217"/>
  <c r="D17" i="217" s="1"/>
  <c r="D18" i="217" s="1"/>
  <c r="D19" i="217" s="1"/>
  <c r="D20" i="217" s="1"/>
  <c r="D21" i="217" s="1"/>
  <c r="D22" i="217" s="1"/>
  <c r="D23" i="217" s="1"/>
  <c r="D24" i="217" s="1"/>
  <c r="D25" i="217" s="1"/>
  <c r="D26" i="217" s="1"/>
  <c r="D27" i="217" s="1"/>
  <c r="D28" i="217" s="1"/>
  <c r="D29" i="217" s="1"/>
  <c r="D30" i="217" s="1"/>
  <c r="D31" i="217" s="1"/>
  <c r="E44" i="422" s="1"/>
  <c r="G11" i="217"/>
  <c r="H11" i="217"/>
  <c r="G12" i="217"/>
  <c r="H12" i="217"/>
  <c r="G13" i="217"/>
  <c r="H13" i="217"/>
  <c r="J20" i="217"/>
  <c r="J21" i="217" s="1"/>
  <c r="J22" i="217" s="1"/>
  <c r="J23" i="217" s="1"/>
  <c r="J24" i="217"/>
  <c r="J25" i="217" s="1"/>
  <c r="J26" i="217" s="1"/>
  <c r="J27" i="217" s="1"/>
  <c r="J28" i="217" s="1"/>
  <c r="J29" i="217" s="1"/>
  <c r="J30" i="217" s="1"/>
  <c r="J31" i="217" s="1"/>
  <c r="J44" i="422" s="1"/>
  <c r="G14" i="217"/>
  <c r="H14" i="217"/>
  <c r="G15" i="217"/>
  <c r="H15" i="217"/>
  <c r="G16" i="217"/>
  <c r="H16" i="217"/>
  <c r="G17" i="217"/>
  <c r="H17" i="217"/>
  <c r="G18" i="217"/>
  <c r="H18" i="217"/>
  <c r="G19" i="217"/>
  <c r="H19" i="217"/>
  <c r="G20" i="217"/>
  <c r="H20" i="217"/>
  <c r="G21" i="217"/>
  <c r="H21" i="217"/>
  <c r="G22" i="217"/>
  <c r="H22" i="217"/>
  <c r="G23" i="217"/>
  <c r="H23" i="217"/>
  <c r="G24" i="217"/>
  <c r="H24" i="217"/>
  <c r="G25" i="217"/>
  <c r="H25" i="217"/>
  <c r="G26" i="217"/>
  <c r="H26" i="217"/>
  <c r="G27" i="217"/>
  <c r="H27" i="217"/>
  <c r="G28" i="217"/>
  <c r="H28" i="217"/>
  <c r="G29" i="217"/>
  <c r="H29" i="217"/>
  <c r="H30" i="217"/>
  <c r="H31" i="217"/>
  <c r="K44" i="422" s="1"/>
  <c r="H32" i="217"/>
  <c r="D7" i="223"/>
  <c r="E7" i="223"/>
  <c r="L7" i="223" s="1"/>
  <c r="G7" i="223"/>
  <c r="D8" i="223"/>
  <c r="E8" i="223"/>
  <c r="H8" i="223"/>
  <c r="K8" i="223"/>
  <c r="L8" i="223"/>
  <c r="D9" i="223"/>
  <c r="D10" i="223" s="1"/>
  <c r="D11" i="223" s="1"/>
  <c r="D12" i="223" s="1"/>
  <c r="H9" i="223"/>
  <c r="H10" i="223"/>
  <c r="J10" i="223"/>
  <c r="H11" i="223"/>
  <c r="J11" i="223"/>
  <c r="J12" i="223" s="1"/>
  <c r="J13" i="223" s="1"/>
  <c r="H12" i="223"/>
  <c r="D13" i="223"/>
  <c r="D14" i="223" s="1"/>
  <c r="D15" i="223" s="1"/>
  <c r="D16" i="223" s="1"/>
  <c r="D17" i="223" s="1"/>
  <c r="D18" i="223" s="1"/>
  <c r="D19" i="223" s="1"/>
  <c r="D20" i="223" s="1"/>
  <c r="D21" i="223" s="1"/>
  <c r="D22" i="223" s="1"/>
  <c r="D23" i="223" s="1"/>
  <c r="D24" i="223" s="1"/>
  <c r="D25" i="223" s="1"/>
  <c r="D26" i="223" s="1"/>
  <c r="D27" i="223" s="1"/>
  <c r="D28" i="223" s="1"/>
  <c r="E45" i="422" s="1"/>
  <c r="H13" i="223"/>
  <c r="J14" i="223"/>
  <c r="J15" i="223" s="1"/>
  <c r="J16" i="223" s="1"/>
  <c r="J17" i="223" s="1"/>
  <c r="H14" i="223"/>
  <c r="H15" i="223"/>
  <c r="J18" i="223"/>
  <c r="J19" i="223" s="1"/>
  <c r="J20" i="223" s="1"/>
  <c r="J21" i="223" s="1"/>
  <c r="J22" i="223" s="1"/>
  <c r="J23" i="223" s="1"/>
  <c r="J24" i="223" s="1"/>
  <c r="J25" i="223" s="1"/>
  <c r="J26" i="223" s="1"/>
  <c r="J27" i="223" s="1"/>
  <c r="J28" i="223" s="1"/>
  <c r="J45" i="422" s="1"/>
  <c r="H17" i="223"/>
  <c r="H18" i="223"/>
  <c r="H19" i="223"/>
  <c r="H20" i="223"/>
  <c r="H21" i="223"/>
  <c r="H22" i="223"/>
  <c r="H23" i="223"/>
  <c r="H24" i="223"/>
  <c r="H25" i="223"/>
  <c r="H26" i="223"/>
  <c r="H27" i="223"/>
  <c r="H28" i="223"/>
  <c r="K45" i="422" s="1"/>
  <c r="H29" i="223"/>
  <c r="D7" i="258"/>
  <c r="D8" i="258" s="1"/>
  <c r="D9" i="258" s="1"/>
  <c r="E7" i="258"/>
  <c r="L7" i="258" s="1"/>
  <c r="E8" i="258"/>
  <c r="H8" i="258"/>
  <c r="K8" i="258"/>
  <c r="D10" i="258"/>
  <c r="D11" i="258" s="1"/>
  <c r="D12" i="258" s="1"/>
  <c r="D13" i="258" s="1"/>
  <c r="D14" i="258" s="1"/>
  <c r="D15" i="258" s="1"/>
  <c r="D16" i="258" s="1"/>
  <c r="D17" i="258" s="1"/>
  <c r="D18" i="258" s="1"/>
  <c r="D19" i="258" s="1"/>
  <c r="D20" i="258" s="1"/>
  <c r="D21" i="258" s="1"/>
  <c r="D22" i="258" s="1"/>
  <c r="D23" i="258" s="1"/>
  <c r="D24" i="258" s="1"/>
  <c r="D25" i="258" s="1"/>
  <c r="E46" i="422" s="1"/>
  <c r="H9" i="258"/>
  <c r="B10" i="258"/>
  <c r="C10" i="258"/>
  <c r="H11" i="258"/>
  <c r="H10" i="258"/>
  <c r="H12" i="258"/>
  <c r="J12" i="258"/>
  <c r="H13" i="258"/>
  <c r="J13" i="258"/>
  <c r="J14" i="258" s="1"/>
  <c r="H14" i="258"/>
  <c r="H15" i="258"/>
  <c r="J15" i="258"/>
  <c r="J16" i="258" s="1"/>
  <c r="J17" i="258" s="1"/>
  <c r="J18" i="258" s="1"/>
  <c r="J19" i="258" s="1"/>
  <c r="J20" i="258" s="1"/>
  <c r="J21" i="258" s="1"/>
  <c r="J22" i="258" s="1"/>
  <c r="J23" i="258" s="1"/>
  <c r="J24" i="258" s="1"/>
  <c r="J25" i="258" s="1"/>
  <c r="J46" i="422" s="1"/>
  <c r="H16" i="258"/>
  <c r="H17" i="258"/>
  <c r="H18" i="258"/>
  <c r="H19" i="258"/>
  <c r="H20" i="258"/>
  <c r="H21" i="258"/>
  <c r="H22" i="258"/>
  <c r="H23" i="258"/>
  <c r="H24" i="258"/>
  <c r="H25" i="258"/>
  <c r="K46" i="422" s="1"/>
  <c r="D7" i="408"/>
  <c r="E7" i="408"/>
  <c r="G7" i="408" s="1"/>
  <c r="L7" i="408"/>
  <c r="D8" i="408"/>
  <c r="D9" i="408"/>
  <c r="D10" i="408" s="1"/>
  <c r="D11" i="408" s="1"/>
  <c r="D12" i="408" s="1"/>
  <c r="D13" i="408" s="1"/>
  <c r="D14" i="408" s="1"/>
  <c r="D15" i="408" s="1"/>
  <c r="E51" i="422" s="1"/>
  <c r="E8" i="408"/>
  <c r="L8" i="408" s="1"/>
  <c r="G8" i="408"/>
  <c r="K8" i="408"/>
  <c r="K9" i="408" s="1"/>
  <c r="K10" i="408" s="1"/>
  <c r="K11" i="408" s="1"/>
  <c r="K12" i="408" s="1"/>
  <c r="K13" i="408" s="1"/>
  <c r="E9" i="408"/>
  <c r="E10" i="408" s="1"/>
  <c r="G9" i="408"/>
  <c r="H9" i="408"/>
  <c r="J9" i="408"/>
  <c r="K14" i="408"/>
  <c r="K15" i="408" s="1"/>
  <c r="G10" i="408"/>
  <c r="H10" i="408"/>
  <c r="J10" i="408"/>
  <c r="J11" i="408" s="1"/>
  <c r="J12" i="408" s="1"/>
  <c r="J13" i="408" s="1"/>
  <c r="J14" i="408"/>
  <c r="J15" i="408" s="1"/>
  <c r="J51" i="422" s="1"/>
  <c r="G11" i="408"/>
  <c r="H11" i="408"/>
  <c r="G12" i="408"/>
  <c r="H12" i="408"/>
  <c r="G13" i="408"/>
  <c r="H13" i="408"/>
  <c r="G14" i="408"/>
  <c r="H14" i="408"/>
  <c r="G15" i="408"/>
  <c r="H15" i="408"/>
  <c r="K51" i="422" s="1"/>
  <c r="H16" i="408"/>
  <c r="D8" i="264"/>
  <c r="E8" i="264"/>
  <c r="L8" i="264" s="1"/>
  <c r="G8" i="264"/>
  <c r="D9" i="264"/>
  <c r="E9" i="264"/>
  <c r="G10" i="264" s="1"/>
  <c r="K9" i="264"/>
  <c r="D10" i="264"/>
  <c r="H10" i="264"/>
  <c r="K10" i="264" s="1"/>
  <c r="D11" i="264"/>
  <c r="D12" i="264" s="1"/>
  <c r="H11" i="264"/>
  <c r="K11" i="264"/>
  <c r="K12" i="264" s="1"/>
  <c r="K13" i="264" s="1"/>
  <c r="H12" i="264"/>
  <c r="D13" i="264"/>
  <c r="D14" i="264" s="1"/>
  <c r="D15" i="264" s="1"/>
  <c r="D16" i="264" s="1"/>
  <c r="D17" i="264" s="1"/>
  <c r="D18" i="264" s="1"/>
  <c r="D19" i="264" s="1"/>
  <c r="D20" i="264" s="1"/>
  <c r="D21" i="264" s="1"/>
  <c r="D22" i="264" s="1"/>
  <c r="D23" i="264" s="1"/>
  <c r="D24" i="264" s="1"/>
  <c r="D25" i="264" s="1"/>
  <c r="D26" i="264" s="1"/>
  <c r="D27" i="264" s="1"/>
  <c r="D28" i="264" s="1"/>
  <c r="D29" i="264" s="1"/>
  <c r="E47" i="422" s="1"/>
  <c r="H13" i="264"/>
  <c r="H14" i="264"/>
  <c r="H15" i="264"/>
  <c r="J15" i="264"/>
  <c r="J16" i="264" s="1"/>
  <c r="J17" i="264" s="1"/>
  <c r="J18" i="264" s="1"/>
  <c r="J19" i="264" s="1"/>
  <c r="J20" i="264" s="1"/>
  <c r="J21" i="264" s="1"/>
  <c r="H16" i="264"/>
  <c r="H17" i="264"/>
  <c r="H18" i="264"/>
  <c r="H19" i="264"/>
  <c r="H20" i="264"/>
  <c r="H21" i="264"/>
  <c r="H22" i="264"/>
  <c r="I22" i="264"/>
  <c r="H23" i="264"/>
  <c r="H24" i="264"/>
  <c r="H25" i="264"/>
  <c r="H26" i="264"/>
  <c r="H27" i="264"/>
  <c r="H28" i="264"/>
  <c r="H29" i="264"/>
  <c r="K47" i="422" s="1"/>
  <c r="H30" i="264"/>
  <c r="D7" i="277"/>
  <c r="E7" i="277"/>
  <c r="G7" i="277"/>
  <c r="L7" i="277"/>
  <c r="D8" i="277"/>
  <c r="D9" i="277"/>
  <c r="D10" i="277" s="1"/>
  <c r="D11" i="277" s="1"/>
  <c r="E8" i="277"/>
  <c r="G8" i="277"/>
  <c r="K8" i="277"/>
  <c r="G9" i="277"/>
  <c r="H9" i="277"/>
  <c r="K9" i="277"/>
  <c r="K10" i="277" s="1"/>
  <c r="K11" i="277" s="1"/>
  <c r="G10" i="277"/>
  <c r="H10" i="277"/>
  <c r="J10" i="277"/>
  <c r="J11" i="277" s="1"/>
  <c r="J12" i="277" s="1"/>
  <c r="J13" i="277" s="1"/>
  <c r="J14" i="277" s="1"/>
  <c r="J15" i="277" s="1"/>
  <c r="J16" i="277" s="1"/>
  <c r="J17" i="277" s="1"/>
  <c r="J18" i="277" s="1"/>
  <c r="J19" i="277" s="1"/>
  <c r="J20" i="277" s="1"/>
  <c r="J21" i="277" s="1"/>
  <c r="J22" i="277" s="1"/>
  <c r="J23" i="277" s="1"/>
  <c r="J24" i="277" s="1"/>
  <c r="J25" i="277" s="1"/>
  <c r="J26" i="277" s="1"/>
  <c r="J48" i="422" s="1"/>
  <c r="D12" i="277"/>
  <c r="D13" i="277" s="1"/>
  <c r="D14" i="277" s="1"/>
  <c r="D15" i="277" s="1"/>
  <c r="D16" i="277" s="1"/>
  <c r="D17" i="277" s="1"/>
  <c r="D18" i="277" s="1"/>
  <c r="D19" i="277" s="1"/>
  <c r="D20" i="277" s="1"/>
  <c r="D21" i="277" s="1"/>
  <c r="D22" i="277" s="1"/>
  <c r="D23" i="277" s="1"/>
  <c r="D24" i="277" s="1"/>
  <c r="D25" i="277" s="1"/>
  <c r="D26" i="277" s="1"/>
  <c r="E48" i="422" s="1"/>
  <c r="G11" i="277"/>
  <c r="H11" i="277"/>
  <c r="G12" i="277"/>
  <c r="H12" i="277"/>
  <c r="G13" i="277"/>
  <c r="H13" i="277"/>
  <c r="G14" i="277"/>
  <c r="H14" i="277"/>
  <c r="G15" i="277"/>
  <c r="H15" i="277"/>
  <c r="G16" i="277"/>
  <c r="H16" i="277"/>
  <c r="H17" i="277"/>
  <c r="H18" i="277"/>
  <c r="G19" i="277"/>
  <c r="H19" i="277"/>
  <c r="I19" i="277"/>
  <c r="G20" i="277"/>
  <c r="H20" i="277"/>
  <c r="G21" i="277"/>
  <c r="H21" i="277"/>
  <c r="G22" i="277"/>
  <c r="H22" i="277"/>
  <c r="G23" i="277"/>
  <c r="H23" i="277"/>
  <c r="G24" i="277"/>
  <c r="H24" i="277"/>
  <c r="G25" i="277"/>
  <c r="H25" i="277"/>
  <c r="G26" i="277"/>
  <c r="H26" i="277"/>
  <c r="K48" i="422" s="1"/>
  <c r="H27" i="277"/>
  <c r="E3" i="386"/>
  <c r="D7" i="386"/>
  <c r="E7" i="386"/>
  <c r="L7" i="386" s="1"/>
  <c r="G7" i="386"/>
  <c r="D8" i="386"/>
  <c r="D9" i="386" s="1"/>
  <c r="E8" i="386"/>
  <c r="L8" i="386" s="1"/>
  <c r="G8" i="386"/>
  <c r="K8" i="386"/>
  <c r="K9" i="386" s="1"/>
  <c r="K10" i="386" s="1"/>
  <c r="K11" i="386" s="1"/>
  <c r="K12" i="386" s="1"/>
  <c r="K13" i="386" s="1"/>
  <c r="K14" i="386" s="1"/>
  <c r="E9" i="386"/>
  <c r="G9" i="386"/>
  <c r="H9" i="386"/>
  <c r="J9" i="386"/>
  <c r="D10" i="386"/>
  <c r="D11" i="386" s="1"/>
  <c r="D12" i="386" s="1"/>
  <c r="D13" i="386" s="1"/>
  <c r="G10" i="386"/>
  <c r="H10" i="386"/>
  <c r="J10" i="386"/>
  <c r="J11" i="386" s="1"/>
  <c r="J12" i="386" s="1"/>
  <c r="J13" i="386" s="1"/>
  <c r="G11" i="386"/>
  <c r="H11" i="386"/>
  <c r="G12" i="386"/>
  <c r="H12" i="386"/>
  <c r="G13" i="386"/>
  <c r="H13" i="386"/>
  <c r="H14" i="386"/>
  <c r="D7" i="275"/>
  <c r="D8" i="275"/>
  <c r="D9" i="275" s="1"/>
  <c r="D10" i="275"/>
  <c r="D11" i="275" s="1"/>
  <c r="D12" i="275" s="1"/>
  <c r="D13" i="275" s="1"/>
  <c r="D14" i="275"/>
  <c r="D15" i="275" s="1"/>
  <c r="D16" i="275" s="1"/>
  <c r="D17" i="275" s="1"/>
  <c r="D18" i="275" s="1"/>
  <c r="D19" i="275" s="1"/>
  <c r="D20" i="275" s="1"/>
  <c r="D21" i="275" s="1"/>
  <c r="D22" i="275" s="1"/>
  <c r="D23" i="275" s="1"/>
  <c r="E49" i="422" s="1"/>
  <c r="E7" i="275"/>
  <c r="E8" i="275" s="1"/>
  <c r="L8" i="275" s="1"/>
  <c r="J7" i="275"/>
  <c r="L7" i="275"/>
  <c r="J8" i="275"/>
  <c r="J9" i="275" s="1"/>
  <c r="E9" i="275"/>
  <c r="D8" i="276"/>
  <c r="D9" i="276"/>
  <c r="D10" i="276" s="1"/>
  <c r="D11" i="276" s="1"/>
  <c r="D12" i="276" s="1"/>
  <c r="D13" i="276" s="1"/>
  <c r="E8" i="276"/>
  <c r="C9" i="276"/>
  <c r="H11" i="276"/>
  <c r="H10" i="276"/>
  <c r="K10" i="276"/>
  <c r="C11" i="276"/>
  <c r="D14" i="276"/>
  <c r="D15" i="276" s="1"/>
  <c r="D16" i="276" s="1"/>
  <c r="D17" i="276" s="1"/>
  <c r="D18" i="276" s="1"/>
  <c r="D19" i="276" s="1"/>
  <c r="D20" i="276" s="1"/>
  <c r="D21" i="276" s="1"/>
  <c r="D22" i="276" s="1"/>
  <c r="D23" i="276" s="1"/>
  <c r="D24" i="276" s="1"/>
  <c r="D25" i="276" s="1"/>
  <c r="D26" i="276" s="1"/>
  <c r="D27" i="276" s="1"/>
  <c r="D28" i="276" s="1"/>
  <c r="D29" i="276" s="1"/>
  <c r="D30" i="276" s="1"/>
  <c r="E50" i="422" s="1"/>
  <c r="H12" i="276"/>
  <c r="C13" i="276"/>
  <c r="H13" i="276"/>
  <c r="H14" i="276"/>
  <c r="J14" i="276"/>
  <c r="C15" i="276"/>
  <c r="H17" i="276"/>
  <c r="H15" i="276"/>
  <c r="J15" i="276"/>
  <c r="J16" i="276" s="1"/>
  <c r="J17" i="276" s="1"/>
  <c r="J18" i="276" s="1"/>
  <c r="H16" i="276"/>
  <c r="J19" i="276"/>
  <c r="J20" i="276" s="1"/>
  <c r="J21" i="276" s="1"/>
  <c r="J22" i="276" s="1"/>
  <c r="J23" i="276"/>
  <c r="J24" i="276" s="1"/>
  <c r="J25" i="276" s="1"/>
  <c r="J26" i="276" s="1"/>
  <c r="J27" i="276" s="1"/>
  <c r="J28" i="276" s="1"/>
  <c r="J29" i="276" s="1"/>
  <c r="J30" i="276" s="1"/>
  <c r="J50" i="422" s="1"/>
  <c r="C17" i="276"/>
  <c r="H19" i="276" s="1"/>
  <c r="H18" i="276"/>
  <c r="H20" i="276"/>
  <c r="H21" i="276"/>
  <c r="H22" i="276"/>
  <c r="H23" i="276"/>
  <c r="H24" i="276"/>
  <c r="H25" i="276"/>
  <c r="H26" i="276"/>
  <c r="H27" i="276"/>
  <c r="H30" i="276"/>
  <c r="K50" i="422" s="1"/>
  <c r="I30" i="276"/>
  <c r="H31" i="276"/>
  <c r="D7" i="289"/>
  <c r="E7" i="289"/>
  <c r="L7" i="289" s="1"/>
  <c r="G7" i="289"/>
  <c r="D8" i="289"/>
  <c r="D9" i="289" s="1"/>
  <c r="D10" i="289" s="1"/>
  <c r="D11" i="289" s="1"/>
  <c r="D12" i="289" s="1"/>
  <c r="D13" i="289" s="1"/>
  <c r="D14" i="289" s="1"/>
  <c r="D15" i="289" s="1"/>
  <c r="D16" i="289" s="1"/>
  <c r="D17" i="289" s="1"/>
  <c r="D18" i="289" s="1"/>
  <c r="D19" i="289" s="1"/>
  <c r="D20" i="289" s="1"/>
  <c r="D21" i="289" s="1"/>
  <c r="D22" i="289" s="1"/>
  <c r="E52" i="422" s="1"/>
  <c r="E8" i="289"/>
  <c r="L8" i="289"/>
  <c r="G8" i="289"/>
  <c r="K8" i="289"/>
  <c r="B9" i="289"/>
  <c r="E9" i="289"/>
  <c r="L9" i="289" s="1"/>
  <c r="G9" i="289"/>
  <c r="H9" i="289"/>
  <c r="E10" i="289"/>
  <c r="G10" i="289"/>
  <c r="H10" i="289"/>
  <c r="J10" i="289"/>
  <c r="G11" i="289"/>
  <c r="H11" i="289"/>
  <c r="J11" i="289"/>
  <c r="J12" i="289" s="1"/>
  <c r="J13" i="289" s="1"/>
  <c r="J14" i="289" s="1"/>
  <c r="J15" i="289" s="1"/>
  <c r="J16" i="289" s="1"/>
  <c r="J17" i="289" s="1"/>
  <c r="J18" i="289" s="1"/>
  <c r="J19" i="289" s="1"/>
  <c r="J20" i="289" s="1"/>
  <c r="J21" i="289" s="1"/>
  <c r="J22" i="289" s="1"/>
  <c r="J52" i="422" s="1"/>
  <c r="G12" i="289"/>
  <c r="H12" i="289"/>
  <c r="G13" i="289"/>
  <c r="H13" i="289"/>
  <c r="G14" i="289"/>
  <c r="H14" i="289"/>
  <c r="G15" i="289"/>
  <c r="H15" i="289"/>
  <c r="G16" i="289"/>
  <c r="H16" i="289"/>
  <c r="G17" i="289"/>
  <c r="H17" i="289"/>
  <c r="G18" i="289"/>
  <c r="H18" i="289"/>
  <c r="G19" i="289"/>
  <c r="H19" i="289"/>
  <c r="G20" i="289"/>
  <c r="H20" i="289"/>
  <c r="G21" i="289"/>
  <c r="H21" i="289"/>
  <c r="G22" i="289"/>
  <c r="H22" i="289"/>
  <c r="K52" i="422" s="1"/>
  <c r="H23" i="289"/>
  <c r="D7" i="301"/>
  <c r="E7" i="301"/>
  <c r="G7" i="301"/>
  <c r="L7" i="301"/>
  <c r="D8" i="301"/>
  <c r="E8" i="301"/>
  <c r="G8" i="301"/>
  <c r="L8" i="301"/>
  <c r="D9" i="301"/>
  <c r="D10" i="301" s="1"/>
  <c r="D11" i="301" s="1"/>
  <c r="D12" i="301" s="1"/>
  <c r="D13" i="301" s="1"/>
  <c r="D14" i="301" s="1"/>
  <c r="D15" i="301" s="1"/>
  <c r="D16" i="301" s="1"/>
  <c r="D17" i="301" s="1"/>
  <c r="D18" i="301" s="1"/>
  <c r="D19" i="301" s="1"/>
  <c r="D20" i="301" s="1"/>
  <c r="E53" i="422" s="1"/>
  <c r="E9" i="301"/>
  <c r="G9" i="301"/>
  <c r="H9" i="301"/>
  <c r="K9" i="301" s="1"/>
  <c r="K10" i="301" s="1"/>
  <c r="K11" i="301" s="1"/>
  <c r="K12" i="301" s="1"/>
  <c r="K13" i="301" s="1"/>
  <c r="L9" i="301"/>
  <c r="E10" i="301"/>
  <c r="E11" i="301" s="1"/>
  <c r="E12" i="301" s="1"/>
  <c r="E13" i="301" s="1"/>
  <c r="G10" i="301"/>
  <c r="H10" i="301"/>
  <c r="L10" i="301"/>
  <c r="G11" i="301"/>
  <c r="H11" i="301"/>
  <c r="K14" i="301"/>
  <c r="K15" i="301" s="1"/>
  <c r="K16" i="301" s="1"/>
  <c r="K17" i="301" s="1"/>
  <c r="K18" i="301"/>
  <c r="K19" i="301" s="1"/>
  <c r="K20" i="301" s="1"/>
  <c r="L11" i="301"/>
  <c r="G12" i="301"/>
  <c r="H12" i="301"/>
  <c r="J12" i="301"/>
  <c r="J13" i="301" s="1"/>
  <c r="J14" i="301" s="1"/>
  <c r="J15" i="301" s="1"/>
  <c r="J16" i="301" s="1"/>
  <c r="J17" i="301" s="1"/>
  <c r="J18" i="301" s="1"/>
  <c r="J19" i="301" s="1"/>
  <c r="G13" i="301"/>
  <c r="H13" i="301"/>
  <c r="G14" i="301"/>
  <c r="H14" i="301"/>
  <c r="G15" i="301"/>
  <c r="H15" i="301"/>
  <c r="G16" i="301"/>
  <c r="H16" i="301"/>
  <c r="G17" i="301"/>
  <c r="H17" i="301"/>
  <c r="G18" i="301"/>
  <c r="H18" i="301"/>
  <c r="G19" i="301"/>
  <c r="H19" i="301"/>
  <c r="C20" i="301"/>
  <c r="G20" i="301"/>
  <c r="H20" i="301"/>
  <c r="K53" i="422" s="1"/>
  <c r="I20" i="301"/>
  <c r="D7" i="302"/>
  <c r="E7" i="302"/>
  <c r="G7" i="302"/>
  <c r="L7" i="302"/>
  <c r="D8" i="302"/>
  <c r="E8" i="302"/>
  <c r="G8" i="302"/>
  <c r="L8" i="302"/>
  <c r="D9" i="302"/>
  <c r="E9" i="302"/>
  <c r="G9" i="302"/>
  <c r="H9" i="302"/>
  <c r="K9" i="302" s="1"/>
  <c r="K10" i="302" s="1"/>
  <c r="L9" i="302"/>
  <c r="D10" i="302"/>
  <c r="E10" i="302"/>
  <c r="E11" i="302" s="1"/>
  <c r="L11" i="302" s="1"/>
  <c r="G10" i="302"/>
  <c r="H10" i="302"/>
  <c r="L10" i="302"/>
  <c r="D11" i="302"/>
  <c r="D12" i="302" s="1"/>
  <c r="D13" i="302" s="1"/>
  <c r="D14" i="302" s="1"/>
  <c r="G11" i="302"/>
  <c r="H11" i="302"/>
  <c r="E12" i="302"/>
  <c r="G12" i="302"/>
  <c r="H12" i="302"/>
  <c r="G13" i="302"/>
  <c r="H13" i="302"/>
  <c r="J13" i="302"/>
  <c r="J14" i="302" s="1"/>
  <c r="J15" i="302" s="1"/>
  <c r="J16" i="302" s="1"/>
  <c r="J17" i="302" s="1"/>
  <c r="J18" i="302" s="1"/>
  <c r="J19" i="302" s="1"/>
  <c r="J54" i="422" s="1"/>
  <c r="G14" i="302"/>
  <c r="H14" i="302"/>
  <c r="D15" i="302"/>
  <c r="D16" i="302" s="1"/>
  <c r="D17" i="302" s="1"/>
  <c r="D18" i="302" s="1"/>
  <c r="D19" i="302" s="1"/>
  <c r="E54" i="422" s="1"/>
  <c r="G15" i="302"/>
  <c r="H15" i="302"/>
  <c r="G16" i="302"/>
  <c r="H16" i="302"/>
  <c r="G17" i="302"/>
  <c r="H17" i="302"/>
  <c r="G18" i="302"/>
  <c r="H18" i="302"/>
  <c r="G19" i="302"/>
  <c r="H19" i="302"/>
  <c r="K54" i="422" s="1"/>
  <c r="H20" i="302"/>
  <c r="D7" i="311"/>
  <c r="D8" i="311" s="1"/>
  <c r="D9" i="311" s="1"/>
  <c r="D10" i="311" s="1"/>
  <c r="E7" i="311"/>
  <c r="H9" i="311"/>
  <c r="K9" i="311" s="1"/>
  <c r="H10" i="311"/>
  <c r="D11" i="311"/>
  <c r="D12" i="311" s="1"/>
  <c r="H11" i="311"/>
  <c r="H12" i="311"/>
  <c r="D13" i="311"/>
  <c r="D14" i="311" s="1"/>
  <c r="D15" i="311" s="1"/>
  <c r="H13" i="311"/>
  <c r="H14" i="311"/>
  <c r="J14" i="311"/>
  <c r="J15" i="311"/>
  <c r="J16" i="311" s="1"/>
  <c r="H15" i="311"/>
  <c r="D16" i="311"/>
  <c r="D17" i="311" s="1"/>
  <c r="D18" i="311" s="1"/>
  <c r="D19" i="311" s="1"/>
  <c r="D20" i="311" s="1"/>
  <c r="D21" i="311" s="1"/>
  <c r="D22" i="311" s="1"/>
  <c r="E55" i="422" s="1"/>
  <c r="H16" i="311"/>
  <c r="J17" i="311"/>
  <c r="J18" i="311" s="1"/>
  <c r="J19" i="311" s="1"/>
  <c r="J20" i="311" s="1"/>
  <c r="H17" i="311"/>
  <c r="H18" i="311"/>
  <c r="H19" i="311"/>
  <c r="H20" i="311"/>
  <c r="J21" i="311"/>
  <c r="J22" i="311" s="1"/>
  <c r="J55" i="422" s="1"/>
  <c r="H21" i="311"/>
  <c r="H22" i="311"/>
  <c r="K55" i="422" s="1"/>
  <c r="D7" i="328"/>
  <c r="E7" i="328"/>
  <c r="G7" i="328" s="1"/>
  <c r="L7" i="328"/>
  <c r="D8" i="328"/>
  <c r="E8" i="328"/>
  <c r="E9" i="328" s="1"/>
  <c r="E10" i="328" s="1"/>
  <c r="G8" i="328"/>
  <c r="H8" i="328"/>
  <c r="K8" i="328" s="1"/>
  <c r="K9" i="328" s="1"/>
  <c r="K10" i="328" s="1"/>
  <c r="K11" i="328" s="1"/>
  <c r="L8" i="328"/>
  <c r="D9" i="328"/>
  <c r="D10" i="328"/>
  <c r="G9" i="328"/>
  <c r="H9" i="328"/>
  <c r="J9" i="328"/>
  <c r="J10" i="328" s="1"/>
  <c r="J11" i="328" s="1"/>
  <c r="J12" i="328" s="1"/>
  <c r="J13" i="328" s="1"/>
  <c r="J14" i="328" s="1"/>
  <c r="J15" i="328"/>
  <c r="J16" i="328" s="1"/>
  <c r="J17" i="328" s="1"/>
  <c r="J56" i="422" s="1"/>
  <c r="G10" i="328"/>
  <c r="H10" i="328"/>
  <c r="D11" i="328"/>
  <c r="D12" i="328" s="1"/>
  <c r="D13" i="328"/>
  <c r="D14" i="328" s="1"/>
  <c r="D15" i="328" s="1"/>
  <c r="D16" i="328" s="1"/>
  <c r="D17" i="328"/>
  <c r="E56" i="422" s="1"/>
  <c r="G11" i="328"/>
  <c r="H11" i="328"/>
  <c r="G12" i="328"/>
  <c r="H12" i="328"/>
  <c r="G13" i="328"/>
  <c r="H13" i="328"/>
  <c r="G14" i="328"/>
  <c r="H14" i="328"/>
  <c r="G15" i="328"/>
  <c r="H15" i="328"/>
  <c r="G16" i="328"/>
  <c r="H16" i="328"/>
  <c r="G17" i="328"/>
  <c r="H17" i="328"/>
  <c r="K56" i="422" s="1"/>
  <c r="H18" i="328"/>
  <c r="D7" i="337"/>
  <c r="E7" i="337"/>
  <c r="L7" i="337"/>
  <c r="H8" i="337"/>
  <c r="K8" i="337"/>
  <c r="K9" i="337" s="1"/>
  <c r="L8" i="337"/>
  <c r="H9" i="337"/>
  <c r="L9" i="337"/>
  <c r="H10" i="337"/>
  <c r="D7" i="333"/>
  <c r="D8" i="333" s="1"/>
  <c r="D9" i="333" s="1"/>
  <c r="D10" i="333" s="1"/>
  <c r="D11" i="333" s="1"/>
  <c r="E7" i="333"/>
  <c r="G8" i="333"/>
  <c r="G7" i="333"/>
  <c r="L7" i="333"/>
  <c r="E8" i="333"/>
  <c r="G9" i="333" s="1"/>
  <c r="K8" i="333"/>
  <c r="H9" i="333"/>
  <c r="K9" i="333" s="1"/>
  <c r="K10" i="333" s="1"/>
  <c r="K11" i="333" s="1"/>
  <c r="K12" i="333" s="1"/>
  <c r="K13" i="333" s="1"/>
  <c r="H10" i="333"/>
  <c r="H11" i="333"/>
  <c r="D12" i="333"/>
  <c r="D13" i="333" s="1"/>
  <c r="D14" i="333" s="1"/>
  <c r="H12" i="333"/>
  <c r="H13" i="333"/>
  <c r="J13" i="333"/>
  <c r="J14" i="333"/>
  <c r="H15" i="333"/>
  <c r="D24" i="333"/>
  <c r="E24" i="333"/>
  <c r="L24" i="333" s="1"/>
  <c r="G24" i="333"/>
  <c r="D25" i="333"/>
  <c r="D26" i="333" s="1"/>
  <c r="D27" i="333"/>
  <c r="E59" i="422" s="1"/>
  <c r="E25" i="333"/>
  <c r="G25" i="333"/>
  <c r="K25" i="333"/>
  <c r="L25" i="333"/>
  <c r="E26" i="333"/>
  <c r="G27" i="333"/>
  <c r="G26" i="333"/>
  <c r="H26" i="333"/>
  <c r="K26" i="333" s="1"/>
  <c r="L26" i="333"/>
  <c r="E27" i="333"/>
  <c r="F59" i="422" s="1"/>
  <c r="H27" i="333"/>
  <c r="K59" i="422" s="1"/>
  <c r="H28" i="333"/>
  <c r="D7" i="372"/>
  <c r="E7" i="372"/>
  <c r="L7" i="372" s="1"/>
  <c r="G7" i="372"/>
  <c r="D8" i="372"/>
  <c r="E58" i="422" s="1"/>
  <c r="E8" i="372"/>
  <c r="K8" i="372"/>
  <c r="I58" i="422" s="1"/>
  <c r="D9" i="372"/>
  <c r="E9" i="372"/>
  <c r="L9" i="372" s="1"/>
  <c r="H9" i="372"/>
  <c r="K9" i="372" s="1"/>
  <c r="H10" i="372"/>
  <c r="D7" i="373"/>
  <c r="E7" i="373"/>
  <c r="E8" i="373" s="1"/>
  <c r="G9" i="373" s="1"/>
  <c r="D8" i="373"/>
  <c r="K8" i="373"/>
  <c r="D9" i="373"/>
  <c r="D10" i="373" s="1"/>
  <c r="D11" i="373" s="1"/>
  <c r="E60" i="422" s="1"/>
  <c r="H9" i="373"/>
  <c r="K9" i="373" s="1"/>
  <c r="K10" i="373" s="1"/>
  <c r="K11" i="373" s="1"/>
  <c r="H10" i="373"/>
  <c r="H11" i="373"/>
  <c r="K60" i="422" s="1"/>
  <c r="J11" i="373"/>
  <c r="J60" i="422" s="1"/>
  <c r="H12" i="373"/>
  <c r="D7" i="339"/>
  <c r="E7" i="339"/>
  <c r="D8" i="339"/>
  <c r="E57" i="422" s="1"/>
  <c r="H8" i="339"/>
  <c r="J8" i="339"/>
  <c r="J57" i="422" s="1"/>
  <c r="H9" i="339"/>
  <c r="L9" i="339"/>
  <c r="H10" i="339"/>
  <c r="D7" i="346"/>
  <c r="D8" i="346"/>
  <c r="E7" i="346"/>
  <c r="L7" i="346"/>
  <c r="E8" i="346"/>
  <c r="G8" i="346"/>
  <c r="K8" i="346"/>
  <c r="D9" i="346"/>
  <c r="D10" i="346" s="1"/>
  <c r="D11" i="346" s="1"/>
  <c r="D12" i="346" s="1"/>
  <c r="D13" i="346" s="1"/>
  <c r="D14" i="346" s="1"/>
  <c r="D15" i="346" s="1"/>
  <c r="G9" i="346"/>
  <c r="H9" i="346"/>
  <c r="K9" i="346" s="1"/>
  <c r="G10" i="346"/>
  <c r="H10" i="346"/>
  <c r="I10" i="346"/>
  <c r="J10" i="346"/>
  <c r="J11" i="346" s="1"/>
  <c r="G11" i="346"/>
  <c r="H11" i="346"/>
  <c r="J12" i="346"/>
  <c r="J13" i="346" s="1"/>
  <c r="G12" i="346"/>
  <c r="H12" i="346"/>
  <c r="G13" i="346"/>
  <c r="H13" i="346"/>
  <c r="J14" i="346"/>
  <c r="J15" i="346" s="1"/>
  <c r="G14" i="346"/>
  <c r="H14" i="346"/>
  <c r="G15" i="346"/>
  <c r="H15" i="346"/>
  <c r="D7" i="347"/>
  <c r="E7" i="347"/>
  <c r="G7" i="347"/>
  <c r="S7" i="347"/>
  <c r="T7" i="347"/>
  <c r="AA7" i="347" s="1"/>
  <c r="D8" i="347"/>
  <c r="D9" i="347" s="1"/>
  <c r="D10" i="347" s="1"/>
  <c r="D11" i="347" s="1"/>
  <c r="D12" i="347" s="1"/>
  <c r="D13" i="347" s="1"/>
  <c r="D14" i="347" s="1"/>
  <c r="D15" i="347" s="1"/>
  <c r="E62" i="422" s="1"/>
  <c r="G8" i="347"/>
  <c r="AA8" i="347"/>
  <c r="G9" i="347"/>
  <c r="H9" i="347"/>
  <c r="K9" i="347" s="1"/>
  <c r="W9" i="347"/>
  <c r="AA9" i="347"/>
  <c r="G10" i="347"/>
  <c r="H10" i="347"/>
  <c r="J10" i="347"/>
  <c r="G11" i="347"/>
  <c r="H11" i="347"/>
  <c r="J11" i="347"/>
  <c r="J12" i="347"/>
  <c r="J13" i="347" s="1"/>
  <c r="J14" i="347"/>
  <c r="J15" i="347" s="1"/>
  <c r="J62" i="422" s="1"/>
  <c r="G12" i="347"/>
  <c r="H12" i="347"/>
  <c r="G13" i="347"/>
  <c r="H13" i="347"/>
  <c r="G14" i="347"/>
  <c r="H14" i="347"/>
  <c r="G15" i="347"/>
  <c r="H15" i="347"/>
  <c r="K62" i="422" s="1"/>
  <c r="H16" i="347"/>
  <c r="D7" i="348"/>
  <c r="D8" i="348" s="1"/>
  <c r="E7" i="348"/>
  <c r="G7" i="348"/>
  <c r="E8" i="348"/>
  <c r="K8" i="348"/>
  <c r="D9" i="348"/>
  <c r="D10" i="348" s="1"/>
  <c r="H9" i="348"/>
  <c r="K9" i="348"/>
  <c r="H10" i="348"/>
  <c r="D11" i="348"/>
  <c r="D12" i="348" s="1"/>
  <c r="D13" i="348" s="1"/>
  <c r="D14" i="348" s="1"/>
  <c r="D15" i="348" s="1"/>
  <c r="E63" i="422" s="1"/>
  <c r="H11" i="348"/>
  <c r="H12" i="348"/>
  <c r="H13" i="348"/>
  <c r="J13" i="348"/>
  <c r="J14" i="348" s="1"/>
  <c r="J15" i="348" s="1"/>
  <c r="J63" i="422" s="1"/>
  <c r="H14" i="348"/>
  <c r="H15" i="348"/>
  <c r="K63" i="422" s="1"/>
  <c r="H16" i="348"/>
  <c r="B7" i="359"/>
  <c r="D7" i="359" s="1"/>
  <c r="D8" i="359" s="1"/>
  <c r="E7" i="359"/>
  <c r="L7" i="359" s="1"/>
  <c r="G7" i="359"/>
  <c r="D9" i="359"/>
  <c r="D10" i="359" s="1"/>
  <c r="G8" i="359"/>
  <c r="K8" i="359"/>
  <c r="G9" i="359"/>
  <c r="H9" i="359"/>
  <c r="G10" i="359"/>
  <c r="H10" i="359"/>
  <c r="J10" i="359"/>
  <c r="D11" i="359"/>
  <c r="D12" i="359" s="1"/>
  <c r="D13" i="359" s="1"/>
  <c r="E64" i="422" s="1"/>
  <c r="G11" i="359"/>
  <c r="H11" i="359"/>
  <c r="I11" i="359"/>
  <c r="J11" i="359"/>
  <c r="J12" i="359" s="1"/>
  <c r="J13" i="359"/>
  <c r="J64" i="422" s="1"/>
  <c r="G12" i="359"/>
  <c r="H12" i="359"/>
  <c r="G13" i="359"/>
  <c r="H13" i="359"/>
  <c r="K64" i="422" s="1"/>
  <c r="H14" i="359"/>
  <c r="D7" i="377"/>
  <c r="D8" i="377" s="1"/>
  <c r="D9" i="377" s="1"/>
  <c r="D10" i="377" s="1"/>
  <c r="D11" i="377" s="1"/>
  <c r="E69" i="422" s="1"/>
  <c r="E7" i="377"/>
  <c r="L7" i="377" s="1"/>
  <c r="G7" i="377"/>
  <c r="E8" i="377"/>
  <c r="G8" i="377"/>
  <c r="K8" i="377"/>
  <c r="L8" i="377"/>
  <c r="E9" i="377"/>
  <c r="G9" i="377"/>
  <c r="H9" i="377"/>
  <c r="K9" i="377"/>
  <c r="K10" i="377" s="1"/>
  <c r="K11" i="377" s="1"/>
  <c r="I69" i="422" s="1"/>
  <c r="I9" i="377"/>
  <c r="J9" i="377"/>
  <c r="J10" i="377" s="1"/>
  <c r="J11" i="377" s="1"/>
  <c r="J69" i="422" s="1"/>
  <c r="E10" i="377"/>
  <c r="G10" i="377"/>
  <c r="H10" i="377"/>
  <c r="G11" i="377"/>
  <c r="H11" i="377"/>
  <c r="K69" i="422" s="1"/>
  <c r="H12" i="377"/>
  <c r="D7" i="361"/>
  <c r="E7" i="361"/>
  <c r="L7" i="361" s="1"/>
  <c r="G7" i="361"/>
  <c r="D8" i="361"/>
  <c r="E8" i="361"/>
  <c r="G8" i="361"/>
  <c r="K8" i="361"/>
  <c r="D9" i="361"/>
  <c r="D10" i="361" s="1"/>
  <c r="D11" i="361" s="1"/>
  <c r="D12" i="361" s="1"/>
  <c r="D13" i="361" s="1"/>
  <c r="E66" i="422" s="1"/>
  <c r="G9" i="361"/>
  <c r="H9" i="361"/>
  <c r="K9" i="361" s="1"/>
  <c r="G10" i="361"/>
  <c r="H10" i="361"/>
  <c r="G11" i="361"/>
  <c r="H11" i="361"/>
  <c r="G12" i="361"/>
  <c r="H12" i="361"/>
  <c r="G13" i="361"/>
  <c r="H13" i="361"/>
  <c r="K66" i="422" s="1"/>
  <c r="I13" i="361"/>
  <c r="J13" i="361"/>
  <c r="J66" i="422" s="1"/>
  <c r="H14" i="361"/>
  <c r="C7" i="371"/>
  <c r="D7" i="371"/>
  <c r="D8" i="371" s="1"/>
  <c r="D9" i="371" s="1"/>
  <c r="E65" i="422" s="1"/>
  <c r="C8" i="371"/>
  <c r="J8" i="371"/>
  <c r="H9" i="371"/>
  <c r="K65" i="422" s="1"/>
  <c r="J9" i="371"/>
  <c r="J65" i="422" s="1"/>
  <c r="D7" i="375"/>
  <c r="D8" i="375" s="1"/>
  <c r="D9" i="375" s="1"/>
  <c r="D10" i="375" s="1"/>
  <c r="D11" i="375" s="1"/>
  <c r="E7" i="375"/>
  <c r="G7" i="375"/>
  <c r="E8" i="375"/>
  <c r="G8" i="375"/>
  <c r="K8" i="375"/>
  <c r="K9" i="375" s="1"/>
  <c r="K10" i="375" s="1"/>
  <c r="G9" i="375"/>
  <c r="H9" i="375"/>
  <c r="G10" i="375"/>
  <c r="H10" i="375"/>
  <c r="G11" i="375"/>
  <c r="H11" i="375"/>
  <c r="K11" i="375"/>
  <c r="K12" i="375" s="1"/>
  <c r="H12" i="375"/>
  <c r="D7" i="384"/>
  <c r="E7" i="384"/>
  <c r="L7" i="384"/>
  <c r="D8" i="384"/>
  <c r="D9" i="384"/>
  <c r="J9" i="384"/>
  <c r="H10" i="384"/>
  <c r="C7" i="380"/>
  <c r="D7" i="380"/>
  <c r="C8" i="380"/>
  <c r="H9" i="380" s="1"/>
  <c r="D8" i="380"/>
  <c r="E68" i="422" s="1"/>
  <c r="L9" i="380"/>
  <c r="D7" i="385"/>
  <c r="E7" i="385"/>
  <c r="G8" i="385" s="1"/>
  <c r="G7" i="385"/>
  <c r="L7" i="385"/>
  <c r="D8" i="385"/>
  <c r="D9" i="385"/>
  <c r="D10" i="385" s="1"/>
  <c r="E8" i="385"/>
  <c r="K8" i="385"/>
  <c r="K9" i="385" s="1"/>
  <c r="K10" i="385" s="1"/>
  <c r="K11" i="385" s="1"/>
  <c r="K12" i="385" s="1"/>
  <c r="H9" i="385"/>
  <c r="H10" i="385"/>
  <c r="J10" i="385"/>
  <c r="D11" i="385"/>
  <c r="H11" i="385"/>
  <c r="J11" i="385"/>
  <c r="H12" i="385"/>
  <c r="D7" i="374"/>
  <c r="D8" i="374" s="1"/>
  <c r="D9" i="374" s="1"/>
  <c r="E7" i="374"/>
  <c r="G8" i="374"/>
  <c r="G7" i="374"/>
  <c r="L7" i="374"/>
  <c r="E8" i="374"/>
  <c r="G9" i="374" s="1"/>
  <c r="K8" i="374"/>
  <c r="H9" i="374"/>
  <c r="D10" i="374"/>
  <c r="H10" i="374"/>
  <c r="D11" i="374"/>
  <c r="H11" i="374"/>
  <c r="J11" i="374"/>
  <c r="H12" i="374"/>
  <c r="C7" i="383"/>
  <c r="D7" i="383"/>
  <c r="D8" i="383" s="1"/>
  <c r="E7" i="383"/>
  <c r="L7" i="383"/>
  <c r="C8" i="383"/>
  <c r="C9" i="383"/>
  <c r="D9" i="383"/>
  <c r="D10" i="383" s="1"/>
  <c r="D11" i="383" s="1"/>
  <c r="E70" i="422" s="1"/>
  <c r="C10" i="383"/>
  <c r="C11" i="383"/>
  <c r="D7" i="389"/>
  <c r="E7" i="389"/>
  <c r="D8" i="389"/>
  <c r="D9" i="389"/>
  <c r="G8" i="389"/>
  <c r="K8" i="389"/>
  <c r="H9" i="389"/>
  <c r="J9" i="389"/>
  <c r="K9" i="389"/>
  <c r="H10" i="389"/>
  <c r="C7" i="391"/>
  <c r="D7" i="391"/>
  <c r="E7" i="391"/>
  <c r="C8" i="391"/>
  <c r="D8" i="391"/>
  <c r="D9" i="391" s="1"/>
  <c r="D10" i="391" s="1"/>
  <c r="C9" i="391"/>
  <c r="H9" i="391"/>
  <c r="C10" i="391"/>
  <c r="H11" i="391"/>
  <c r="H10" i="391"/>
  <c r="C7" i="395"/>
  <c r="E7" i="395" s="1"/>
  <c r="L7" i="395" s="1"/>
  <c r="D7" i="395"/>
  <c r="C8" i="395"/>
  <c r="D8" i="395"/>
  <c r="K8" i="395"/>
  <c r="K9" i="395" s="1"/>
  <c r="L9" i="395"/>
  <c r="C7" i="403"/>
  <c r="E7" i="403" s="1"/>
  <c r="D7" i="403"/>
  <c r="D8" i="403" s="1"/>
  <c r="K8" i="403"/>
  <c r="H9" i="403"/>
  <c r="K9" i="403"/>
  <c r="L9" i="403"/>
  <c r="C7" i="405"/>
  <c r="D7" i="405"/>
  <c r="E7" i="405"/>
  <c r="L7" i="405" s="1"/>
  <c r="C8" i="405"/>
  <c r="D8" i="405"/>
  <c r="K8" i="405"/>
  <c r="K9" i="405" s="1"/>
  <c r="L9" i="405"/>
  <c r="C7" i="406"/>
  <c r="D7" i="406"/>
  <c r="D8" i="406" s="1"/>
  <c r="E7" i="406"/>
  <c r="G7" i="406" s="1"/>
  <c r="L7" i="406"/>
  <c r="C8" i="406"/>
  <c r="E8" i="406"/>
  <c r="K8" i="406"/>
  <c r="K9" i="406"/>
  <c r="L9" i="406"/>
  <c r="C7" i="411"/>
  <c r="D7" i="411"/>
  <c r="E7" i="411"/>
  <c r="L7" i="411" s="1"/>
  <c r="C8" i="411"/>
  <c r="D8" i="411"/>
  <c r="K8" i="411"/>
  <c r="K9" i="411" s="1"/>
  <c r="L9" i="411"/>
  <c r="C7" i="418"/>
  <c r="E7" i="418" s="1"/>
  <c r="D7" i="418"/>
  <c r="D8" i="418"/>
  <c r="K8" i="418"/>
  <c r="H9" i="418"/>
  <c r="L9" i="418"/>
  <c r="C7" i="419"/>
  <c r="E7" i="419" s="1"/>
  <c r="D7" i="419"/>
  <c r="D8" i="419"/>
  <c r="K8" i="419"/>
  <c r="H9" i="419"/>
  <c r="L9" i="419"/>
  <c r="D7" i="363"/>
  <c r="E7" i="363"/>
  <c r="G7" i="363"/>
  <c r="D8" i="363"/>
  <c r="D9" i="363" s="1"/>
  <c r="D10" i="363" s="1"/>
  <c r="D11" i="363" s="1"/>
  <c r="E67" i="422" s="1"/>
  <c r="K8" i="363"/>
  <c r="H9" i="363"/>
  <c r="K9" i="363"/>
  <c r="K10" i="363" s="1"/>
  <c r="K11" i="363" s="1"/>
  <c r="H10" i="363"/>
  <c r="J10" i="363"/>
  <c r="J11" i="363"/>
  <c r="J67" i="422" s="1"/>
  <c r="H11" i="363"/>
  <c r="K67" i="422" s="1"/>
  <c r="H12" i="363"/>
  <c r="D8" i="96"/>
  <c r="D9" i="96"/>
  <c r="F9" i="96" s="1"/>
  <c r="E8" i="96"/>
  <c r="L8" i="96" s="1"/>
  <c r="F8" i="96"/>
  <c r="G8" i="96"/>
  <c r="H9" i="96"/>
  <c r="K9" i="96" s="1"/>
  <c r="K10" i="96"/>
  <c r="K11" i="96" s="1"/>
  <c r="H10" i="96"/>
  <c r="H11" i="96"/>
  <c r="H12" i="96"/>
  <c r="H13" i="96"/>
  <c r="J13" i="96"/>
  <c r="J14" i="96" s="1"/>
  <c r="J15" i="96"/>
  <c r="J16" i="96" s="1"/>
  <c r="J17" i="96"/>
  <c r="J18" i="96" s="1"/>
  <c r="J19" i="96" s="1"/>
  <c r="J20" i="96" s="1"/>
  <c r="J21" i="96" s="1"/>
  <c r="J22" i="96" s="1"/>
  <c r="J23" i="96" s="1"/>
  <c r="J24" i="96" s="1"/>
  <c r="J25" i="96" s="1"/>
  <c r="J26" i="96" s="1"/>
  <c r="J27" i="96" s="1"/>
  <c r="J28" i="96" s="1"/>
  <c r="J29" i="96" s="1"/>
  <c r="J30" i="96" s="1"/>
  <c r="J31" i="96" s="1"/>
  <c r="J32" i="96" s="1"/>
  <c r="J33" i="96"/>
  <c r="J34" i="96" s="1"/>
  <c r="J35" i="96" s="1"/>
  <c r="J36" i="96" s="1"/>
  <c r="J37" i="96" s="1"/>
  <c r="J38" i="96" s="1"/>
  <c r="J39" i="96" s="1"/>
  <c r="J40" i="96" s="1"/>
  <c r="J41" i="96" s="1"/>
  <c r="J42" i="96" s="1"/>
  <c r="J43" i="96" s="1"/>
  <c r="J44" i="96" s="1"/>
  <c r="J45" i="96" s="1"/>
  <c r="J46" i="96" s="1"/>
  <c r="J47" i="96" s="1"/>
  <c r="J48" i="96" s="1"/>
  <c r="J49" i="96" s="1"/>
  <c r="J50" i="96" s="1"/>
  <c r="J51" i="96" s="1"/>
  <c r="J52" i="96" s="1"/>
  <c r="J53" i="96" s="1"/>
  <c r="J54" i="96" s="1"/>
  <c r="J55" i="96" s="1"/>
  <c r="J56" i="96" s="1"/>
  <c r="J57" i="96" s="1"/>
  <c r="J58" i="96" s="1"/>
  <c r="J59" i="96" s="1"/>
  <c r="J60" i="96" s="1"/>
  <c r="J61" i="96" s="1"/>
  <c r="J62" i="96" s="1"/>
  <c r="H14" i="96"/>
  <c r="H15" i="96"/>
  <c r="H16" i="96"/>
  <c r="H17" i="96"/>
  <c r="H18" i="96"/>
  <c r="H19" i="96"/>
  <c r="H20" i="96"/>
  <c r="H21" i="96"/>
  <c r="H22" i="96"/>
  <c r="C23" i="96"/>
  <c r="H23" i="96"/>
  <c r="H24" i="96"/>
  <c r="H25" i="96"/>
  <c r="H26" i="96"/>
  <c r="H27" i="96"/>
  <c r="H28" i="96"/>
  <c r="H29" i="96"/>
  <c r="H30" i="96"/>
  <c r="H31" i="96"/>
  <c r="H32" i="96"/>
  <c r="H33" i="96"/>
  <c r="H34" i="96"/>
  <c r="H35" i="96"/>
  <c r="H36" i="96"/>
  <c r="H37" i="96"/>
  <c r="H40" i="96"/>
  <c r="H41" i="96"/>
  <c r="H44" i="96"/>
  <c r="H45" i="96"/>
  <c r="H46" i="96"/>
  <c r="H47" i="96"/>
  <c r="I47" i="96"/>
  <c r="H48" i="96"/>
  <c r="H49" i="96"/>
  <c r="H50" i="96"/>
  <c r="H51" i="96"/>
  <c r="H52" i="96"/>
  <c r="H53" i="96"/>
  <c r="H54" i="96"/>
  <c r="H55" i="96"/>
  <c r="H56" i="96"/>
  <c r="C57" i="96"/>
  <c r="H58" i="96" s="1"/>
  <c r="H57" i="96"/>
  <c r="H59" i="96"/>
  <c r="H60" i="96"/>
  <c r="H61" i="96"/>
  <c r="C62" i="96"/>
  <c r="H63" i="96"/>
  <c r="H62" i="96"/>
  <c r="D7" i="94"/>
  <c r="E7" i="94"/>
  <c r="L7" i="94" s="1"/>
  <c r="G7" i="94"/>
  <c r="D8" i="94"/>
  <c r="D9" i="94" s="1"/>
  <c r="D10" i="94" s="1"/>
  <c r="D11" i="94" s="1"/>
  <c r="D12" i="94" s="1"/>
  <c r="E8" i="94"/>
  <c r="E9" i="94" s="1"/>
  <c r="E10" i="94" s="1"/>
  <c r="G8" i="94"/>
  <c r="H8" i="94"/>
  <c r="K8" i="94"/>
  <c r="K9" i="94" s="1"/>
  <c r="K10" i="94" s="1"/>
  <c r="K11" i="94" s="1"/>
  <c r="K12" i="94" s="1"/>
  <c r="K13" i="94" s="1"/>
  <c r="K14" i="94" s="1"/>
  <c r="K15" i="94" s="1"/>
  <c r="K16" i="94" s="1"/>
  <c r="K17" i="94" s="1"/>
  <c r="K18" i="94" s="1"/>
  <c r="K19" i="94" s="1"/>
  <c r="K20" i="94" s="1"/>
  <c r="L8" i="94"/>
  <c r="G9" i="94"/>
  <c r="H9" i="94"/>
  <c r="I9" i="94"/>
  <c r="J9" i="94" s="1"/>
  <c r="H10" i="94"/>
  <c r="H11" i="94"/>
  <c r="H12" i="94"/>
  <c r="B13" i="94"/>
  <c r="C13" i="94"/>
  <c r="H13" i="94"/>
  <c r="H14" i="94"/>
  <c r="H15" i="94"/>
  <c r="H16" i="94"/>
  <c r="H17" i="94"/>
  <c r="H18" i="94"/>
  <c r="H19" i="94"/>
  <c r="H20" i="94"/>
  <c r="H22" i="94"/>
  <c r="H23" i="94"/>
  <c r="H24" i="94"/>
  <c r="H25" i="94"/>
  <c r="H26" i="94"/>
  <c r="H27" i="94"/>
  <c r="K74" i="422" s="1"/>
  <c r="D9" i="95"/>
  <c r="E9" i="95"/>
  <c r="G9" i="95"/>
  <c r="L9" i="95"/>
  <c r="D10" i="95"/>
  <c r="D11" i="95" s="1"/>
  <c r="E10" i="95"/>
  <c r="G10" i="95"/>
  <c r="K10" i="95"/>
  <c r="L10" i="95"/>
  <c r="E11" i="95"/>
  <c r="K11" i="95"/>
  <c r="D12" i="95"/>
  <c r="E12" i="95"/>
  <c r="D13" i="95"/>
  <c r="D14" i="95" s="1"/>
  <c r="D15" i="95" s="1"/>
  <c r="D16" i="95" s="1"/>
  <c r="D17" i="95" s="1"/>
  <c r="D18" i="95" s="1"/>
  <c r="D19" i="95" s="1"/>
  <c r="D20" i="95" s="1"/>
  <c r="D21" i="95" s="1"/>
  <c r="D22" i="95" s="1"/>
  <c r="D23" i="95" s="1"/>
  <c r="D24" i="95" s="1"/>
  <c r="D25" i="95" s="1"/>
  <c r="D26" i="95" s="1"/>
  <c r="D27" i="95" s="1"/>
  <c r="D28" i="95" s="1"/>
  <c r="D29" i="95" s="1"/>
  <c r="D30" i="95" s="1"/>
  <c r="D31" i="95" s="1"/>
  <c r="D32" i="95" s="1"/>
  <c r="D33" i="95" s="1"/>
  <c r="D34" i="95" s="1"/>
  <c r="D35" i="95" s="1"/>
  <c r="D36" i="95" s="1"/>
  <c r="D37" i="95" s="1"/>
  <c r="D38" i="95" s="1"/>
  <c r="D39" i="95" s="1"/>
  <c r="D40" i="95" s="1"/>
  <c r="D41" i="95" s="1"/>
  <c r="E75" i="422" s="1"/>
  <c r="H13" i="95"/>
  <c r="H14" i="95"/>
  <c r="J14" i="95"/>
  <c r="J15" i="95" s="1"/>
  <c r="J16" i="95" s="1"/>
  <c r="H15" i="95"/>
  <c r="H16" i="95"/>
  <c r="H17" i="95"/>
  <c r="J17" i="95"/>
  <c r="J18" i="95" s="1"/>
  <c r="J19" i="95" s="1"/>
  <c r="J20" i="95" s="1"/>
  <c r="J21" i="95" s="1"/>
  <c r="J22" i="95" s="1"/>
  <c r="J23" i="95" s="1"/>
  <c r="J24" i="95" s="1"/>
  <c r="J25" i="95" s="1"/>
  <c r="J26" i="95" s="1"/>
  <c r="J27" i="95" s="1"/>
  <c r="J28" i="95" s="1"/>
  <c r="J29" i="95" s="1"/>
  <c r="J30" i="95" s="1"/>
  <c r="J31" i="95" s="1"/>
  <c r="J32" i="95" s="1"/>
  <c r="J33" i="95" s="1"/>
  <c r="J34" i="95" s="1"/>
  <c r="J35" i="95" s="1"/>
  <c r="J36" i="95" s="1"/>
  <c r="J37" i="95" s="1"/>
  <c r="J38" i="95" s="1"/>
  <c r="J39" i="95" s="1"/>
  <c r="H18" i="95"/>
  <c r="H19" i="95"/>
  <c r="H20" i="95"/>
  <c r="H21" i="95"/>
  <c r="H22" i="95"/>
  <c r="H23" i="95"/>
  <c r="H24" i="95"/>
  <c r="H25" i="95"/>
  <c r="H26" i="95"/>
  <c r="H27" i="95"/>
  <c r="H28" i="95"/>
  <c r="H29" i="95"/>
  <c r="H30" i="95"/>
  <c r="H31" i="95"/>
  <c r="H32" i="95"/>
  <c r="H33" i="95"/>
  <c r="H34" i="95"/>
  <c r="H35" i="95"/>
  <c r="H37" i="95"/>
  <c r="I39" i="95"/>
  <c r="I40" i="95"/>
  <c r="D49" i="95"/>
  <c r="E49" i="95"/>
  <c r="G49" i="95"/>
  <c r="L49" i="95"/>
  <c r="D50" i="95"/>
  <c r="E50" i="95"/>
  <c r="G50" i="95"/>
  <c r="H50" i="95"/>
  <c r="K50" i="95" s="1"/>
  <c r="K51" i="95" s="1"/>
  <c r="K52" i="95" s="1"/>
  <c r="K53" i="95" s="1"/>
  <c r="K54" i="95" s="1"/>
  <c r="K55" i="95" s="1"/>
  <c r="K56" i="95" s="1"/>
  <c r="K57" i="95" s="1"/>
  <c r="K58" i="95" s="1"/>
  <c r="K59" i="95" s="1"/>
  <c r="K60" i="95" s="1"/>
  <c r="K61" i="95" s="1"/>
  <c r="K62" i="95" s="1"/>
  <c r="K63" i="95" s="1"/>
  <c r="K64" i="95" s="1"/>
  <c r="L50" i="95"/>
  <c r="D51" i="95"/>
  <c r="D52" i="95" s="1"/>
  <c r="D53" i="95" s="1"/>
  <c r="E51" i="95"/>
  <c r="H51" i="95"/>
  <c r="H52" i="95"/>
  <c r="H53" i="95"/>
  <c r="D54" i="95"/>
  <c r="D55" i="95" s="1"/>
  <c r="D56" i="95" s="1"/>
  <c r="D57" i="95" s="1"/>
  <c r="D58" i="95" s="1"/>
  <c r="D59" i="95" s="1"/>
  <c r="D60" i="95" s="1"/>
  <c r="D61" i="95" s="1"/>
  <c r="D62" i="95" s="1"/>
  <c r="D63" i="95" s="1"/>
  <c r="D64" i="95" s="1"/>
  <c r="D65" i="95" s="1"/>
  <c r="D66" i="95" s="1"/>
  <c r="D67" i="95" s="1"/>
  <c r="H54" i="95"/>
  <c r="H55" i="95"/>
  <c r="H56" i="95"/>
  <c r="H57" i="95"/>
  <c r="H58" i="95"/>
  <c r="I58" i="95"/>
  <c r="J58" i="95" s="1"/>
  <c r="H59" i="95"/>
  <c r="H60" i="95"/>
  <c r="H61" i="95"/>
  <c r="H62" i="95"/>
  <c r="H63" i="95"/>
  <c r="H64" i="95"/>
  <c r="I64" i="95"/>
  <c r="H66" i="95"/>
  <c r="H67" i="95"/>
  <c r="H68" i="95"/>
  <c r="H69" i="95"/>
  <c r="D5" i="249"/>
  <c r="E5" i="249"/>
  <c r="G5" i="249"/>
  <c r="L5" i="249"/>
  <c r="D6" i="249"/>
  <c r="E6" i="249"/>
  <c r="E7" i="249" s="1"/>
  <c r="G6" i="249"/>
  <c r="H6" i="249"/>
  <c r="K6" i="249" s="1"/>
  <c r="K7" i="249" s="1"/>
  <c r="L6" i="249"/>
  <c r="D7" i="249"/>
  <c r="D8" i="249" s="1"/>
  <c r="D9" i="249" s="1"/>
  <c r="D10" i="249" s="1"/>
  <c r="D11" i="249" s="1"/>
  <c r="D12" i="249" s="1"/>
  <c r="D13" i="249" s="1"/>
  <c r="D14" i="249" s="1"/>
  <c r="D15" i="249" s="1"/>
  <c r="D16" i="249" s="1"/>
  <c r="D17" i="249" s="1"/>
  <c r="D18" i="249" s="1"/>
  <c r="D19" i="249" s="1"/>
  <c r="D20" i="249" s="1"/>
  <c r="D21" i="249" s="1"/>
  <c r="D22" i="249" s="1"/>
  <c r="D23" i="249" s="1"/>
  <c r="D24" i="249" s="1"/>
  <c r="D25" i="249" s="1"/>
  <c r="D26" i="249" s="1"/>
  <c r="D27" i="249" s="1"/>
  <c r="D28" i="249" s="1"/>
  <c r="D29" i="249" s="1"/>
  <c r="D30" i="249" s="1"/>
  <c r="D31" i="249" s="1"/>
  <c r="D32" i="249" s="1"/>
  <c r="D33" i="249" s="1"/>
  <c r="D34" i="249" s="1"/>
  <c r="D35" i="249" s="1"/>
  <c r="D36" i="249" s="1"/>
  <c r="H7" i="249"/>
  <c r="H8" i="249"/>
  <c r="H9" i="249"/>
  <c r="J9" i="249"/>
  <c r="J10" i="249"/>
  <c r="J11" i="249" s="1"/>
  <c r="H11" i="249"/>
  <c r="H12" i="249"/>
  <c r="J12" i="249"/>
  <c r="J13" i="249" s="1"/>
  <c r="J14" i="249" s="1"/>
  <c r="J15" i="249" s="1"/>
  <c r="J16" i="249" s="1"/>
  <c r="J17" i="249" s="1"/>
  <c r="J18" i="249" s="1"/>
  <c r="J19" i="249" s="1"/>
  <c r="J20" i="249" s="1"/>
  <c r="J21" i="249" s="1"/>
  <c r="J22" i="249" s="1"/>
  <c r="J23" i="249" s="1"/>
  <c r="J24" i="249" s="1"/>
  <c r="J25" i="249" s="1"/>
  <c r="J26" i="249" s="1"/>
  <c r="J27" i="249" s="1"/>
  <c r="J28" i="249" s="1"/>
  <c r="J29" i="249" s="1"/>
  <c r="J30" i="249" s="1"/>
  <c r="J31" i="249" s="1"/>
  <c r="J32" i="249" s="1"/>
  <c r="J33" i="249" s="1"/>
  <c r="J34" i="249" s="1"/>
  <c r="J35" i="249" s="1"/>
  <c r="J36" i="249" s="1"/>
  <c r="H13" i="249"/>
  <c r="H14" i="249"/>
  <c r="H15" i="249"/>
  <c r="H16" i="249"/>
  <c r="H17" i="249"/>
  <c r="H18" i="249"/>
  <c r="H19" i="249"/>
  <c r="H20" i="249"/>
  <c r="H23" i="249"/>
  <c r="C24" i="249"/>
  <c r="H24" i="249"/>
  <c r="H28" i="249"/>
  <c r="H29" i="249"/>
  <c r="H30" i="249"/>
  <c r="H31" i="249"/>
  <c r="H32" i="249"/>
  <c r="H33" i="249"/>
  <c r="H34" i="249"/>
  <c r="H35" i="249"/>
  <c r="H36" i="249"/>
  <c r="H37" i="249"/>
  <c r="D6" i="102"/>
  <c r="E6" i="102"/>
  <c r="L6" i="102"/>
  <c r="D7" i="102"/>
  <c r="D8" i="102" s="1"/>
  <c r="D9" i="102" s="1"/>
  <c r="D10" i="102" s="1"/>
  <c r="D11" i="102" s="1"/>
  <c r="D12" i="102" s="1"/>
  <c r="D13" i="102" s="1"/>
  <c r="D14" i="102" s="1"/>
  <c r="D15" i="102" s="1"/>
  <c r="D16" i="102" s="1"/>
  <c r="D17" i="102" s="1"/>
  <c r="D18" i="102" s="1"/>
  <c r="D19" i="102" s="1"/>
  <c r="D20" i="102" s="1"/>
  <c r="D21" i="102" s="1"/>
  <c r="D22" i="102" s="1"/>
  <c r="D23" i="102" s="1"/>
  <c r="D24" i="102" s="1"/>
  <c r="H7" i="102"/>
  <c r="K7" i="102"/>
  <c r="K8" i="102" s="1"/>
  <c r="K9" i="102" s="1"/>
  <c r="K10" i="102" s="1"/>
  <c r="K11" i="102" s="1"/>
  <c r="K12" i="102" s="1"/>
  <c r="K13" i="102" s="1"/>
  <c r="K14" i="102" s="1"/>
  <c r="K15" i="102" s="1"/>
  <c r="K16" i="102" s="1"/>
  <c r="K17" i="102" s="1"/>
  <c r="K18" i="102" s="1"/>
  <c r="K19" i="102" s="1"/>
  <c r="K20" i="102" s="1"/>
  <c r="K21" i="102" s="1"/>
  <c r="K22" i="102" s="1"/>
  <c r="K23" i="102" s="1"/>
  <c r="K24" i="102" s="1"/>
  <c r="H8" i="102"/>
  <c r="H9" i="102"/>
  <c r="H10" i="102"/>
  <c r="H11" i="102"/>
  <c r="J11" i="102"/>
  <c r="J12" i="102" s="1"/>
  <c r="H12" i="102"/>
  <c r="H13" i="102"/>
  <c r="J13" i="102"/>
  <c r="J14" i="102" s="1"/>
  <c r="J15" i="102" s="1"/>
  <c r="J16" i="102" s="1"/>
  <c r="J17" i="102" s="1"/>
  <c r="J18" i="102" s="1"/>
  <c r="J19" i="102" s="1"/>
  <c r="J20" i="102" s="1"/>
  <c r="J21" i="102" s="1"/>
  <c r="J22" i="102" s="1"/>
  <c r="J23" i="102" s="1"/>
  <c r="J24" i="102" s="1"/>
  <c r="H14" i="102"/>
  <c r="H15" i="102"/>
  <c r="H16" i="102"/>
  <c r="H17" i="102"/>
  <c r="H18" i="102"/>
  <c r="H19" i="102"/>
  <c r="H20" i="102"/>
  <c r="H21" i="102"/>
  <c r="H22" i="102"/>
  <c r="H23" i="102"/>
  <c r="H24" i="102"/>
  <c r="K77" i="422" s="1"/>
  <c r="H25" i="102"/>
  <c r="D7" i="104"/>
  <c r="E7" i="104"/>
  <c r="I7" i="104"/>
  <c r="J7" i="104"/>
  <c r="D8" i="104"/>
  <c r="E8" i="104"/>
  <c r="I8" i="104"/>
  <c r="D9" i="104"/>
  <c r="D10" i="104" s="1"/>
  <c r="D11" i="104" s="1"/>
  <c r="D12" i="104" s="1"/>
  <c r="D13" i="104" s="1"/>
  <c r="D14" i="104" s="1"/>
  <c r="D15" i="104" s="1"/>
  <c r="D16" i="104" s="1"/>
  <c r="D17" i="104" s="1"/>
  <c r="D18" i="104" s="1"/>
  <c r="D19" i="104" s="1"/>
  <c r="D20" i="104" s="1"/>
  <c r="D21" i="104" s="1"/>
  <c r="D22" i="104" s="1"/>
  <c r="D23" i="104" s="1"/>
  <c r="E78" i="422" s="1"/>
  <c r="E9" i="104"/>
  <c r="E10" i="104" s="1"/>
  <c r="E11" i="104" s="1"/>
  <c r="I10" i="104"/>
  <c r="E12" i="104"/>
  <c r="E13" i="104" s="1"/>
  <c r="I13" i="104"/>
  <c r="E14" i="104"/>
  <c r="E15" i="104" s="1"/>
  <c r="E16" i="104" s="1"/>
  <c r="E17" i="104" s="1"/>
  <c r="E18" i="104" s="1"/>
  <c r="E19" i="104" s="1"/>
  <c r="E20" i="104" s="1"/>
  <c r="E21" i="104" s="1"/>
  <c r="E22" i="104" s="1"/>
  <c r="E23" i="104" s="1"/>
  <c r="F78" i="422" s="1"/>
  <c r="H15" i="104"/>
  <c r="K15" i="104"/>
  <c r="K16" i="104" s="1"/>
  <c r="K17" i="104" s="1"/>
  <c r="K18" i="104" s="1"/>
  <c r="K19" i="104" s="1"/>
  <c r="K20" i="104" s="1"/>
  <c r="H16" i="104"/>
  <c r="H17" i="104"/>
  <c r="H18" i="104"/>
  <c r="I18" i="104"/>
  <c r="H19" i="104"/>
  <c r="H20" i="104"/>
  <c r="I20" i="104"/>
  <c r="H21" i="104"/>
  <c r="K21" i="104"/>
  <c r="H22" i="104"/>
  <c r="K22" i="104"/>
  <c r="H23" i="104"/>
  <c r="K78" i="422" s="1"/>
  <c r="D7" i="247"/>
  <c r="E7" i="247"/>
  <c r="L7" i="247" s="1"/>
  <c r="G7" i="247"/>
  <c r="D8" i="247"/>
  <c r="K8" i="247"/>
  <c r="D9" i="247"/>
  <c r="K9" i="247"/>
  <c r="D10" i="247"/>
  <c r="D11" i="247" s="1"/>
  <c r="D12" i="247" s="1"/>
  <c r="D13" i="247" s="1"/>
  <c r="D14" i="247" s="1"/>
  <c r="D15" i="247" s="1"/>
  <c r="D16" i="247" s="1"/>
  <c r="D17" i="247" s="1"/>
  <c r="D18" i="247" s="1"/>
  <c r="D19" i="247" s="1"/>
  <c r="D20" i="247" s="1"/>
  <c r="D21" i="247" s="1"/>
  <c r="D22" i="247" s="1"/>
  <c r="D23" i="247" s="1"/>
  <c r="D24" i="247" s="1"/>
  <c r="D25" i="247" s="1"/>
  <c r="D26" i="247" s="1"/>
  <c r="D27" i="247" s="1"/>
  <c r="D28" i="247" s="1"/>
  <c r="D29" i="247" s="1"/>
  <c r="K10" i="247"/>
  <c r="H11" i="247"/>
  <c r="J12" i="247"/>
  <c r="J13" i="247" s="1"/>
  <c r="H13" i="247"/>
  <c r="J14" i="247"/>
  <c r="J15" i="247" s="1"/>
  <c r="H15" i="247"/>
  <c r="J16" i="247"/>
  <c r="J17" i="247" s="1"/>
  <c r="J18" i="247" s="1"/>
  <c r="J19" i="247" s="1"/>
  <c r="J20" i="247" s="1"/>
  <c r="J21" i="247" s="1"/>
  <c r="J22" i="247" s="1"/>
  <c r="J23" i="247" s="1"/>
  <c r="J24" i="247" s="1"/>
  <c r="J25" i="247" s="1"/>
  <c r="J26" i="247" s="1"/>
  <c r="J27" i="247" s="1"/>
  <c r="J28" i="247" s="1"/>
  <c r="J29" i="247" s="1"/>
  <c r="H17" i="247"/>
  <c r="I18" i="247"/>
  <c r="H19" i="247"/>
  <c r="H21" i="247"/>
  <c r="H23" i="247"/>
  <c r="H25" i="247"/>
  <c r="H26" i="247"/>
  <c r="H27" i="247"/>
  <c r="H29" i="247"/>
  <c r="I29" i="247"/>
  <c r="D7" i="191"/>
  <c r="E7" i="191"/>
  <c r="G7" i="191"/>
  <c r="L7" i="191"/>
  <c r="D8" i="191"/>
  <c r="D9" i="191" s="1"/>
  <c r="D10" i="191" s="1"/>
  <c r="D11" i="191" s="1"/>
  <c r="D12" i="191" s="1"/>
  <c r="D13" i="191" s="1"/>
  <c r="D14" i="191" s="1"/>
  <c r="D15" i="191" s="1"/>
  <c r="D16" i="191" s="1"/>
  <c r="D17" i="191" s="1"/>
  <c r="D18" i="191" s="1"/>
  <c r="D19" i="191" s="1"/>
  <c r="D20" i="191" s="1"/>
  <c r="D21" i="191" s="1"/>
  <c r="D22" i="191" s="1"/>
  <c r="D23" i="191" s="1"/>
  <c r="D24" i="191" s="1"/>
  <c r="D25" i="191" s="1"/>
  <c r="D26" i="191" s="1"/>
  <c r="D27" i="191" s="1"/>
  <c r="D28" i="191" s="1"/>
  <c r="D29" i="191" s="1"/>
  <c r="D30" i="191" s="1"/>
  <c r="D31" i="191" s="1"/>
  <c r="D32" i="191" s="1"/>
  <c r="D33" i="191" s="1"/>
  <c r="E80" i="422" s="1"/>
  <c r="E8" i="191"/>
  <c r="G8" i="191"/>
  <c r="H8" i="191"/>
  <c r="K8" i="191" s="1"/>
  <c r="K9" i="191" s="1"/>
  <c r="J8" i="191"/>
  <c r="L8" i="191"/>
  <c r="B9" i="191"/>
  <c r="C9" i="191"/>
  <c r="E9" i="191" s="1"/>
  <c r="G9" i="191"/>
  <c r="H9" i="191"/>
  <c r="H10" i="191"/>
  <c r="H11" i="191"/>
  <c r="J11" i="191"/>
  <c r="H12" i="191"/>
  <c r="I12" i="191"/>
  <c r="J12" i="191" s="1"/>
  <c r="J13" i="191" s="1"/>
  <c r="J14" i="191" s="1"/>
  <c r="J15" i="191" s="1"/>
  <c r="J16" i="191" s="1"/>
  <c r="J17" i="191" s="1"/>
  <c r="J18" i="191" s="1"/>
  <c r="J19" i="191" s="1"/>
  <c r="J20" i="191" s="1"/>
  <c r="J21" i="191" s="1"/>
  <c r="J22" i="191" s="1"/>
  <c r="J23" i="191" s="1"/>
  <c r="J24" i="191" s="1"/>
  <c r="J25" i="191" s="1"/>
  <c r="J26" i="191" s="1"/>
  <c r="J27" i="191" s="1"/>
  <c r="J28" i="191" s="1"/>
  <c r="J29" i="191" s="1"/>
  <c r="J30" i="191" s="1"/>
  <c r="J31" i="191" s="1"/>
  <c r="J32" i="191" s="1"/>
  <c r="J33" i="191" s="1"/>
  <c r="J80" i="422" s="1"/>
  <c r="H13" i="191"/>
  <c r="H14" i="191"/>
  <c r="H15" i="191"/>
  <c r="I15" i="191"/>
  <c r="H16" i="191"/>
  <c r="I16" i="191"/>
  <c r="H17" i="191"/>
  <c r="H18" i="191"/>
  <c r="H19" i="191"/>
  <c r="H20" i="191"/>
  <c r="H25" i="191"/>
  <c r="H26" i="191"/>
  <c r="H27" i="191"/>
  <c r="H28" i="191"/>
  <c r="H29" i="191"/>
  <c r="H30" i="191"/>
  <c r="H31" i="191"/>
  <c r="H32" i="191"/>
  <c r="H33" i="191"/>
  <c r="K80" i="422" s="1"/>
  <c r="D7" i="211"/>
  <c r="E7" i="211"/>
  <c r="G7" i="211"/>
  <c r="L7" i="211"/>
  <c r="D8" i="211"/>
  <c r="E8" i="211"/>
  <c r="G8" i="211"/>
  <c r="H8" i="211"/>
  <c r="K8" i="211" s="1"/>
  <c r="K9" i="211" s="1"/>
  <c r="K10" i="211" s="1"/>
  <c r="K11" i="211" s="1"/>
  <c r="K12" i="211" s="1"/>
  <c r="K13" i="211" s="1"/>
  <c r="K14" i="211" s="1"/>
  <c r="K15" i="211" s="1"/>
  <c r="K16" i="211" s="1"/>
  <c r="K17" i="211" s="1"/>
  <c r="K18" i="211" s="1"/>
  <c r="K19" i="211" s="1"/>
  <c r="K20" i="211" s="1"/>
  <c r="K21" i="211" s="1"/>
  <c r="K22" i="211" s="1"/>
  <c r="K23" i="211" s="1"/>
  <c r="K24" i="211" s="1"/>
  <c r="K25" i="211" s="1"/>
  <c r="L8" i="211"/>
  <c r="D9" i="211"/>
  <c r="E9" i="211"/>
  <c r="G9" i="211"/>
  <c r="H9" i="211"/>
  <c r="I9" i="211"/>
  <c r="J9" i="211"/>
  <c r="J10" i="211"/>
  <c r="J11" i="211"/>
  <c r="J12" i="211" s="1"/>
  <c r="J13" i="211" s="1"/>
  <c r="J14" i="211" s="1"/>
  <c r="J15" i="211" s="1"/>
  <c r="J16" i="211" s="1"/>
  <c r="J17" i="211" s="1"/>
  <c r="J18" i="211" s="1"/>
  <c r="J19" i="211" s="1"/>
  <c r="J20" i="211" s="1"/>
  <c r="J21" i="211" s="1"/>
  <c r="J22" i="211" s="1"/>
  <c r="J23" i="211" s="1"/>
  <c r="J24" i="211" s="1"/>
  <c r="J25" i="211" s="1"/>
  <c r="J81" i="422" s="1"/>
  <c r="L9" i="211"/>
  <c r="D10" i="211"/>
  <c r="D11" i="211" s="1"/>
  <c r="D12" i="211" s="1"/>
  <c r="D13" i="211" s="1"/>
  <c r="D14" i="211" s="1"/>
  <c r="D15" i="211" s="1"/>
  <c r="D16" i="211" s="1"/>
  <c r="D17" i="211" s="1"/>
  <c r="D18" i="211" s="1"/>
  <c r="D19" i="211" s="1"/>
  <c r="D20" i="211" s="1"/>
  <c r="D21" i="211" s="1"/>
  <c r="D22" i="211" s="1"/>
  <c r="D23" i="211" s="1"/>
  <c r="D24" i="211" s="1"/>
  <c r="D25" i="211" s="1"/>
  <c r="E81" i="422" s="1"/>
  <c r="E10" i="211"/>
  <c r="G10" i="211" s="1"/>
  <c r="H10" i="211"/>
  <c r="H11" i="211"/>
  <c r="H12" i="211"/>
  <c r="H13" i="211"/>
  <c r="H14" i="211"/>
  <c r="H15" i="211"/>
  <c r="H16" i="211"/>
  <c r="H17" i="211"/>
  <c r="H18" i="211"/>
  <c r="H19" i="211"/>
  <c r="H20" i="211"/>
  <c r="H21" i="211"/>
  <c r="H22" i="211"/>
  <c r="H23" i="211"/>
  <c r="H24" i="211"/>
  <c r="H25" i="211"/>
  <c r="K81" i="422" s="1"/>
  <c r="H26" i="211"/>
  <c r="D7" i="269"/>
  <c r="D8" i="269" s="1"/>
  <c r="D9" i="269" s="1"/>
  <c r="D10" i="269" s="1"/>
  <c r="D11" i="269" s="1"/>
  <c r="D12" i="269" s="1"/>
  <c r="D13" i="269" s="1"/>
  <c r="D14" i="269" s="1"/>
  <c r="D15" i="269" s="1"/>
  <c r="D16" i="269" s="1"/>
  <c r="D17" i="269" s="1"/>
  <c r="D18" i="269" s="1"/>
  <c r="D19" i="269" s="1"/>
  <c r="D20" i="269" s="1"/>
  <c r="D21" i="269" s="1"/>
  <c r="E7" i="269"/>
  <c r="E8" i="269" s="1"/>
  <c r="K8" i="269"/>
  <c r="H9" i="269"/>
  <c r="K9" i="269" s="1"/>
  <c r="K10" i="269" s="1"/>
  <c r="H10" i="269"/>
  <c r="H11" i="269"/>
  <c r="J11" i="269"/>
  <c r="J12" i="269" s="1"/>
  <c r="J13" i="269" s="1"/>
  <c r="J14" i="269"/>
  <c r="J15" i="269" s="1"/>
  <c r="J16" i="269" s="1"/>
  <c r="J17" i="269" s="1"/>
  <c r="J18" i="269" s="1"/>
  <c r="J19" i="269" s="1"/>
  <c r="J20" i="269" s="1"/>
  <c r="J21" i="269" s="1"/>
  <c r="H12" i="269"/>
  <c r="H13" i="269"/>
  <c r="H14" i="269"/>
  <c r="H15" i="269"/>
  <c r="H16" i="269"/>
  <c r="H17" i="269"/>
  <c r="H18" i="269"/>
  <c r="H19" i="269"/>
  <c r="H20" i="269"/>
  <c r="H21" i="269"/>
  <c r="K82" i="422" s="1"/>
  <c r="H22" i="269"/>
  <c r="H23" i="269"/>
  <c r="D7" i="243"/>
  <c r="E7" i="243"/>
  <c r="G7" i="243" s="1"/>
  <c r="L7" i="243"/>
  <c r="B8" i="243"/>
  <c r="C8" i="243"/>
  <c r="E8" i="243"/>
  <c r="L8" i="243" s="1"/>
  <c r="G8" i="243"/>
  <c r="K8" i="243"/>
  <c r="B9" i="243"/>
  <c r="C9" i="243"/>
  <c r="K9" i="243"/>
  <c r="K10" i="243" s="1"/>
  <c r="K11" i="243" s="1"/>
  <c r="K12" i="243" s="1"/>
  <c r="K13" i="243" s="1"/>
  <c r="K14" i="243" s="1"/>
  <c r="K15" i="243" s="1"/>
  <c r="K16" i="243" s="1"/>
  <c r="K17" i="243" s="1"/>
  <c r="K18" i="243" s="1"/>
  <c r="H13" i="243"/>
  <c r="H14" i="243"/>
  <c r="H15" i="243"/>
  <c r="H16" i="243"/>
  <c r="H17" i="243"/>
  <c r="J17" i="243"/>
  <c r="J18" i="243" s="1"/>
  <c r="J19" i="243" s="1"/>
  <c r="J20" i="243" s="1"/>
  <c r="J21" i="243" s="1"/>
  <c r="J22" i="243" s="1"/>
  <c r="J23" i="243" s="1"/>
  <c r="J24" i="243" s="1"/>
  <c r="J25" i="243" s="1"/>
  <c r="J26" i="243" s="1"/>
  <c r="J27" i="243" s="1"/>
  <c r="H18" i="243"/>
  <c r="C21" i="243"/>
  <c r="H27" i="243" s="1"/>
  <c r="H25" i="243"/>
  <c r="H26" i="243"/>
  <c r="H28" i="243"/>
  <c r="D7" i="245"/>
  <c r="E7" i="245"/>
  <c r="G7" i="245" s="1"/>
  <c r="L7" i="245"/>
  <c r="D8" i="245"/>
  <c r="D9" i="245" s="1"/>
  <c r="D10" i="245" s="1"/>
  <c r="D11" i="245" s="1"/>
  <c r="D12" i="245" s="1"/>
  <c r="D13" i="245" s="1"/>
  <c r="D14" i="245" s="1"/>
  <c r="D15" i="245" s="1"/>
  <c r="D16" i="245" s="1"/>
  <c r="D17" i="245" s="1"/>
  <c r="D18" i="245" s="1"/>
  <c r="D19" i="245" s="1"/>
  <c r="D20" i="245" s="1"/>
  <c r="D21" i="245" s="1"/>
  <c r="D22" i="245" s="1"/>
  <c r="D23" i="245" s="1"/>
  <c r="D24" i="245" s="1"/>
  <c r="D25" i="245" s="1"/>
  <c r="D26" i="245" s="1"/>
  <c r="D27" i="245" s="1"/>
  <c r="D28" i="245" s="1"/>
  <c r="D29" i="245" s="1"/>
  <c r="D30" i="245" s="1"/>
  <c r="D31" i="245" s="1"/>
  <c r="D32" i="245" s="1"/>
  <c r="D33" i="245" s="1"/>
  <c r="E84" i="422" s="1"/>
  <c r="E8" i="245"/>
  <c r="G8" i="245" s="1"/>
  <c r="H8" i="245"/>
  <c r="K8" i="245" s="1"/>
  <c r="K9" i="245" s="1"/>
  <c r="K10" i="245" s="1"/>
  <c r="K11" i="245" s="1"/>
  <c r="K12" i="245" s="1"/>
  <c r="K13" i="245" s="1"/>
  <c r="K14" i="245" s="1"/>
  <c r="K15" i="245" s="1"/>
  <c r="K16" i="245" s="1"/>
  <c r="K17" i="245" s="1"/>
  <c r="K18" i="245" s="1"/>
  <c r="K19" i="245" s="1"/>
  <c r="K20" i="245" s="1"/>
  <c r="K21" i="245" s="1"/>
  <c r="K22" i="245" s="1"/>
  <c r="K23" i="245" s="1"/>
  <c r="K24" i="245" s="1"/>
  <c r="K25" i="245" s="1"/>
  <c r="K26" i="245" s="1"/>
  <c r="K27" i="245" s="1"/>
  <c r="K28" i="245" s="1"/>
  <c r="K29" i="245" s="1"/>
  <c r="K30" i="245" s="1"/>
  <c r="L8" i="245"/>
  <c r="E9" i="245"/>
  <c r="G9" i="245" s="1"/>
  <c r="H9" i="245"/>
  <c r="L9" i="245"/>
  <c r="E10" i="245"/>
  <c r="G10" i="245"/>
  <c r="H10" i="245"/>
  <c r="J10" i="245"/>
  <c r="H11" i="245"/>
  <c r="J11" i="245"/>
  <c r="J12" i="245"/>
  <c r="J13" i="245"/>
  <c r="J14" i="245" s="1"/>
  <c r="J15" i="245" s="1"/>
  <c r="J16" i="245" s="1"/>
  <c r="J17" i="245" s="1"/>
  <c r="J18" i="245" s="1"/>
  <c r="J19" i="245" s="1"/>
  <c r="J20" i="245" s="1"/>
  <c r="J21" i="245" s="1"/>
  <c r="J22" i="245" s="1"/>
  <c r="J23" i="245" s="1"/>
  <c r="J24" i="245" s="1"/>
  <c r="J25" i="245" s="1"/>
  <c r="J26" i="245" s="1"/>
  <c r="J27" i="245" s="1"/>
  <c r="J28" i="245" s="1"/>
  <c r="H12" i="245"/>
  <c r="H13" i="245"/>
  <c r="H14" i="245"/>
  <c r="H15" i="245"/>
  <c r="H16" i="245"/>
  <c r="H17" i="245"/>
  <c r="H18" i="245"/>
  <c r="H19" i="245"/>
  <c r="H20" i="245"/>
  <c r="H21" i="245"/>
  <c r="H22" i="245"/>
  <c r="H23" i="245"/>
  <c r="H24" i="245"/>
  <c r="H25" i="245"/>
  <c r="H26" i="245"/>
  <c r="H27" i="245"/>
  <c r="H28" i="245"/>
  <c r="H29" i="245"/>
  <c r="I29" i="245"/>
  <c r="H30" i="245"/>
  <c r="H33" i="245"/>
  <c r="K84" i="422" s="1"/>
  <c r="I33" i="245"/>
  <c r="D7" i="255"/>
  <c r="E7" i="255"/>
  <c r="L7" i="255" s="1"/>
  <c r="G7" i="255"/>
  <c r="D8" i="255"/>
  <c r="E8" i="255"/>
  <c r="G8" i="255" s="1"/>
  <c r="H8" i="255"/>
  <c r="J8" i="255"/>
  <c r="K8" i="255"/>
  <c r="K9" i="255" s="1"/>
  <c r="K10" i="255" s="1"/>
  <c r="K11" i="255" s="1"/>
  <c r="K12" i="255" s="1"/>
  <c r="K13" i="255" s="1"/>
  <c r="K14" i="255" s="1"/>
  <c r="D9" i="255"/>
  <c r="D10" i="255"/>
  <c r="D11" i="255"/>
  <c r="D12" i="255" s="1"/>
  <c r="D13" i="255" s="1"/>
  <c r="H9" i="255"/>
  <c r="J9" i="255"/>
  <c r="J10" i="255" s="1"/>
  <c r="J11" i="255" s="1"/>
  <c r="J12" i="255" s="1"/>
  <c r="J13" i="255" s="1"/>
  <c r="H10" i="255"/>
  <c r="H11" i="255"/>
  <c r="H12" i="255"/>
  <c r="C13" i="255"/>
  <c r="H14" i="255" s="1"/>
  <c r="H13" i="255"/>
  <c r="C17" i="255"/>
  <c r="D7" i="256"/>
  <c r="E7" i="256"/>
  <c r="G7" i="256" s="1"/>
  <c r="L7" i="256"/>
  <c r="D8" i="256"/>
  <c r="D9" i="256" s="1"/>
  <c r="D10" i="256" s="1"/>
  <c r="D11" i="256" s="1"/>
  <c r="D12" i="256" s="1"/>
  <c r="D13" i="256" s="1"/>
  <c r="D14" i="256" s="1"/>
  <c r="D15" i="256" s="1"/>
  <c r="D16" i="256" s="1"/>
  <c r="D17" i="256" s="1"/>
  <c r="D18" i="256" s="1"/>
  <c r="D19" i="256" s="1"/>
  <c r="D20" i="256" s="1"/>
  <c r="D21" i="256" s="1"/>
  <c r="D22" i="256" s="1"/>
  <c r="D23" i="256" s="1"/>
  <c r="D24" i="256" s="1"/>
  <c r="D25" i="256" s="1"/>
  <c r="E8" i="256"/>
  <c r="G8" i="256" s="1"/>
  <c r="H8" i="256"/>
  <c r="K8" i="256" s="1"/>
  <c r="K9" i="256" s="1"/>
  <c r="K10" i="256" s="1"/>
  <c r="K11" i="256" s="1"/>
  <c r="K12" i="256" s="1"/>
  <c r="K13" i="256" s="1"/>
  <c r="K14" i="256" s="1"/>
  <c r="K15" i="256" s="1"/>
  <c r="K16" i="256" s="1"/>
  <c r="K17" i="256" s="1"/>
  <c r="K18" i="256" s="1"/>
  <c r="K19" i="256" s="1"/>
  <c r="K20" i="256" s="1"/>
  <c r="K21" i="256" s="1"/>
  <c r="K22" i="256" s="1"/>
  <c r="K23" i="256" s="1"/>
  <c r="K24" i="256" s="1"/>
  <c r="K25" i="256" s="1"/>
  <c r="K26" i="256" s="1"/>
  <c r="L8" i="256"/>
  <c r="E9" i="256"/>
  <c r="G9" i="256" s="1"/>
  <c r="H9" i="256"/>
  <c r="L9" i="256"/>
  <c r="E10" i="256"/>
  <c r="L10" i="256"/>
  <c r="H10" i="256"/>
  <c r="J10" i="256"/>
  <c r="G11" i="256"/>
  <c r="H11" i="256"/>
  <c r="J11" i="256"/>
  <c r="J12" i="256"/>
  <c r="J13" i="256" s="1"/>
  <c r="J14" i="256" s="1"/>
  <c r="J15" i="256" s="1"/>
  <c r="J16" i="256" s="1"/>
  <c r="J17" i="256" s="1"/>
  <c r="J18" i="256" s="1"/>
  <c r="J19" i="256" s="1"/>
  <c r="J20" i="256" s="1"/>
  <c r="J21" i="256" s="1"/>
  <c r="J22" i="256" s="1"/>
  <c r="J23" i="256" s="1"/>
  <c r="J24" i="256" s="1"/>
  <c r="J25" i="256" s="1"/>
  <c r="H12" i="256"/>
  <c r="G13" i="256"/>
  <c r="H13" i="256"/>
  <c r="H14" i="256"/>
  <c r="G15" i="256"/>
  <c r="H15" i="256"/>
  <c r="H16" i="256"/>
  <c r="G17" i="256"/>
  <c r="H17" i="256"/>
  <c r="H18" i="256"/>
  <c r="G19" i="256"/>
  <c r="H19" i="256"/>
  <c r="H20" i="256"/>
  <c r="B21" i="256"/>
  <c r="H21" i="256"/>
  <c r="G22" i="256"/>
  <c r="H22" i="256"/>
  <c r="H23" i="256"/>
  <c r="G24" i="256"/>
  <c r="H24" i="256"/>
  <c r="H25" i="256"/>
  <c r="H26" i="256"/>
  <c r="D33" i="256"/>
  <c r="D34" i="256" s="1"/>
  <c r="D35" i="256" s="1"/>
  <c r="D36" i="256"/>
  <c r="E86" i="422" s="1"/>
  <c r="E33" i="256"/>
  <c r="G33" i="256" s="1"/>
  <c r="K33" i="256"/>
  <c r="L33" i="256"/>
  <c r="E34" i="256"/>
  <c r="G34" i="256" s="1"/>
  <c r="H34" i="256"/>
  <c r="J34" i="256"/>
  <c r="J35" i="256" s="1"/>
  <c r="K34" i="256"/>
  <c r="K35" i="256" s="1"/>
  <c r="H35" i="256"/>
  <c r="H36" i="256"/>
  <c r="K86" i="422" s="1"/>
  <c r="H37" i="256"/>
  <c r="D7" i="273"/>
  <c r="E7" i="273"/>
  <c r="G7" i="273"/>
  <c r="L7" i="273"/>
  <c r="D8" i="273"/>
  <c r="E8" i="273"/>
  <c r="L8" i="273"/>
  <c r="G8" i="273"/>
  <c r="K8" i="273"/>
  <c r="K9" i="273" s="1"/>
  <c r="K10" i="273"/>
  <c r="K11" i="273" s="1"/>
  <c r="K12" i="273" s="1"/>
  <c r="K13" i="273" s="1"/>
  <c r="K14" i="273" s="1"/>
  <c r="K15" i="273" s="1"/>
  <c r="K16" i="273" s="1"/>
  <c r="K17" i="273" s="1"/>
  <c r="K18" i="273" s="1"/>
  <c r="K19" i="273" s="1"/>
  <c r="K20" i="273" s="1"/>
  <c r="K21" i="273" s="1"/>
  <c r="K22" i="273" s="1"/>
  <c r="D9" i="273"/>
  <c r="D10" i="273" s="1"/>
  <c r="D11" i="273" s="1"/>
  <c r="D12" i="273"/>
  <c r="D13" i="273" s="1"/>
  <c r="D14" i="273" s="1"/>
  <c r="D15" i="273" s="1"/>
  <c r="D16" i="273" s="1"/>
  <c r="D17" i="273" s="1"/>
  <c r="D18" i="273" s="1"/>
  <c r="D19" i="273" s="1"/>
  <c r="D20" i="273" s="1"/>
  <c r="D21" i="273" s="1"/>
  <c r="G9" i="273"/>
  <c r="H9" i="273"/>
  <c r="J9" i="273"/>
  <c r="J10" i="273" s="1"/>
  <c r="J11" i="273" s="1"/>
  <c r="J12" i="273" s="1"/>
  <c r="H10" i="273"/>
  <c r="H11" i="273"/>
  <c r="H12" i="273"/>
  <c r="H13" i="273"/>
  <c r="I13" i="273"/>
  <c r="H14" i="273"/>
  <c r="C15" i="273"/>
  <c r="H15" i="273"/>
  <c r="H16" i="273"/>
  <c r="H17" i="273"/>
  <c r="H18" i="273"/>
  <c r="H19" i="273"/>
  <c r="C20" i="273"/>
  <c r="H22" i="273" s="1"/>
  <c r="H20" i="273"/>
  <c r="H21" i="273"/>
  <c r="D7" i="293"/>
  <c r="E7" i="293"/>
  <c r="L7" i="293" s="1"/>
  <c r="G7" i="293"/>
  <c r="D8" i="293"/>
  <c r="D9" i="293" s="1"/>
  <c r="D10" i="293" s="1"/>
  <c r="D11" i="293" s="1"/>
  <c r="D12" i="293" s="1"/>
  <c r="D13" i="293" s="1"/>
  <c r="D14" i="293" s="1"/>
  <c r="D15" i="293" s="1"/>
  <c r="D16" i="293" s="1"/>
  <c r="D17" i="293" s="1"/>
  <c r="D18" i="293" s="1"/>
  <c r="D19" i="293" s="1"/>
  <c r="D20" i="293" s="1"/>
  <c r="D21" i="293" s="1"/>
  <c r="D22" i="293" s="1"/>
  <c r="D23" i="293" s="1"/>
  <c r="D24" i="293" s="1"/>
  <c r="D25" i="293" s="1"/>
  <c r="D26" i="293" s="1"/>
  <c r="G8" i="293"/>
  <c r="H9" i="293"/>
  <c r="K9" i="293" s="1"/>
  <c r="K10" i="293" s="1"/>
  <c r="K11" i="293" s="1"/>
  <c r="K12" i="293" s="1"/>
  <c r="K13" i="293" s="1"/>
  <c r="K14" i="293" s="1"/>
  <c r="K15" i="293" s="1"/>
  <c r="K16" i="293" s="1"/>
  <c r="K17" i="293" s="1"/>
  <c r="K18" i="293" s="1"/>
  <c r="K19" i="293" s="1"/>
  <c r="K20" i="293" s="1"/>
  <c r="K21" i="293" s="1"/>
  <c r="K22" i="293" s="1"/>
  <c r="K23" i="293" s="1"/>
  <c r="K24" i="293" s="1"/>
  <c r="K25" i="293" s="1"/>
  <c r="K26" i="293" s="1"/>
  <c r="K27" i="293" s="1"/>
  <c r="J9" i="293"/>
  <c r="H10" i="293"/>
  <c r="J10" i="293"/>
  <c r="J11" i="293" s="1"/>
  <c r="J12" i="293" s="1"/>
  <c r="J13" i="293" s="1"/>
  <c r="J14" i="293" s="1"/>
  <c r="J15" i="293" s="1"/>
  <c r="J16" i="293" s="1"/>
  <c r="J19" i="293" s="1"/>
  <c r="J20" i="293" s="1"/>
  <c r="J21" i="293" s="1"/>
  <c r="J22" i="293" s="1"/>
  <c r="J23" i="293" s="1"/>
  <c r="J24" i="293" s="1"/>
  <c r="J25" i="293" s="1"/>
  <c r="J26" i="293" s="1"/>
  <c r="H11" i="293"/>
  <c r="H12" i="293"/>
  <c r="I12" i="293"/>
  <c r="H13" i="293"/>
  <c r="H14" i="293"/>
  <c r="H15" i="293"/>
  <c r="H16" i="293"/>
  <c r="H17" i="293"/>
  <c r="H18" i="293"/>
  <c r="H19" i="293"/>
  <c r="H20" i="293"/>
  <c r="H21" i="293"/>
  <c r="H22" i="293"/>
  <c r="H23" i="293"/>
  <c r="H24" i="293"/>
  <c r="H25" i="293"/>
  <c r="H26" i="293"/>
  <c r="H27" i="293"/>
  <c r="D7" i="308"/>
  <c r="D8" i="308" s="1"/>
  <c r="D9" i="308" s="1"/>
  <c r="D10" i="308" s="1"/>
  <c r="D11" i="308" s="1"/>
  <c r="D12" i="308" s="1"/>
  <c r="D13" i="308" s="1"/>
  <c r="D14" i="308" s="1"/>
  <c r="E90" i="422" s="1"/>
  <c r="E7" i="308"/>
  <c r="H8" i="308"/>
  <c r="K8" i="308" s="1"/>
  <c r="K9" i="308" s="1"/>
  <c r="K10" i="308" s="1"/>
  <c r="K11" i="308" s="1"/>
  <c r="K12" i="308" s="1"/>
  <c r="K13" i="308" s="1"/>
  <c r="J8" i="308"/>
  <c r="H9" i="308"/>
  <c r="H10" i="308"/>
  <c r="J10" i="308"/>
  <c r="J11" i="308" s="1"/>
  <c r="H11" i="308"/>
  <c r="J12" i="308"/>
  <c r="J13" i="308" s="1"/>
  <c r="J14" i="308" s="1"/>
  <c r="J90" i="422" s="1"/>
  <c r="H12" i="308"/>
  <c r="B13" i="308"/>
  <c r="C13" i="308"/>
  <c r="H13" i="308"/>
  <c r="D7" i="310"/>
  <c r="E7" i="310"/>
  <c r="L7" i="310" s="1"/>
  <c r="G7" i="310"/>
  <c r="D8" i="310"/>
  <c r="E8" i="310"/>
  <c r="G8" i="310"/>
  <c r="H8" i="310"/>
  <c r="K8" i="310"/>
  <c r="D9" i="310"/>
  <c r="D10" i="310"/>
  <c r="D11" i="310"/>
  <c r="D12" i="310" s="1"/>
  <c r="D13" i="310" s="1"/>
  <c r="D14" i="310" s="1"/>
  <c r="D15" i="310" s="1"/>
  <c r="D16" i="310" s="1"/>
  <c r="H9" i="310"/>
  <c r="K9" i="310" s="1"/>
  <c r="K10" i="310" s="1"/>
  <c r="K11" i="310" s="1"/>
  <c r="K12" i="310" s="1"/>
  <c r="K13" i="310" s="1"/>
  <c r="K14" i="310" s="1"/>
  <c r="K15" i="310" s="1"/>
  <c r="K16" i="310" s="1"/>
  <c r="K17" i="310" s="1"/>
  <c r="K18" i="310" s="1"/>
  <c r="J9" i="310"/>
  <c r="J10" i="310" s="1"/>
  <c r="J11" i="310"/>
  <c r="J12" i="310" s="1"/>
  <c r="J13" i="310" s="1"/>
  <c r="J14" i="310" s="1"/>
  <c r="J15" i="310" s="1"/>
  <c r="J16" i="310" s="1"/>
  <c r="J17" i="310" s="1"/>
  <c r="H10" i="310"/>
  <c r="H11" i="310"/>
  <c r="H12" i="310"/>
  <c r="H13" i="310"/>
  <c r="H14" i="310"/>
  <c r="H15" i="310"/>
  <c r="H16" i="310"/>
  <c r="H17" i="310"/>
  <c r="H18" i="310"/>
  <c r="D7" i="323"/>
  <c r="D8" i="323" s="1"/>
  <c r="D9" i="323" s="1"/>
  <c r="D10" i="323" s="1"/>
  <c r="D11" i="323" s="1"/>
  <c r="D12" i="323" s="1"/>
  <c r="D13" i="323" s="1"/>
  <c r="E92" i="422" s="1"/>
  <c r="E7" i="323"/>
  <c r="G7" i="323" s="1"/>
  <c r="L7" i="323"/>
  <c r="E8" i="323"/>
  <c r="L8" i="323" s="1"/>
  <c r="G8" i="323"/>
  <c r="K8" i="323"/>
  <c r="K9" i="323" s="1"/>
  <c r="K10" i="323" s="1"/>
  <c r="K11" i="323" s="1"/>
  <c r="K12" i="323" s="1"/>
  <c r="K13" i="323" s="1"/>
  <c r="E9" i="323"/>
  <c r="L9" i="323"/>
  <c r="G9" i="323"/>
  <c r="H9" i="323"/>
  <c r="J9" i="323"/>
  <c r="G10" i="323"/>
  <c r="H10" i="323"/>
  <c r="B11" i="323"/>
  <c r="C11" i="323"/>
  <c r="G11" i="323" s="1"/>
  <c r="H11" i="323"/>
  <c r="H12" i="323"/>
  <c r="G13" i="323"/>
  <c r="H13" i="323"/>
  <c r="K92" i="422" s="1"/>
  <c r="D7" i="354"/>
  <c r="D8" i="354" s="1"/>
  <c r="D9" i="354" s="1"/>
  <c r="D10" i="354" s="1"/>
  <c r="D11" i="354" s="1"/>
  <c r="D12" i="354" s="1"/>
  <c r="D13" i="354" s="1"/>
  <c r="E7" i="354"/>
  <c r="G7" i="354" s="1"/>
  <c r="L7" i="354"/>
  <c r="E8" i="354"/>
  <c r="G8" i="354"/>
  <c r="K8" i="354"/>
  <c r="K9" i="354" s="1"/>
  <c r="L8" i="354"/>
  <c r="E9" i="354"/>
  <c r="G10" i="354"/>
  <c r="G9" i="354"/>
  <c r="H9" i="354"/>
  <c r="K10" i="354"/>
  <c r="K11" i="354" s="1"/>
  <c r="K12" i="354" s="1"/>
  <c r="K13" i="354" s="1"/>
  <c r="L9" i="354"/>
  <c r="E10" i="354"/>
  <c r="G11" i="354" s="1"/>
  <c r="H10" i="354"/>
  <c r="E11" i="354"/>
  <c r="H11" i="354"/>
  <c r="J11" i="354"/>
  <c r="H12" i="354"/>
  <c r="I12" i="354"/>
  <c r="J12" i="354"/>
  <c r="C13" i="354"/>
  <c r="H13" i="354"/>
  <c r="D7" i="350"/>
  <c r="E7" i="350"/>
  <c r="L7" i="350" s="1"/>
  <c r="K8" i="350"/>
  <c r="L8" i="350"/>
  <c r="K9" i="350"/>
  <c r="K10" i="350" s="1"/>
  <c r="L9" i="350"/>
  <c r="L10" i="350"/>
  <c r="L11" i="350"/>
  <c r="D7" i="387"/>
  <c r="D8" i="387" s="1"/>
  <c r="E7" i="387"/>
  <c r="H7" i="387"/>
  <c r="J7" i="387"/>
  <c r="L7" i="387" s="1"/>
  <c r="K7" i="387"/>
  <c r="K8" i="387" s="1"/>
  <c r="K9" i="387" s="1"/>
  <c r="E8" i="387"/>
  <c r="H8" i="387"/>
  <c r="J8" i="387"/>
  <c r="L8" i="387"/>
  <c r="D7" i="417"/>
  <c r="E7" i="417"/>
  <c r="J7" i="417"/>
  <c r="L7" i="417" s="1"/>
  <c r="K7" i="417"/>
  <c r="H8" i="417"/>
  <c r="J8" i="417"/>
  <c r="L8" i="417" s="1"/>
  <c r="K8" i="417"/>
  <c r="K9" i="417" s="1"/>
  <c r="D7" i="396"/>
  <c r="D8" i="396"/>
  <c r="D9" i="396" s="1"/>
  <c r="D10" i="396" s="1"/>
  <c r="D11" i="396" s="1"/>
  <c r="E7" i="396"/>
  <c r="H8" i="396"/>
  <c r="K8" i="396" s="1"/>
  <c r="K9" i="396" s="1"/>
  <c r="K10" i="396" s="1"/>
  <c r="C7" i="398"/>
  <c r="E7" i="398" s="1"/>
  <c r="E8" i="398" s="1"/>
  <c r="D7" i="398"/>
  <c r="C8" i="398"/>
  <c r="D8" i="398"/>
  <c r="D9" i="398" s="1"/>
  <c r="K8" i="398"/>
  <c r="K9" i="398" s="1"/>
  <c r="K10" i="398" s="1"/>
  <c r="C9" i="398"/>
  <c r="L10" i="398"/>
  <c r="L11" i="398"/>
  <c r="C7" i="393"/>
  <c r="H9" i="393" s="1"/>
  <c r="K9" i="393"/>
  <c r="K10" i="393" s="1"/>
  <c r="D7" i="393"/>
  <c r="D8" i="393" s="1"/>
  <c r="D9" i="393" s="1"/>
  <c r="C8" i="393"/>
  <c r="H10" i="393" s="1"/>
  <c r="G8" i="393"/>
  <c r="G9" i="393"/>
  <c r="C7" i="402"/>
  <c r="E7" i="402" s="1"/>
  <c r="D7" i="402"/>
  <c r="D8" i="402"/>
  <c r="K8" i="402"/>
  <c r="K9" i="402"/>
  <c r="K10" i="402" s="1"/>
  <c r="L9" i="402"/>
  <c r="L10" i="402"/>
  <c r="L11" i="402"/>
  <c r="D7" i="407"/>
  <c r="E7" i="407"/>
  <c r="G7" i="407"/>
  <c r="L7" i="407"/>
  <c r="D8" i="407"/>
  <c r="E8" i="407"/>
  <c r="G8" i="407"/>
  <c r="D7" i="106"/>
  <c r="F7" i="106" s="1"/>
  <c r="E7" i="106"/>
  <c r="E8" i="106" s="1"/>
  <c r="E9" i="106" s="1"/>
  <c r="L7" i="106"/>
  <c r="D8" i="106"/>
  <c r="D9" i="106" s="1"/>
  <c r="H8" i="106"/>
  <c r="K8" i="106" s="1"/>
  <c r="K9" i="106" s="1"/>
  <c r="K10" i="106" s="1"/>
  <c r="K11" i="106" s="1"/>
  <c r="K12" i="106" s="1"/>
  <c r="K13" i="106" s="1"/>
  <c r="K14" i="106" s="1"/>
  <c r="K15" i="106" s="1"/>
  <c r="K16" i="106" s="1"/>
  <c r="K17" i="106" s="1"/>
  <c r="K18" i="106" s="1"/>
  <c r="K19" i="106" s="1"/>
  <c r="K20" i="106" s="1"/>
  <c r="K21" i="106" s="1"/>
  <c r="K22" i="106" s="1"/>
  <c r="K23" i="106" s="1"/>
  <c r="K24" i="106" s="1"/>
  <c r="K25" i="106" s="1"/>
  <c r="K26" i="106" s="1"/>
  <c r="K27" i="106" s="1"/>
  <c r="K28" i="106" s="1"/>
  <c r="K29" i="106" s="1"/>
  <c r="K30" i="106" s="1"/>
  <c r="K31" i="106" s="1"/>
  <c r="K32" i="106" s="1"/>
  <c r="K33" i="106" s="1"/>
  <c r="K34" i="106" s="1"/>
  <c r="K35" i="106" s="1"/>
  <c r="K36" i="106" s="1"/>
  <c r="K37" i="106" s="1"/>
  <c r="K38" i="106" s="1"/>
  <c r="K39" i="106" s="1"/>
  <c r="K40" i="106" s="1"/>
  <c r="K41" i="106" s="1"/>
  <c r="K42" i="106" s="1"/>
  <c r="K43" i="106" s="1"/>
  <c r="K44" i="106" s="1"/>
  <c r="K45" i="106" s="1"/>
  <c r="K46" i="106" s="1"/>
  <c r="K47" i="106" s="1"/>
  <c r="K48" i="106" s="1"/>
  <c r="K49" i="106" s="1"/>
  <c r="K50" i="106" s="1"/>
  <c r="K51" i="106" s="1"/>
  <c r="K52" i="106" s="1"/>
  <c r="K53" i="106" s="1"/>
  <c r="K54" i="106" s="1"/>
  <c r="K55" i="106" s="1"/>
  <c r="I97" i="422" s="1"/>
  <c r="J8" i="106"/>
  <c r="L8" i="106"/>
  <c r="H9" i="106"/>
  <c r="I9" i="106"/>
  <c r="J9" i="106" s="1"/>
  <c r="J10" i="106"/>
  <c r="J11" i="106" s="1"/>
  <c r="J12" i="106" s="1"/>
  <c r="J13" i="106" s="1"/>
  <c r="J14" i="106" s="1"/>
  <c r="J15" i="106" s="1"/>
  <c r="J16" i="106" s="1"/>
  <c r="J17" i="106" s="1"/>
  <c r="J18" i="106" s="1"/>
  <c r="J19" i="106" s="1"/>
  <c r="J20" i="106" s="1"/>
  <c r="J21" i="106" s="1"/>
  <c r="J22" i="106" s="1"/>
  <c r="J23" i="106" s="1"/>
  <c r="J24" i="106" s="1"/>
  <c r="J25" i="106" s="1"/>
  <c r="J26" i="106" s="1"/>
  <c r="J27" i="106" s="1"/>
  <c r="J28" i="106" s="1"/>
  <c r="J29" i="106" s="1"/>
  <c r="J30" i="106" s="1"/>
  <c r="J31" i="106" s="1"/>
  <c r="J32" i="106" s="1"/>
  <c r="J33" i="106" s="1"/>
  <c r="J34" i="106" s="1"/>
  <c r="J35" i="106" s="1"/>
  <c r="J36" i="106" s="1"/>
  <c r="J37" i="106" s="1"/>
  <c r="J38" i="106" s="1"/>
  <c r="J39" i="106" s="1"/>
  <c r="J40" i="106" s="1"/>
  <c r="J41" i="106" s="1"/>
  <c r="J42" i="106" s="1"/>
  <c r="J43" i="106" s="1"/>
  <c r="J44" i="106" s="1"/>
  <c r="J45" i="106" s="1"/>
  <c r="J46" i="106" s="1"/>
  <c r="J47" i="106" s="1"/>
  <c r="J48" i="106" s="1"/>
  <c r="J49" i="106" s="1"/>
  <c r="J50" i="106" s="1"/>
  <c r="J51" i="106" s="1"/>
  <c r="J52" i="106" s="1"/>
  <c r="J53" i="106" s="1"/>
  <c r="J54" i="106" s="1"/>
  <c r="J55" i="106" s="1"/>
  <c r="J97" i="422" s="1"/>
  <c r="H10" i="106"/>
  <c r="H11" i="106"/>
  <c r="H12" i="106"/>
  <c r="I12" i="106"/>
  <c r="H13" i="106"/>
  <c r="H14" i="106"/>
  <c r="H15" i="106"/>
  <c r="H16" i="106"/>
  <c r="H17" i="106"/>
  <c r="H18" i="106"/>
  <c r="H19" i="106"/>
  <c r="H20" i="106"/>
  <c r="H21" i="106"/>
  <c r="H22" i="106"/>
  <c r="H23" i="106"/>
  <c r="H24" i="106"/>
  <c r="I24" i="106"/>
  <c r="H25" i="106"/>
  <c r="H26" i="106"/>
  <c r="H27" i="106"/>
  <c r="I27" i="106"/>
  <c r="H28" i="106"/>
  <c r="H29" i="106"/>
  <c r="H30" i="106"/>
  <c r="H31" i="106"/>
  <c r="H32" i="106"/>
  <c r="H33" i="106"/>
  <c r="I33" i="106"/>
  <c r="H34" i="106"/>
  <c r="H35" i="106"/>
  <c r="H36" i="106"/>
  <c r="I36" i="106"/>
  <c r="H37" i="106"/>
  <c r="H38" i="106"/>
  <c r="H39" i="106"/>
  <c r="H40" i="106"/>
  <c r="H41" i="106"/>
  <c r="H42" i="106"/>
  <c r="H43" i="106"/>
  <c r="H44" i="106"/>
  <c r="H45" i="106"/>
  <c r="H46" i="106"/>
  <c r="H47" i="106"/>
  <c r="H48" i="106"/>
  <c r="H49" i="106"/>
  <c r="H50" i="106"/>
  <c r="H51" i="106"/>
  <c r="H52" i="106"/>
  <c r="H53" i="106"/>
  <c r="H54" i="106"/>
  <c r="I54" i="106"/>
  <c r="H55" i="106"/>
  <c r="K97" i="422" s="1"/>
  <c r="D7" i="108"/>
  <c r="F7" i="108" s="1"/>
  <c r="E7" i="108"/>
  <c r="L7" i="108"/>
  <c r="D8" i="108"/>
  <c r="F8" i="108" s="1"/>
  <c r="E8" i="108"/>
  <c r="H8" i="108"/>
  <c r="K8" i="108"/>
  <c r="K9" i="108" s="1"/>
  <c r="K10" i="108" s="1"/>
  <c r="K11" i="108" s="1"/>
  <c r="K12" i="108" s="1"/>
  <c r="K13" i="108" s="1"/>
  <c r="K14" i="108" s="1"/>
  <c r="K15" i="108" s="1"/>
  <c r="K16" i="108" s="1"/>
  <c r="L8" i="108"/>
  <c r="E9" i="108"/>
  <c r="E10" i="108" s="1"/>
  <c r="H9" i="108"/>
  <c r="J9" i="108"/>
  <c r="L9" i="108"/>
  <c r="H10" i="108"/>
  <c r="I10" i="108"/>
  <c r="J10" i="108"/>
  <c r="J11" i="108" s="1"/>
  <c r="J12" i="108" s="1"/>
  <c r="J13" i="108" s="1"/>
  <c r="J14" i="108" s="1"/>
  <c r="J15" i="108" s="1"/>
  <c r="J16" i="108" s="1"/>
  <c r="J17" i="108" s="1"/>
  <c r="J18" i="108" s="1"/>
  <c r="J19" i="108" s="1"/>
  <c r="J20" i="108" s="1"/>
  <c r="J21" i="108" s="1"/>
  <c r="J22" i="108" s="1"/>
  <c r="J23" i="108" s="1"/>
  <c r="J24" i="108" s="1"/>
  <c r="J25" i="108" s="1"/>
  <c r="J26" i="108" s="1"/>
  <c r="J27" i="108" s="1"/>
  <c r="J28" i="108" s="1"/>
  <c r="J29" i="108" s="1"/>
  <c r="J30" i="108" s="1"/>
  <c r="J31" i="108" s="1"/>
  <c r="J32" i="108" s="1"/>
  <c r="J33" i="108" s="1"/>
  <c r="J34" i="108" s="1"/>
  <c r="J35" i="108" s="1"/>
  <c r="J36" i="108" s="1"/>
  <c r="J37" i="108" s="1"/>
  <c r="J38" i="108" s="1"/>
  <c r="J39" i="108" s="1"/>
  <c r="J40" i="108" s="1"/>
  <c r="J41" i="108" s="1"/>
  <c r="J42" i="108" s="1"/>
  <c r="J43" i="108" s="1"/>
  <c r="J44" i="108" s="1"/>
  <c r="J45" i="108" s="1"/>
  <c r="J46" i="108" s="1"/>
  <c r="J47" i="108" s="1"/>
  <c r="J48" i="108" s="1"/>
  <c r="J49" i="108" s="1"/>
  <c r="J50" i="108" s="1"/>
  <c r="J51" i="108" s="1"/>
  <c r="J52" i="108" s="1"/>
  <c r="J53" i="108" s="1"/>
  <c r="J54" i="108" s="1"/>
  <c r="J55" i="108" s="1"/>
  <c r="J56" i="108" s="1"/>
  <c r="J57" i="108" s="1"/>
  <c r="J58" i="108" s="1"/>
  <c r="J98" i="422" s="1"/>
  <c r="H11" i="108"/>
  <c r="H12" i="108"/>
  <c r="H13" i="108"/>
  <c r="H14" i="108"/>
  <c r="H15" i="108"/>
  <c r="C16" i="108"/>
  <c r="H17" i="108"/>
  <c r="H16" i="108"/>
  <c r="H18" i="108"/>
  <c r="H19" i="108"/>
  <c r="H20" i="108"/>
  <c r="H21" i="108"/>
  <c r="H22" i="108"/>
  <c r="H23" i="108"/>
  <c r="H24" i="108"/>
  <c r="H25" i="108"/>
  <c r="H26" i="108"/>
  <c r="H27" i="108"/>
  <c r="I27" i="108"/>
  <c r="H28" i="108"/>
  <c r="H29" i="108"/>
  <c r="H30" i="108"/>
  <c r="H31" i="108"/>
  <c r="H32" i="108"/>
  <c r="H33" i="108"/>
  <c r="H34" i="108"/>
  <c r="H35" i="108"/>
  <c r="H36" i="108"/>
  <c r="H37" i="108"/>
  <c r="H38" i="108"/>
  <c r="H39" i="108"/>
  <c r="H40" i="108"/>
  <c r="H41" i="108"/>
  <c r="H42" i="108"/>
  <c r="H43" i="108"/>
  <c r="H44" i="108"/>
  <c r="H45" i="108"/>
  <c r="I45" i="108"/>
  <c r="H46" i="108"/>
  <c r="H47" i="108"/>
  <c r="H48" i="108"/>
  <c r="H49" i="108"/>
  <c r="H50" i="108"/>
  <c r="H51" i="108"/>
  <c r="H52" i="108"/>
  <c r="H53" i="108"/>
  <c r="H54" i="108"/>
  <c r="H55" i="108"/>
  <c r="H56" i="108"/>
  <c r="H57" i="108"/>
  <c r="H58" i="108"/>
  <c r="K98" i="422" s="1"/>
  <c r="D7" i="111"/>
  <c r="D8" i="111"/>
  <c r="D9" i="111" s="1"/>
  <c r="D10" i="111" s="1"/>
  <c r="D11" i="111" s="1"/>
  <c r="D12" i="111" s="1"/>
  <c r="D13" i="111" s="1"/>
  <c r="D14" i="111" s="1"/>
  <c r="D15" i="111" s="1"/>
  <c r="D16" i="111" s="1"/>
  <c r="D17" i="111" s="1"/>
  <c r="D18" i="111" s="1"/>
  <c r="D19" i="111" s="1"/>
  <c r="D20" i="111" s="1"/>
  <c r="D21" i="111" s="1"/>
  <c r="D22" i="111" s="1"/>
  <c r="D23" i="111" s="1"/>
  <c r="D24" i="111" s="1"/>
  <c r="D25" i="111" s="1"/>
  <c r="D26" i="111" s="1"/>
  <c r="D27" i="111" s="1"/>
  <c r="D28" i="111" s="1"/>
  <c r="D29" i="111" s="1"/>
  <c r="D30" i="111" s="1"/>
  <c r="D31" i="111" s="1"/>
  <c r="D32" i="111" s="1"/>
  <c r="E99" i="422" s="1"/>
  <c r="E7" i="111"/>
  <c r="L7" i="111"/>
  <c r="L8" i="111"/>
  <c r="E9" i="111"/>
  <c r="L9" i="111" s="1"/>
  <c r="J10" i="111"/>
  <c r="J11" i="111" s="1"/>
  <c r="J12" i="111" s="1"/>
  <c r="J13" i="111" s="1"/>
  <c r="J14" i="111" s="1"/>
  <c r="J15" i="111" s="1"/>
  <c r="J16" i="111" s="1"/>
  <c r="J17" i="111" s="1"/>
  <c r="J18" i="111" s="1"/>
  <c r="J19" i="111" s="1"/>
  <c r="J20" i="111" s="1"/>
  <c r="J21" i="111" s="1"/>
  <c r="J22" i="111" s="1"/>
  <c r="J23" i="111" s="1"/>
  <c r="J24" i="111" s="1"/>
  <c r="J25" i="111" s="1"/>
  <c r="J26" i="111" s="1"/>
  <c r="J27" i="111" s="1"/>
  <c r="J28" i="111" s="1"/>
  <c r="J29" i="111" s="1"/>
  <c r="J30" i="111" s="1"/>
  <c r="J31" i="111" s="1"/>
  <c r="J32" i="111" s="1"/>
  <c r="J99" i="422" s="1"/>
  <c r="G11" i="111"/>
  <c r="K11" i="111"/>
  <c r="K12" i="111" s="1"/>
  <c r="K13" i="111" s="1"/>
  <c r="K14" i="111" s="1"/>
  <c r="K15" i="111" s="1"/>
  <c r="K16" i="111" s="1"/>
  <c r="K17" i="111" s="1"/>
  <c r="K18" i="111" s="1"/>
  <c r="K19" i="111" s="1"/>
  <c r="K20" i="111" s="1"/>
  <c r="K21" i="111" s="1"/>
  <c r="K22" i="111" s="1"/>
  <c r="K23" i="111" s="1"/>
  <c r="K24" i="111" s="1"/>
  <c r="K25" i="111" s="1"/>
  <c r="K26" i="111" s="1"/>
  <c r="K27" i="111" s="1"/>
  <c r="K28" i="111" s="1"/>
  <c r="K29" i="111" s="1"/>
  <c r="K30" i="111" s="1"/>
  <c r="K31" i="111" s="1"/>
  <c r="K32" i="111" s="1"/>
  <c r="I99" i="422" s="1"/>
  <c r="G12" i="111"/>
  <c r="H12" i="111"/>
  <c r="B13" i="111"/>
  <c r="G13" i="111"/>
  <c r="H13" i="111"/>
  <c r="G14" i="111"/>
  <c r="H14" i="111"/>
  <c r="G15" i="111"/>
  <c r="H15" i="111"/>
  <c r="G16" i="111"/>
  <c r="H16" i="111"/>
  <c r="G17" i="111"/>
  <c r="H17" i="111"/>
  <c r="G18" i="111"/>
  <c r="H18" i="111"/>
  <c r="I18" i="111"/>
  <c r="G19" i="111"/>
  <c r="H19" i="111"/>
  <c r="G20" i="111"/>
  <c r="H20" i="111"/>
  <c r="H21" i="111"/>
  <c r="H22" i="111"/>
  <c r="H23" i="111"/>
  <c r="H24" i="111"/>
  <c r="I27" i="111"/>
  <c r="D7" i="112"/>
  <c r="E7" i="112"/>
  <c r="G8" i="112" s="1"/>
  <c r="G7" i="112"/>
  <c r="L7" i="112"/>
  <c r="D8" i="112"/>
  <c r="D9" i="112"/>
  <c r="D10" i="112" s="1"/>
  <c r="D11" i="112"/>
  <c r="D12" i="112" s="1"/>
  <c r="D13" i="112" s="1"/>
  <c r="D14" i="112" s="1"/>
  <c r="D15" i="112" s="1"/>
  <c r="D16" i="112" s="1"/>
  <c r="D17" i="112" s="1"/>
  <c r="D18" i="112" s="1"/>
  <c r="D19" i="112" s="1"/>
  <c r="D20" i="112" s="1"/>
  <c r="D21" i="112" s="1"/>
  <c r="D22" i="112" s="1"/>
  <c r="D23" i="112" s="1"/>
  <c r="D24" i="112" s="1"/>
  <c r="D25" i="112" s="1"/>
  <c r="D26" i="112" s="1"/>
  <c r="D27" i="112" s="1"/>
  <c r="D28" i="112" s="1"/>
  <c r="D29" i="112" s="1"/>
  <c r="D30" i="112" s="1"/>
  <c r="D31" i="112" s="1"/>
  <c r="D32" i="112" s="1"/>
  <c r="D33" i="112" s="1"/>
  <c r="D34" i="112" s="1"/>
  <c r="E100" i="422" s="1"/>
  <c r="E8" i="112"/>
  <c r="L8" i="112" s="1"/>
  <c r="K8" i="112"/>
  <c r="E9" i="112"/>
  <c r="H9" i="112"/>
  <c r="K9" i="112"/>
  <c r="K10" i="112" s="1"/>
  <c r="K11" i="112"/>
  <c r="K12" i="112" s="1"/>
  <c r="K13" i="112" s="1"/>
  <c r="K14" i="112" s="1"/>
  <c r="K15" i="112" s="1"/>
  <c r="K16" i="112" s="1"/>
  <c r="K17" i="112" s="1"/>
  <c r="K18" i="112" s="1"/>
  <c r="K19" i="112" s="1"/>
  <c r="K20" i="112" s="1"/>
  <c r="K21" i="112" s="1"/>
  <c r="K22" i="112" s="1"/>
  <c r="K23" i="112" s="1"/>
  <c r="K24" i="112" s="1"/>
  <c r="K25" i="112" s="1"/>
  <c r="K26" i="112" s="1"/>
  <c r="K27" i="112" s="1"/>
  <c r="K28" i="112" s="1"/>
  <c r="K29" i="112" s="1"/>
  <c r="K30" i="112" s="1"/>
  <c r="K31" i="112" s="1"/>
  <c r="K32" i="112" s="1"/>
  <c r="K33" i="112" s="1"/>
  <c r="K34" i="112" s="1"/>
  <c r="I100" i="422" s="1"/>
  <c r="L9" i="112"/>
  <c r="H10" i="112"/>
  <c r="H11" i="112"/>
  <c r="J11" i="112"/>
  <c r="J12" i="112" s="1"/>
  <c r="H12" i="112"/>
  <c r="H13" i="112"/>
  <c r="I13" i="112"/>
  <c r="J13" i="112"/>
  <c r="J14" i="112" s="1"/>
  <c r="J15" i="112" s="1"/>
  <c r="J16" i="112" s="1"/>
  <c r="J17" i="112" s="1"/>
  <c r="J18" i="112" s="1"/>
  <c r="J19" i="112" s="1"/>
  <c r="J20" i="112" s="1"/>
  <c r="J21" i="112" s="1"/>
  <c r="J22" i="112" s="1"/>
  <c r="J23" i="112" s="1"/>
  <c r="J24" i="112" s="1"/>
  <c r="J25" i="112" s="1"/>
  <c r="J26" i="112" s="1"/>
  <c r="J27" i="112" s="1"/>
  <c r="J28" i="112" s="1"/>
  <c r="J29" i="112" s="1"/>
  <c r="J30" i="112" s="1"/>
  <c r="J31" i="112" s="1"/>
  <c r="J32" i="112" s="1"/>
  <c r="J33" i="112" s="1"/>
  <c r="J34" i="112" s="1"/>
  <c r="J100" i="422" s="1"/>
  <c r="H14" i="112"/>
  <c r="H15" i="112"/>
  <c r="H16" i="112"/>
  <c r="B17" i="112"/>
  <c r="C17" i="112"/>
  <c r="H19" i="112" s="1"/>
  <c r="H17" i="112"/>
  <c r="I17" i="112"/>
  <c r="H18" i="112"/>
  <c r="I18" i="112"/>
  <c r="H20" i="112"/>
  <c r="H21" i="112"/>
  <c r="I21" i="112"/>
  <c r="H22" i="112"/>
  <c r="H23" i="112"/>
  <c r="B24" i="112"/>
  <c r="C24" i="112"/>
  <c r="H24" i="112"/>
  <c r="I24" i="112"/>
  <c r="H25" i="112"/>
  <c r="H26" i="112"/>
  <c r="H27" i="112"/>
  <c r="I27" i="112"/>
  <c r="H28" i="112"/>
  <c r="H29" i="112"/>
  <c r="H30" i="112"/>
  <c r="H31" i="112"/>
  <c r="H32" i="112"/>
  <c r="H33" i="112"/>
  <c r="C8" i="239"/>
  <c r="G8" i="239"/>
  <c r="D8" i="239"/>
  <c r="E8" i="239"/>
  <c r="D9" i="239"/>
  <c r="D10" i="239" s="1"/>
  <c r="H10" i="239"/>
  <c r="K10" i="239" s="1"/>
  <c r="K11" i="239" s="1"/>
  <c r="K12" i="239" s="1"/>
  <c r="K13" i="239" s="1"/>
  <c r="K14" i="239" s="1"/>
  <c r="K15" i="239" s="1"/>
  <c r="K16" i="239" s="1"/>
  <c r="K17" i="239" s="1"/>
  <c r="K18" i="239" s="1"/>
  <c r="K19" i="239" s="1"/>
  <c r="K20" i="239" s="1"/>
  <c r="K21" i="239" s="1"/>
  <c r="K22" i="239" s="1"/>
  <c r="K23" i="239" s="1"/>
  <c r="K24" i="239" s="1"/>
  <c r="K25" i="239" s="1"/>
  <c r="J10" i="239"/>
  <c r="D11" i="239"/>
  <c r="D12" i="239" s="1"/>
  <c r="D13" i="239" s="1"/>
  <c r="D14" i="239" s="1"/>
  <c r="D15" i="239" s="1"/>
  <c r="D16" i="239" s="1"/>
  <c r="D17" i="239" s="1"/>
  <c r="D18" i="239" s="1"/>
  <c r="D19" i="239" s="1"/>
  <c r="D20" i="239" s="1"/>
  <c r="D21" i="239" s="1"/>
  <c r="D22" i="239" s="1"/>
  <c r="D23" i="239" s="1"/>
  <c r="D24" i="239" s="1"/>
  <c r="D25" i="239" s="1"/>
  <c r="D26" i="239" s="1"/>
  <c r="D27" i="239" s="1"/>
  <c r="D28" i="239" s="1"/>
  <c r="D29" i="239" s="1"/>
  <c r="D30" i="239" s="1"/>
  <c r="D31" i="239" s="1"/>
  <c r="D32" i="239" s="1"/>
  <c r="D33" i="239" s="1"/>
  <c r="D34" i="239" s="1"/>
  <c r="D35" i="239" s="1"/>
  <c r="D36" i="239" s="1"/>
  <c r="D37" i="239" s="1"/>
  <c r="D38" i="239" s="1"/>
  <c r="D39" i="239" s="1"/>
  <c r="D40" i="239" s="1"/>
  <c r="E101" i="422" s="1"/>
  <c r="G11" i="239"/>
  <c r="H11" i="239"/>
  <c r="J11" i="239"/>
  <c r="J12" i="239" s="1"/>
  <c r="J13" i="239"/>
  <c r="J14" i="239" s="1"/>
  <c r="J15" i="239" s="1"/>
  <c r="J16" i="239" s="1"/>
  <c r="J17" i="239" s="1"/>
  <c r="J18" i="239" s="1"/>
  <c r="J19" i="239" s="1"/>
  <c r="J20" i="239" s="1"/>
  <c r="J21" i="239" s="1"/>
  <c r="J22" i="239" s="1"/>
  <c r="J23" i="239" s="1"/>
  <c r="J24" i="239" s="1"/>
  <c r="J25" i="239" s="1"/>
  <c r="J26" i="239" s="1"/>
  <c r="J27" i="239" s="1"/>
  <c r="J28" i="239" s="1"/>
  <c r="J29" i="239" s="1"/>
  <c r="J30" i="239" s="1"/>
  <c r="J31" i="239" s="1"/>
  <c r="J32" i="239" s="1"/>
  <c r="J33" i="239" s="1"/>
  <c r="J34" i="239" s="1"/>
  <c r="J35" i="239" s="1"/>
  <c r="J36" i="239" s="1"/>
  <c r="J37" i="239" s="1"/>
  <c r="J38" i="239" s="1"/>
  <c r="J39" i="239" s="1"/>
  <c r="J40" i="239" s="1"/>
  <c r="J101" i="422" s="1"/>
  <c r="H12" i="239"/>
  <c r="H13" i="239"/>
  <c r="H14" i="239"/>
  <c r="H15" i="239"/>
  <c r="H16" i="239"/>
  <c r="H17" i="239"/>
  <c r="H18" i="239"/>
  <c r="H19" i="239"/>
  <c r="I19" i="239"/>
  <c r="H20" i="239"/>
  <c r="I20" i="239"/>
  <c r="H21" i="239"/>
  <c r="H22" i="239"/>
  <c r="H23" i="239"/>
  <c r="H24" i="239"/>
  <c r="H25" i="239"/>
  <c r="G27" i="239"/>
  <c r="G28" i="239"/>
  <c r="I28" i="239"/>
  <c r="G29" i="239"/>
  <c r="H29" i="239"/>
  <c r="G30" i="239"/>
  <c r="H30" i="239"/>
  <c r="I30" i="239"/>
  <c r="G31" i="239"/>
  <c r="H31" i="239"/>
  <c r="G32" i="239"/>
  <c r="H32" i="239"/>
  <c r="G33" i="239"/>
  <c r="H33" i="239"/>
  <c r="G34" i="239"/>
  <c r="H34" i="239"/>
  <c r="G35" i="239"/>
  <c r="H35" i="239"/>
  <c r="G36" i="239"/>
  <c r="H36" i="239"/>
  <c r="G37" i="239"/>
  <c r="H37" i="239"/>
  <c r="G38" i="239"/>
  <c r="H38" i="239"/>
  <c r="G39" i="239"/>
  <c r="H39" i="239"/>
  <c r="G40" i="239"/>
  <c r="H40" i="239"/>
  <c r="K101" i="422" s="1"/>
  <c r="H41" i="239"/>
  <c r="D7" i="185"/>
  <c r="D8" i="185"/>
  <c r="D9" i="185" s="1"/>
  <c r="D10" i="185" s="1"/>
  <c r="D11" i="185" s="1"/>
  <c r="D12" i="185" s="1"/>
  <c r="D13" i="185" s="1"/>
  <c r="D14" i="185" s="1"/>
  <c r="D15" i="185" s="1"/>
  <c r="D16" i="185" s="1"/>
  <c r="D17" i="185" s="1"/>
  <c r="D18" i="185" s="1"/>
  <c r="D19" i="185" s="1"/>
  <c r="D20" i="185" s="1"/>
  <c r="D21" i="185" s="1"/>
  <c r="D22" i="185" s="1"/>
  <c r="D23" i="185" s="1"/>
  <c r="D24" i="185" s="1"/>
  <c r="D25" i="185" s="1"/>
  <c r="D26" i="185" s="1"/>
  <c r="D27" i="185" s="1"/>
  <c r="D28" i="185" s="1"/>
  <c r="D29" i="185" s="1"/>
  <c r="D30" i="185" s="1"/>
  <c r="D31" i="185" s="1"/>
  <c r="D32" i="185" s="1"/>
  <c r="D33" i="185" s="1"/>
  <c r="D34" i="185" s="1"/>
  <c r="E102" i="422" s="1"/>
  <c r="E7" i="185"/>
  <c r="L7" i="185"/>
  <c r="E8" i="185"/>
  <c r="L8" i="185"/>
  <c r="G13" i="185"/>
  <c r="J13" i="185"/>
  <c r="J14" i="185" s="1"/>
  <c r="J15" i="185" s="1"/>
  <c r="J16" i="185" s="1"/>
  <c r="J17" i="185" s="1"/>
  <c r="J18" i="185" s="1"/>
  <c r="J19" i="185" s="1"/>
  <c r="J20" i="185" s="1"/>
  <c r="J21" i="185" s="1"/>
  <c r="J22" i="185" s="1"/>
  <c r="J23" i="185" s="1"/>
  <c r="J24" i="185" s="1"/>
  <c r="J25" i="185" s="1"/>
  <c r="J26" i="185" s="1"/>
  <c r="J27" i="185" s="1"/>
  <c r="J28" i="185" s="1"/>
  <c r="J29" i="185" s="1"/>
  <c r="J30" i="185" s="1"/>
  <c r="J31" i="185" s="1"/>
  <c r="J32" i="185" s="1"/>
  <c r="J33" i="185" s="1"/>
  <c r="J34" i="185" s="1"/>
  <c r="J102" i="422" s="1"/>
  <c r="G14" i="185"/>
  <c r="K14" i="185"/>
  <c r="G15" i="185"/>
  <c r="K15" i="185"/>
  <c r="G16" i="185"/>
  <c r="H16" i="185"/>
  <c r="K16" i="185"/>
  <c r="K17" i="185" s="1"/>
  <c r="K18" i="185"/>
  <c r="K19" i="185" s="1"/>
  <c r="K20" i="185" s="1"/>
  <c r="K21" i="185" s="1"/>
  <c r="K22" i="185" s="1"/>
  <c r="K23" i="185" s="1"/>
  <c r="K24" i="185" s="1"/>
  <c r="K25" i="185" s="1"/>
  <c r="K26" i="185" s="1"/>
  <c r="K27" i="185" s="1"/>
  <c r="K28" i="185" s="1"/>
  <c r="K29" i="185" s="1"/>
  <c r="K30" i="185" s="1"/>
  <c r="K31" i="185" s="1"/>
  <c r="K32" i="185" s="1"/>
  <c r="K33" i="185" s="1"/>
  <c r="K34" i="185" s="1"/>
  <c r="G17" i="185"/>
  <c r="H17" i="185"/>
  <c r="G18" i="185"/>
  <c r="H18" i="185"/>
  <c r="G19" i="185"/>
  <c r="H19" i="185"/>
  <c r="G20" i="185"/>
  <c r="H20" i="185"/>
  <c r="G21" i="185"/>
  <c r="H21" i="185"/>
  <c r="I21" i="185"/>
  <c r="G22" i="185"/>
  <c r="H22" i="185"/>
  <c r="G23" i="185"/>
  <c r="H23" i="185"/>
  <c r="G24" i="185"/>
  <c r="H24" i="185"/>
  <c r="G25" i="185"/>
  <c r="H25" i="185"/>
  <c r="G26" i="185"/>
  <c r="H26" i="185"/>
  <c r="I26" i="185"/>
  <c r="G27" i="185"/>
  <c r="H27" i="185"/>
  <c r="G28" i="185"/>
  <c r="H28" i="185"/>
  <c r="G29" i="185"/>
  <c r="H29" i="185"/>
  <c r="G30" i="185"/>
  <c r="H30" i="185"/>
  <c r="G31" i="185"/>
  <c r="H31" i="185"/>
  <c r="G32" i="185"/>
  <c r="H32" i="185"/>
  <c r="I32" i="185"/>
  <c r="G33" i="185"/>
  <c r="H33" i="185"/>
  <c r="G34" i="185"/>
  <c r="H34" i="185"/>
  <c r="K102" i="422" s="1"/>
  <c r="H35" i="185"/>
  <c r="D6" i="240"/>
  <c r="D7" i="240" s="1"/>
  <c r="D8" i="240" s="1"/>
  <c r="D9" i="240" s="1"/>
  <c r="D10" i="240" s="1"/>
  <c r="D11" i="240" s="1"/>
  <c r="D12" i="240" s="1"/>
  <c r="D13" i="240" s="1"/>
  <c r="D14" i="240" s="1"/>
  <c r="D15" i="240" s="1"/>
  <c r="D16" i="240" s="1"/>
  <c r="D17" i="240" s="1"/>
  <c r="D18" i="240" s="1"/>
  <c r="D19" i="240" s="1"/>
  <c r="D20" i="240" s="1"/>
  <c r="D21" i="240" s="1"/>
  <c r="D22" i="240" s="1"/>
  <c r="D23" i="240" s="1"/>
  <c r="D24" i="240" s="1"/>
  <c r="D25" i="240" s="1"/>
  <c r="D26" i="240" s="1"/>
  <c r="D27" i="240" s="1"/>
  <c r="D28" i="240" s="1"/>
  <c r="E103" i="422" s="1"/>
  <c r="E6" i="240"/>
  <c r="L6" i="240" s="1"/>
  <c r="G6" i="240"/>
  <c r="E7" i="240"/>
  <c r="L7" i="240"/>
  <c r="G7" i="240"/>
  <c r="K7" i="240"/>
  <c r="K8" i="240" s="1"/>
  <c r="K9" i="240" s="1"/>
  <c r="K10" i="240" s="1"/>
  <c r="K11" i="240" s="1"/>
  <c r="K12" i="240" s="1"/>
  <c r="G8" i="240"/>
  <c r="G9" i="240"/>
  <c r="G10" i="240"/>
  <c r="H10" i="240"/>
  <c r="O14" i="240" s="1"/>
  <c r="P14" i="240" s="1"/>
  <c r="G11" i="240"/>
  <c r="H11" i="240"/>
  <c r="P11" i="240"/>
  <c r="G12" i="240"/>
  <c r="H12" i="240"/>
  <c r="O12" i="240"/>
  <c r="P12" i="240" s="1"/>
  <c r="G13" i="240"/>
  <c r="H13" i="240"/>
  <c r="J13" i="240"/>
  <c r="J14" i="240" s="1"/>
  <c r="G14" i="240"/>
  <c r="H14" i="240"/>
  <c r="J15" i="240"/>
  <c r="J16" i="240" s="1"/>
  <c r="J17" i="240" s="1"/>
  <c r="J18" i="240" s="1"/>
  <c r="J19" i="240" s="1"/>
  <c r="J20" i="240" s="1"/>
  <c r="J21" i="240" s="1"/>
  <c r="J22" i="240" s="1"/>
  <c r="J23" i="240" s="1"/>
  <c r="J24" i="240" s="1"/>
  <c r="J25" i="240" s="1"/>
  <c r="J26" i="240" s="1"/>
  <c r="J27" i="240" s="1"/>
  <c r="J28" i="240" s="1"/>
  <c r="G15" i="240"/>
  <c r="H15" i="240"/>
  <c r="G16" i="240"/>
  <c r="H16" i="240"/>
  <c r="G17" i="240"/>
  <c r="H17" i="240"/>
  <c r="G18" i="240"/>
  <c r="H18" i="240"/>
  <c r="I18" i="240"/>
  <c r="P18" i="240"/>
  <c r="G19" i="240"/>
  <c r="H19" i="240"/>
  <c r="P19" i="240"/>
  <c r="G20" i="240"/>
  <c r="H20" i="240"/>
  <c r="G21" i="240"/>
  <c r="H21" i="240"/>
  <c r="G22" i="240"/>
  <c r="H22" i="240"/>
  <c r="G23" i="240"/>
  <c r="H23" i="240"/>
  <c r="I23" i="240"/>
  <c r="G24" i="240"/>
  <c r="H24" i="240"/>
  <c r="G25" i="240"/>
  <c r="H25" i="240"/>
  <c r="G26" i="240"/>
  <c r="H26" i="240"/>
  <c r="G27" i="240"/>
  <c r="H27" i="240"/>
  <c r="G28" i="240"/>
  <c r="H28" i="240"/>
  <c r="H29" i="240"/>
  <c r="D7" i="242"/>
  <c r="E7" i="242"/>
  <c r="L7" i="242" s="1"/>
  <c r="G7" i="242"/>
  <c r="D8" i="242"/>
  <c r="E8" i="242"/>
  <c r="G8" i="242" s="1"/>
  <c r="L8" i="242"/>
  <c r="D9" i="242"/>
  <c r="D10" i="242"/>
  <c r="D11" i="242" s="1"/>
  <c r="D12" i="242"/>
  <c r="D13" i="242" s="1"/>
  <c r="D14" i="242" s="1"/>
  <c r="D15" i="242" s="1"/>
  <c r="D16" i="242" s="1"/>
  <c r="D17" i="242" s="1"/>
  <c r="D18" i="242" s="1"/>
  <c r="D19" i="242" s="1"/>
  <c r="D20" i="242" s="1"/>
  <c r="D21" i="242" s="1"/>
  <c r="D22" i="242" s="1"/>
  <c r="D23" i="242" s="1"/>
  <c r="D24" i="242" s="1"/>
  <c r="D25" i="242" s="1"/>
  <c r="E104" i="422" s="1"/>
  <c r="J19" i="242"/>
  <c r="J20" i="242" s="1"/>
  <c r="J21" i="242" s="1"/>
  <c r="J22" i="242" s="1"/>
  <c r="J23" i="242" s="1"/>
  <c r="J24" i="242" s="1"/>
  <c r="J25" i="242" s="1"/>
  <c r="J104" i="422" s="1"/>
  <c r="H25" i="242"/>
  <c r="K104" i="422" s="1"/>
  <c r="H26" i="242"/>
  <c r="D6" i="283"/>
  <c r="E6" i="283"/>
  <c r="G6" i="283" s="1"/>
  <c r="L6" i="283"/>
  <c r="D7" i="283"/>
  <c r="E7" i="283"/>
  <c r="L7" i="283" s="1"/>
  <c r="G7" i="283"/>
  <c r="D8" i="283"/>
  <c r="E8" i="283"/>
  <c r="L8" i="283" s="1"/>
  <c r="G8" i="283"/>
  <c r="H8" i="283"/>
  <c r="K8" i="283" s="1"/>
  <c r="K9" i="283" s="1"/>
  <c r="K10" i="283" s="1"/>
  <c r="K11" i="283" s="1"/>
  <c r="K12" i="283" s="1"/>
  <c r="K13" i="283" s="1"/>
  <c r="K14" i="283" s="1"/>
  <c r="K15" i="283" s="1"/>
  <c r="K16" i="283" s="1"/>
  <c r="K17" i="283" s="1"/>
  <c r="K18" i="283" s="1"/>
  <c r="D9" i="283"/>
  <c r="D10" i="283" s="1"/>
  <c r="D11" i="283" s="1"/>
  <c r="D12" i="283" s="1"/>
  <c r="D13" i="283" s="1"/>
  <c r="D14" i="283" s="1"/>
  <c r="D15" i="283" s="1"/>
  <c r="D16" i="283" s="1"/>
  <c r="D17" i="283" s="1"/>
  <c r="D18" i="283" s="1"/>
  <c r="E105" i="422" s="1"/>
  <c r="G9" i="283"/>
  <c r="H9" i="283"/>
  <c r="J9" i="283"/>
  <c r="J10" i="283"/>
  <c r="J11" i="283" s="1"/>
  <c r="G10" i="283"/>
  <c r="H10" i="283"/>
  <c r="G11" i="283"/>
  <c r="H11" i="283"/>
  <c r="J12" i="283"/>
  <c r="J13" i="283" s="1"/>
  <c r="J14" i="283"/>
  <c r="J15" i="283" s="1"/>
  <c r="J16" i="283" s="1"/>
  <c r="J17" i="283" s="1"/>
  <c r="J18" i="283" s="1"/>
  <c r="J105" i="422" s="1"/>
  <c r="G12" i="283"/>
  <c r="H12" i="283"/>
  <c r="G13" i="283"/>
  <c r="H13" i="283"/>
  <c r="G14" i="283"/>
  <c r="H14" i="283"/>
  <c r="G15" i="283"/>
  <c r="H15" i="283"/>
  <c r="G16" i="283"/>
  <c r="H16" i="283"/>
  <c r="G17" i="283"/>
  <c r="H17" i="283"/>
  <c r="G18" i="283"/>
  <c r="H18" i="283"/>
  <c r="K105" i="422" s="1"/>
  <c r="H19" i="283"/>
  <c r="C6" i="366"/>
  <c r="E6" i="366" s="1"/>
  <c r="E7" i="366" s="1"/>
  <c r="E8" i="366" s="1"/>
  <c r="D6" i="366"/>
  <c r="C7" i="366"/>
  <c r="D7" i="366"/>
  <c r="D8" i="366"/>
  <c r="C8" i="366"/>
  <c r="D7" i="284"/>
  <c r="E7" i="284"/>
  <c r="G7" i="284" s="1"/>
  <c r="D8" i="284"/>
  <c r="D9" i="284" s="1"/>
  <c r="D10" i="284"/>
  <c r="D11" i="284" s="1"/>
  <c r="D12" i="284" s="1"/>
  <c r="D13" i="284" s="1"/>
  <c r="D14" i="284" s="1"/>
  <c r="D15" i="284" s="1"/>
  <c r="D16" i="284" s="1"/>
  <c r="D17" i="284" s="1"/>
  <c r="D18" i="284" s="1"/>
  <c r="D19" i="284" s="1"/>
  <c r="D20" i="284" s="1"/>
  <c r="D21" i="284" s="1"/>
  <c r="K16" i="284"/>
  <c r="J17" i="284"/>
  <c r="J18" i="284"/>
  <c r="J19" i="284" s="1"/>
  <c r="J20" i="284"/>
  <c r="J21" i="284" s="1"/>
  <c r="H18" i="284"/>
  <c r="H19" i="284"/>
  <c r="H20" i="284"/>
  <c r="H21" i="284"/>
  <c r="C31" i="284"/>
  <c r="D6" i="317"/>
  <c r="E6" i="317"/>
  <c r="G6" i="317" s="1"/>
  <c r="D7" i="317"/>
  <c r="D8" i="317" s="1"/>
  <c r="D9" i="317" s="1"/>
  <c r="D10" i="317" s="1"/>
  <c r="D11" i="317" s="1"/>
  <c r="D12" i="317" s="1"/>
  <c r="D13" i="317" s="1"/>
  <c r="D14" i="317" s="1"/>
  <c r="D15" i="317" s="1"/>
  <c r="D16" i="317" s="1"/>
  <c r="D17" i="317" s="1"/>
  <c r="D18" i="317" s="1"/>
  <c r="D19" i="317" s="1"/>
  <c r="D20" i="317" s="1"/>
  <c r="E106" i="422" s="1"/>
  <c r="K7" i="317"/>
  <c r="K8" i="317"/>
  <c r="K9" i="317" s="1"/>
  <c r="K10" i="317" s="1"/>
  <c r="K11" i="317" s="1"/>
  <c r="K12" i="317" s="1"/>
  <c r="K13" i="317" s="1"/>
  <c r="K14" i="317" s="1"/>
  <c r="K15" i="317" s="1"/>
  <c r="K16" i="317" s="1"/>
  <c r="K17" i="317" s="1"/>
  <c r="J18" i="317"/>
  <c r="J19" i="317" s="1"/>
  <c r="J20" i="317" s="1"/>
  <c r="J106" i="422" s="1"/>
  <c r="H19" i="317"/>
  <c r="H20" i="317"/>
  <c r="K106" i="422" s="1"/>
  <c r="H21" i="317"/>
  <c r="D6" i="320"/>
  <c r="E6" i="320"/>
  <c r="J6" i="320"/>
  <c r="L6" i="320"/>
  <c r="L7" i="320"/>
  <c r="L9" i="320"/>
  <c r="B6" i="321"/>
  <c r="C6" i="321"/>
  <c r="E6" i="321" s="1"/>
  <c r="G6" i="321" s="1"/>
  <c r="D6" i="321"/>
  <c r="D7" i="321"/>
  <c r="D8" i="321" s="1"/>
  <c r="K7" i="321"/>
  <c r="K8" i="321"/>
  <c r="K9" i="321" s="1"/>
  <c r="K10" i="321" s="1"/>
  <c r="K11" i="321" s="1"/>
  <c r="K12" i="321" s="1"/>
  <c r="K13" i="321" s="1"/>
  <c r="K14" i="321" s="1"/>
  <c r="K15" i="321" s="1"/>
  <c r="K16" i="321" s="1"/>
  <c r="K17" i="321" s="1"/>
  <c r="D9" i="321"/>
  <c r="D10" i="321" s="1"/>
  <c r="D11" i="321" s="1"/>
  <c r="D12" i="321" s="1"/>
  <c r="D13" i="321" s="1"/>
  <c r="D14" i="321" s="1"/>
  <c r="D15" i="321" s="1"/>
  <c r="D16" i="321" s="1"/>
  <c r="D17" i="321" s="1"/>
  <c r="E108" i="422" s="1"/>
  <c r="J15" i="321"/>
  <c r="J16" i="321"/>
  <c r="J17" i="321" s="1"/>
  <c r="J108" i="422" s="1"/>
  <c r="D6" i="327"/>
  <c r="E6" i="327"/>
  <c r="L6" i="327" s="1"/>
  <c r="G6" i="327"/>
  <c r="D7" i="327"/>
  <c r="D8" i="327" s="1"/>
  <c r="D9" i="327" s="1"/>
  <c r="D10" i="327" s="1"/>
  <c r="D11" i="327" s="1"/>
  <c r="D12" i="327" s="1"/>
  <c r="D13" i="327" s="1"/>
  <c r="D14" i="327" s="1"/>
  <c r="D15" i="327" s="1"/>
  <c r="D16" i="327" s="1"/>
  <c r="D17" i="327" s="1"/>
  <c r="D18" i="327" s="1"/>
  <c r="D19" i="327" s="1"/>
  <c r="E109" i="422" s="1"/>
  <c r="E7" i="327"/>
  <c r="G7" i="327"/>
  <c r="K7" i="327"/>
  <c r="L7" i="327"/>
  <c r="E8" i="327"/>
  <c r="K8" i="327"/>
  <c r="K9" i="327" s="1"/>
  <c r="K10" i="327" s="1"/>
  <c r="H10" i="327"/>
  <c r="H11" i="327"/>
  <c r="H12" i="327"/>
  <c r="H13" i="327"/>
  <c r="H14" i="327"/>
  <c r="H15" i="327"/>
  <c r="H16" i="327"/>
  <c r="J16" i="327"/>
  <c r="H17" i="327"/>
  <c r="J17" i="327"/>
  <c r="J18" i="327" s="1"/>
  <c r="J19" i="327" s="1"/>
  <c r="J109" i="422" s="1"/>
  <c r="H18" i="327"/>
  <c r="H19" i="327"/>
  <c r="K109" i="422" s="1"/>
  <c r="H20" i="327"/>
  <c r="D6" i="341"/>
  <c r="D7" i="341" s="1"/>
  <c r="D8" i="341" s="1"/>
  <c r="D9" i="341" s="1"/>
  <c r="D10" i="341" s="1"/>
  <c r="D11" i="341" s="1"/>
  <c r="D12" i="341" s="1"/>
  <c r="D13" i="341" s="1"/>
  <c r="E110" i="422" s="1"/>
  <c r="E6" i="341"/>
  <c r="H7" i="341"/>
  <c r="J7" i="341"/>
  <c r="K7" i="341"/>
  <c r="H8" i="341"/>
  <c r="J8" i="341"/>
  <c r="K8" i="341"/>
  <c r="H9" i="341"/>
  <c r="J9" i="341"/>
  <c r="K9" i="341"/>
  <c r="H10" i="341"/>
  <c r="J10" i="341"/>
  <c r="J11" i="341" s="1"/>
  <c r="J12" i="341" s="1"/>
  <c r="J13" i="341" s="1"/>
  <c r="J110" i="422" s="1"/>
  <c r="K10" i="341"/>
  <c r="H11" i="341"/>
  <c r="I11" i="341"/>
  <c r="H12" i="341"/>
  <c r="H13" i="341"/>
  <c r="K110" i="422" s="1"/>
  <c r="H14" i="341"/>
  <c r="D6" i="356"/>
  <c r="D7" i="356" s="1"/>
  <c r="E6" i="356"/>
  <c r="J7" i="356"/>
  <c r="L8" i="356"/>
  <c r="D6" i="357"/>
  <c r="E6" i="357"/>
  <c r="D7" i="357"/>
  <c r="D8" i="357" s="1"/>
  <c r="C6" i="420"/>
  <c r="E6" i="420" s="1"/>
  <c r="D6" i="420"/>
  <c r="D7" i="420"/>
  <c r="C6" i="421"/>
  <c r="E6" i="421" s="1"/>
  <c r="E7" i="421" s="1"/>
  <c r="D6" i="421"/>
  <c r="D7" i="421"/>
  <c r="G6" i="421"/>
  <c r="C6" i="409"/>
  <c r="D6" i="409"/>
  <c r="E6" i="409"/>
  <c r="G6" i="409" s="1"/>
  <c r="D7" i="409"/>
  <c r="D6" i="376"/>
  <c r="D7" i="376"/>
  <c r="D8" i="376" s="1"/>
  <c r="E6" i="376"/>
  <c r="L6" i="376"/>
  <c r="E7" i="376"/>
  <c r="H7" i="376"/>
  <c r="K7" i="376" s="1"/>
  <c r="H8" i="376"/>
  <c r="D6" i="319"/>
  <c r="D7" i="319" s="1"/>
  <c r="D8" i="319" s="1"/>
  <c r="D9" i="319" s="1"/>
  <c r="E6" i="319"/>
  <c r="L6" i="319" s="1"/>
  <c r="E7" i="319"/>
  <c r="E8" i="319" s="1"/>
  <c r="E9" i="319" s="1"/>
  <c r="H7" i="319"/>
  <c r="J7" i="319"/>
  <c r="J8" i="319" s="1"/>
  <c r="J9" i="319" s="1"/>
  <c r="K7" i="319"/>
  <c r="L7" i="319"/>
  <c r="H8" i="319"/>
  <c r="K8" i="319"/>
  <c r="K9" i="319" s="1"/>
  <c r="K10" i="319" s="1"/>
  <c r="H9" i="319"/>
  <c r="D6" i="370"/>
  <c r="E6" i="370"/>
  <c r="K6" i="370" s="1"/>
  <c r="D7" i="370"/>
  <c r="D8" i="370"/>
  <c r="J8" i="370"/>
  <c r="D7" i="117"/>
  <c r="E7" i="117"/>
  <c r="G7" i="117"/>
  <c r="L7" i="117"/>
  <c r="D8" i="117"/>
  <c r="D9" i="117"/>
  <c r="D10" i="117" s="1"/>
  <c r="D11" i="117"/>
  <c r="D12" i="117" s="1"/>
  <c r="D13" i="117" s="1"/>
  <c r="D14" i="117" s="1"/>
  <c r="D15" i="117" s="1"/>
  <c r="D16" i="117" s="1"/>
  <c r="D17" i="117" s="1"/>
  <c r="D18" i="117" s="1"/>
  <c r="D19" i="117" s="1"/>
  <c r="D20" i="117" s="1"/>
  <c r="D21" i="117" s="1"/>
  <c r="D22" i="117" s="1"/>
  <c r="D23" i="117" s="1"/>
  <c r="D24" i="117" s="1"/>
  <c r="D25" i="117" s="1"/>
  <c r="D26" i="117" s="1"/>
  <c r="D27" i="117" s="1"/>
  <c r="D28" i="117" s="1"/>
  <c r="D29" i="117" s="1"/>
  <c r="D30" i="117" s="1"/>
  <c r="D31" i="117" s="1"/>
  <c r="D32" i="117" s="1"/>
  <c r="D33" i="117" s="1"/>
  <c r="D34" i="117" s="1"/>
  <c r="D35" i="117" s="1"/>
  <c r="D36" i="117" s="1"/>
  <c r="D37" i="117" s="1"/>
  <c r="D38" i="117" s="1"/>
  <c r="D39" i="117" s="1"/>
  <c r="D40" i="117" s="1"/>
  <c r="D41" i="117" s="1"/>
  <c r="D42" i="117" s="1"/>
  <c r="D43" i="117" s="1"/>
  <c r="D44" i="117" s="1"/>
  <c r="D45" i="117" s="1"/>
  <c r="D46" i="117" s="1"/>
  <c r="D47" i="117" s="1"/>
  <c r="D48" i="117" s="1"/>
  <c r="D49" i="117" s="1"/>
  <c r="D50" i="117" s="1"/>
  <c r="D51" i="117" s="1"/>
  <c r="D52" i="117" s="1"/>
  <c r="D53" i="117" s="1"/>
  <c r="E114" i="422" s="1"/>
  <c r="K8" i="117"/>
  <c r="H9" i="117"/>
  <c r="H10" i="117"/>
  <c r="H11" i="117"/>
  <c r="J11" i="117"/>
  <c r="H12" i="117"/>
  <c r="J12" i="117"/>
  <c r="J13" i="117" s="1"/>
  <c r="H13" i="117"/>
  <c r="I13" i="117"/>
  <c r="J14" i="117"/>
  <c r="J15" i="117" s="1"/>
  <c r="J16" i="117" s="1"/>
  <c r="J17" i="117" s="1"/>
  <c r="J18" i="117" s="1"/>
  <c r="J19" i="117" s="1"/>
  <c r="J20" i="117" s="1"/>
  <c r="J21" i="117" s="1"/>
  <c r="J22" i="117" s="1"/>
  <c r="J23" i="117" s="1"/>
  <c r="J24" i="117" s="1"/>
  <c r="J25" i="117" s="1"/>
  <c r="J26" i="117" s="1"/>
  <c r="J27" i="117" s="1"/>
  <c r="J28" i="117" s="1"/>
  <c r="J29" i="117" s="1"/>
  <c r="J30" i="117" s="1"/>
  <c r="J31" i="117" s="1"/>
  <c r="J32" i="117" s="1"/>
  <c r="J33" i="117" s="1"/>
  <c r="J34" i="117" s="1"/>
  <c r="J35" i="117" s="1"/>
  <c r="J36" i="117" s="1"/>
  <c r="J37" i="117" s="1"/>
  <c r="J38" i="117" s="1"/>
  <c r="J39" i="117" s="1"/>
  <c r="J40" i="117" s="1"/>
  <c r="J41" i="117" s="1"/>
  <c r="J42" i="117" s="1"/>
  <c r="J43" i="117" s="1"/>
  <c r="J44" i="117" s="1"/>
  <c r="J45" i="117" s="1"/>
  <c r="J46" i="117" s="1"/>
  <c r="J47" i="117" s="1"/>
  <c r="J48" i="117" s="1"/>
  <c r="J49" i="117" s="1"/>
  <c r="J50" i="117" s="1"/>
  <c r="J51" i="117" s="1"/>
  <c r="J52" i="117" s="1"/>
  <c r="J53" i="117" s="1"/>
  <c r="J114" i="422" s="1"/>
  <c r="H14" i="117"/>
  <c r="H15" i="117"/>
  <c r="H16" i="117"/>
  <c r="H17" i="117"/>
  <c r="H18" i="117"/>
  <c r="H19" i="117"/>
  <c r="H20" i="117"/>
  <c r="H21" i="117"/>
  <c r="H22" i="117"/>
  <c r="I22" i="117"/>
  <c r="H23" i="117"/>
  <c r="B24" i="117"/>
  <c r="C24" i="117"/>
  <c r="H26" i="117" s="1"/>
  <c r="H24" i="117"/>
  <c r="H25" i="117"/>
  <c r="I26" i="117"/>
  <c r="H27" i="117"/>
  <c r="H28" i="117"/>
  <c r="H29" i="117"/>
  <c r="I29" i="117"/>
  <c r="H30" i="117"/>
  <c r="H31" i="117"/>
  <c r="H32" i="117"/>
  <c r="H33" i="117"/>
  <c r="I33" i="117"/>
  <c r="H34" i="117"/>
  <c r="I34" i="117"/>
  <c r="H35" i="117"/>
  <c r="I37" i="117"/>
  <c r="H39" i="117"/>
  <c r="H40" i="117"/>
  <c r="H41" i="117"/>
  <c r="H42" i="117"/>
  <c r="H43" i="117"/>
  <c r="H44" i="117"/>
  <c r="H45" i="117"/>
  <c r="H46" i="117"/>
  <c r="H47" i="117"/>
  <c r="H48" i="117"/>
  <c r="H49" i="117"/>
  <c r="H50" i="117"/>
  <c r="H51" i="117"/>
  <c r="H52" i="117"/>
  <c r="H53" i="117"/>
  <c r="K114" i="422" s="1"/>
  <c r="H54" i="117"/>
  <c r="D7" i="118"/>
  <c r="E7" i="118"/>
  <c r="L7" i="118" s="1"/>
  <c r="G7" i="118"/>
  <c r="D8" i="118"/>
  <c r="D9" i="118" s="1"/>
  <c r="D10" i="118" s="1"/>
  <c r="D11" i="118" s="1"/>
  <c r="D12" i="118" s="1"/>
  <c r="D13" i="118" s="1"/>
  <c r="D14" i="118" s="1"/>
  <c r="D15" i="118" s="1"/>
  <c r="D16" i="118" s="1"/>
  <c r="D17" i="118" s="1"/>
  <c r="D18" i="118" s="1"/>
  <c r="D19" i="118" s="1"/>
  <c r="D20" i="118" s="1"/>
  <c r="D21" i="118" s="1"/>
  <c r="D22" i="118" s="1"/>
  <c r="D23" i="118" s="1"/>
  <c r="D24" i="118" s="1"/>
  <c r="D25" i="118" s="1"/>
  <c r="D26" i="118" s="1"/>
  <c r="D27" i="118" s="1"/>
  <c r="D28" i="118" s="1"/>
  <c r="D29" i="118" s="1"/>
  <c r="D30" i="118" s="1"/>
  <c r="D31" i="118" s="1"/>
  <c r="D32" i="118" s="1"/>
  <c r="D33" i="118" s="1"/>
  <c r="D34" i="118" s="1"/>
  <c r="D35" i="118" s="1"/>
  <c r="E116" i="422" s="1"/>
  <c r="E8" i="118"/>
  <c r="G8" i="118"/>
  <c r="K8" i="118"/>
  <c r="L8" i="118"/>
  <c r="U8" i="118"/>
  <c r="E9" i="118"/>
  <c r="G9" i="118"/>
  <c r="H9" i="118"/>
  <c r="K9" i="118"/>
  <c r="L9" i="118"/>
  <c r="U9" i="118"/>
  <c r="E10" i="118"/>
  <c r="L10" i="118"/>
  <c r="G10" i="118"/>
  <c r="H10" i="118"/>
  <c r="K10" i="118" s="1"/>
  <c r="K11" i="118" s="1"/>
  <c r="K12" i="118" s="1"/>
  <c r="K13" i="118" s="1"/>
  <c r="K14" i="118" s="1"/>
  <c r="K15" i="118" s="1"/>
  <c r="K16" i="118" s="1"/>
  <c r="K17" i="118" s="1"/>
  <c r="K18" i="118" s="1"/>
  <c r="K19" i="118" s="1"/>
  <c r="K20" i="118" s="1"/>
  <c r="K21" i="118" s="1"/>
  <c r="K22" i="118" s="1"/>
  <c r="K23" i="118" s="1"/>
  <c r="K24" i="118" s="1"/>
  <c r="K25" i="118" s="1"/>
  <c r="K26" i="118" s="1"/>
  <c r="K27" i="118" s="1"/>
  <c r="J10" i="118"/>
  <c r="U10" i="118"/>
  <c r="E11" i="118"/>
  <c r="H11" i="118"/>
  <c r="J11" i="118"/>
  <c r="H12" i="118"/>
  <c r="J12" i="118"/>
  <c r="J13" i="118"/>
  <c r="J14" i="118" s="1"/>
  <c r="J15" i="118"/>
  <c r="J16" i="118" s="1"/>
  <c r="J17" i="118" s="1"/>
  <c r="J18" i="118" s="1"/>
  <c r="J19" i="118" s="1"/>
  <c r="J20" i="118" s="1"/>
  <c r="J21" i="118" s="1"/>
  <c r="J22" i="118" s="1"/>
  <c r="J23" i="118" s="1"/>
  <c r="J24" i="118" s="1"/>
  <c r="J25" i="118" s="1"/>
  <c r="J26" i="118" s="1"/>
  <c r="J27" i="118" s="1"/>
  <c r="J28" i="118" s="1"/>
  <c r="J29" i="118" s="1"/>
  <c r="J30" i="118" s="1"/>
  <c r="J31" i="118" s="1"/>
  <c r="J32" i="118" s="1"/>
  <c r="J33" i="118" s="1"/>
  <c r="J34" i="118" s="1"/>
  <c r="J35" i="118" s="1"/>
  <c r="J116" i="422" s="1"/>
  <c r="H13" i="118"/>
  <c r="H14" i="118"/>
  <c r="H15" i="118"/>
  <c r="H16" i="118"/>
  <c r="H17" i="118"/>
  <c r="H18" i="118"/>
  <c r="H19" i="118"/>
  <c r="H20" i="118"/>
  <c r="H21" i="118"/>
  <c r="H22" i="118"/>
  <c r="H23" i="118"/>
  <c r="H24" i="118"/>
  <c r="H25" i="118"/>
  <c r="H26" i="118"/>
  <c r="H27" i="118"/>
  <c r="H31" i="118"/>
  <c r="H32" i="118"/>
  <c r="H33" i="118"/>
  <c r="H34" i="118"/>
  <c r="H35" i="118"/>
  <c r="K116" i="422" s="1"/>
  <c r="H36" i="118"/>
  <c r="D8" i="119"/>
  <c r="D9" i="119" s="1"/>
  <c r="D10" i="119" s="1"/>
  <c r="D11" i="119" s="1"/>
  <c r="D12" i="119" s="1"/>
  <c r="D13" i="119" s="1"/>
  <c r="D14" i="119" s="1"/>
  <c r="D15" i="119" s="1"/>
  <c r="D16" i="119" s="1"/>
  <c r="D17" i="119" s="1"/>
  <c r="D18" i="119" s="1"/>
  <c r="D19" i="119" s="1"/>
  <c r="D20" i="119" s="1"/>
  <c r="D21" i="119" s="1"/>
  <c r="D22" i="119" s="1"/>
  <c r="D23" i="119" s="1"/>
  <c r="D24" i="119" s="1"/>
  <c r="D25" i="119" s="1"/>
  <c r="D26" i="119" s="1"/>
  <c r="D27" i="119" s="1"/>
  <c r="D28" i="119" s="1"/>
  <c r="D29" i="119" s="1"/>
  <c r="D30" i="119" s="1"/>
  <c r="D31" i="119" s="1"/>
  <c r="D32" i="119" s="1"/>
  <c r="D33" i="119" s="1"/>
  <c r="D34" i="119" s="1"/>
  <c r="D35" i="119" s="1"/>
  <c r="D36" i="119" s="1"/>
  <c r="D37" i="119" s="1"/>
  <c r="D38" i="119" s="1"/>
  <c r="D39" i="119" s="1"/>
  <c r="D40" i="119" s="1"/>
  <c r="D41" i="119" s="1"/>
  <c r="D42" i="119" s="1"/>
  <c r="D43" i="119" s="1"/>
  <c r="D44" i="119" s="1"/>
  <c r="D45" i="119" s="1"/>
  <c r="D46" i="119" s="1"/>
  <c r="D47" i="119" s="1"/>
  <c r="D48" i="119" s="1"/>
  <c r="D49" i="119" s="1"/>
  <c r="D50" i="119" s="1"/>
  <c r="D51" i="119" s="1"/>
  <c r="D52" i="119" s="1"/>
  <c r="E8" i="119"/>
  <c r="L8" i="119"/>
  <c r="H9" i="119"/>
  <c r="K9" i="119"/>
  <c r="H10" i="119"/>
  <c r="H11" i="119"/>
  <c r="H12" i="119"/>
  <c r="H13" i="119"/>
  <c r="H14" i="119"/>
  <c r="H15" i="119"/>
  <c r="H16" i="119"/>
  <c r="H17" i="119"/>
  <c r="H18" i="119"/>
  <c r="H19" i="119"/>
  <c r="J19" i="119"/>
  <c r="H20" i="119"/>
  <c r="J20" i="119"/>
  <c r="J21" i="119" s="1"/>
  <c r="J22" i="119" s="1"/>
  <c r="J23" i="119" s="1"/>
  <c r="J24" i="119" s="1"/>
  <c r="H21" i="119"/>
  <c r="I21" i="119"/>
  <c r="H22" i="119"/>
  <c r="H23" i="119"/>
  <c r="H24" i="119"/>
  <c r="H25" i="119"/>
  <c r="I25" i="119"/>
  <c r="H26" i="119"/>
  <c r="H27" i="119"/>
  <c r="H28" i="119"/>
  <c r="H29" i="119"/>
  <c r="H30" i="119"/>
  <c r="H31" i="119"/>
  <c r="H32" i="119"/>
  <c r="H33" i="119"/>
  <c r="H34" i="119"/>
  <c r="H35" i="119"/>
  <c r="H36" i="119"/>
  <c r="H37" i="119"/>
  <c r="H38" i="119"/>
  <c r="I38" i="119"/>
  <c r="H39" i="119"/>
  <c r="H40" i="119"/>
  <c r="H41" i="119"/>
  <c r="H42" i="119"/>
  <c r="I42" i="119"/>
  <c r="H43" i="119"/>
  <c r="H44" i="119"/>
  <c r="H45" i="119"/>
  <c r="I45" i="119"/>
  <c r="H46" i="119"/>
  <c r="H47" i="119"/>
  <c r="H48" i="119"/>
  <c r="H49" i="119"/>
  <c r="H50" i="119"/>
  <c r="H51" i="119"/>
  <c r="H52" i="119"/>
  <c r="H53" i="119"/>
  <c r="H54" i="119"/>
  <c r="K117" i="422" s="1"/>
  <c r="H55" i="119"/>
  <c r="D7" i="121"/>
  <c r="D8" i="121" s="1"/>
  <c r="D9" i="121" s="1"/>
  <c r="D10" i="121" s="1"/>
  <c r="D11" i="121" s="1"/>
  <c r="D12" i="121" s="1"/>
  <c r="D13" i="121" s="1"/>
  <c r="D14" i="121" s="1"/>
  <c r="D15" i="121" s="1"/>
  <c r="D16" i="121" s="1"/>
  <c r="D17" i="121" s="1"/>
  <c r="D18" i="121" s="1"/>
  <c r="D19" i="121" s="1"/>
  <c r="D20" i="121" s="1"/>
  <c r="D21" i="121" s="1"/>
  <c r="D22" i="121" s="1"/>
  <c r="D23" i="121" s="1"/>
  <c r="E7" i="121"/>
  <c r="L7" i="121"/>
  <c r="H8" i="121"/>
  <c r="K8" i="121"/>
  <c r="H9" i="121"/>
  <c r="H10" i="121"/>
  <c r="H11" i="121"/>
  <c r="H12" i="121"/>
  <c r="J12" i="121"/>
  <c r="H13" i="121"/>
  <c r="J13" i="121"/>
  <c r="J14" i="121" s="1"/>
  <c r="J15" i="121" s="1"/>
  <c r="J16" i="121" s="1"/>
  <c r="J17" i="121" s="1"/>
  <c r="J18" i="121" s="1"/>
  <c r="J19" i="121" s="1"/>
  <c r="J20" i="121" s="1"/>
  <c r="J21" i="121" s="1"/>
  <c r="J22" i="121" s="1"/>
  <c r="J23" i="121" s="1"/>
  <c r="J24" i="121" s="1"/>
  <c r="J25" i="121" s="1"/>
  <c r="J26" i="121" s="1"/>
  <c r="H14" i="121"/>
  <c r="H15" i="121"/>
  <c r="H16" i="121"/>
  <c r="H17" i="121"/>
  <c r="H18" i="121"/>
  <c r="H19" i="121"/>
  <c r="H20" i="121"/>
  <c r="H21" i="121"/>
  <c r="H22" i="121"/>
  <c r="H23" i="121"/>
  <c r="H24" i="121"/>
  <c r="H25" i="121"/>
  <c r="K121" i="422" s="1"/>
  <c r="H26" i="121"/>
  <c r="D7" i="123"/>
  <c r="E7" i="123"/>
  <c r="D8" i="123"/>
  <c r="H8" i="123"/>
  <c r="J8" i="123"/>
  <c r="K8" i="123"/>
  <c r="D9" i="123"/>
  <c r="H9" i="123"/>
  <c r="J9" i="123"/>
  <c r="J10" i="123" s="1"/>
  <c r="J11" i="123" s="1"/>
  <c r="J12" i="123" s="1"/>
  <c r="J13" i="123" s="1"/>
  <c r="J14" i="123" s="1"/>
  <c r="J15" i="123" s="1"/>
  <c r="J16" i="123" s="1"/>
  <c r="J17" i="123" s="1"/>
  <c r="J18" i="123" s="1"/>
  <c r="J19" i="123" s="1"/>
  <c r="J20" i="123" s="1"/>
  <c r="J21" i="123" s="1"/>
  <c r="J22" i="123" s="1"/>
  <c r="J23" i="123" s="1"/>
  <c r="J24" i="123" s="1"/>
  <c r="J25" i="123" s="1"/>
  <c r="J26" i="123" s="1"/>
  <c r="J27" i="123" s="1"/>
  <c r="J28" i="123" s="1"/>
  <c r="J29" i="123" s="1"/>
  <c r="J30" i="123" s="1"/>
  <c r="J31" i="123" s="1"/>
  <c r="J32" i="123" s="1"/>
  <c r="J33" i="123" s="1"/>
  <c r="J34" i="123" s="1"/>
  <c r="J35" i="123" s="1"/>
  <c r="J36" i="123" s="1"/>
  <c r="J37" i="123" s="1"/>
  <c r="J38" i="123" s="1"/>
  <c r="J39" i="123" s="1"/>
  <c r="J40" i="123" s="1"/>
  <c r="J41" i="123" s="1"/>
  <c r="J42" i="123" s="1"/>
  <c r="J43" i="123" s="1"/>
  <c r="J44" i="123" s="1"/>
  <c r="J122" i="422" s="1"/>
  <c r="K9" i="123"/>
  <c r="K10" i="123" s="1"/>
  <c r="K11" i="123" s="1"/>
  <c r="K12" i="123" s="1"/>
  <c r="K13" i="123" s="1"/>
  <c r="K14" i="123" s="1"/>
  <c r="K15" i="123" s="1"/>
  <c r="K16" i="123" s="1"/>
  <c r="K17" i="123" s="1"/>
  <c r="K18" i="123" s="1"/>
  <c r="K19" i="123" s="1"/>
  <c r="K20" i="123" s="1"/>
  <c r="K21" i="123" s="1"/>
  <c r="K22" i="123" s="1"/>
  <c r="K23" i="123" s="1"/>
  <c r="K24" i="123" s="1"/>
  <c r="K25" i="123" s="1"/>
  <c r="K26" i="123" s="1"/>
  <c r="K27" i="123" s="1"/>
  <c r="K28" i="123" s="1"/>
  <c r="K29" i="123" s="1"/>
  <c r="K30" i="123" s="1"/>
  <c r="K31" i="123" s="1"/>
  <c r="K32" i="123" s="1"/>
  <c r="K33" i="123" s="1"/>
  <c r="K34" i="123" s="1"/>
  <c r="K35" i="123" s="1"/>
  <c r="K36" i="123" s="1"/>
  <c r="K37" i="123" s="1"/>
  <c r="K38" i="123" s="1"/>
  <c r="K39" i="123" s="1"/>
  <c r="K40" i="123" s="1"/>
  <c r="K41" i="123" s="1"/>
  <c r="K42" i="123" s="1"/>
  <c r="K43" i="123" s="1"/>
  <c r="K44" i="123" s="1"/>
  <c r="D10" i="123"/>
  <c r="H10" i="123"/>
  <c r="D11" i="123"/>
  <c r="D12" i="123" s="1"/>
  <c r="D13" i="123" s="1"/>
  <c r="D14" i="123" s="1"/>
  <c r="D15" i="123" s="1"/>
  <c r="D16" i="123" s="1"/>
  <c r="D17" i="123" s="1"/>
  <c r="D18" i="123" s="1"/>
  <c r="D19" i="123" s="1"/>
  <c r="D20" i="123" s="1"/>
  <c r="D21" i="123" s="1"/>
  <c r="D22" i="123" s="1"/>
  <c r="D23" i="123" s="1"/>
  <c r="D24" i="123" s="1"/>
  <c r="D25" i="123" s="1"/>
  <c r="D26" i="123" s="1"/>
  <c r="D27" i="123" s="1"/>
  <c r="D28" i="123" s="1"/>
  <c r="D29" i="123" s="1"/>
  <c r="D30" i="123" s="1"/>
  <c r="D31" i="123" s="1"/>
  <c r="D32" i="123" s="1"/>
  <c r="D33" i="123" s="1"/>
  <c r="D34" i="123" s="1"/>
  <c r="D35" i="123" s="1"/>
  <c r="D36" i="123" s="1"/>
  <c r="D37" i="123" s="1"/>
  <c r="D38" i="123" s="1"/>
  <c r="D39" i="123" s="1"/>
  <c r="D40" i="123" s="1"/>
  <c r="D41" i="123" s="1"/>
  <c r="D42" i="123" s="1"/>
  <c r="D43" i="123" s="1"/>
  <c r="D44" i="123" s="1"/>
  <c r="E122" i="422" s="1"/>
  <c r="H11" i="123"/>
  <c r="H12" i="123"/>
  <c r="H13" i="123"/>
  <c r="H14" i="123"/>
  <c r="H15" i="123"/>
  <c r="H16" i="123"/>
  <c r="H17" i="123"/>
  <c r="H18" i="123"/>
  <c r="H19" i="123"/>
  <c r="H20" i="123"/>
  <c r="H21" i="123"/>
  <c r="H22" i="123"/>
  <c r="H23" i="123"/>
  <c r="H24" i="123"/>
  <c r="H25" i="123"/>
  <c r="H26" i="123"/>
  <c r="H27" i="123"/>
  <c r="H28" i="123"/>
  <c r="H29" i="123"/>
  <c r="H30" i="123"/>
  <c r="H31" i="123"/>
  <c r="H32" i="123"/>
  <c r="H33" i="123"/>
  <c r="H34" i="123"/>
  <c r="H35" i="123"/>
  <c r="H36" i="123"/>
  <c r="H37" i="123"/>
  <c r="H38" i="123"/>
  <c r="H39" i="123"/>
  <c r="H40" i="123"/>
  <c r="H41" i="123"/>
  <c r="H42" i="123"/>
  <c r="H43" i="123"/>
  <c r="H44" i="123"/>
  <c r="K122" i="422" s="1"/>
  <c r="H45" i="123"/>
  <c r="D7" i="128"/>
  <c r="D8" i="128" s="1"/>
  <c r="D9" i="128" s="1"/>
  <c r="D10" i="128" s="1"/>
  <c r="D11" i="128" s="1"/>
  <c r="D12" i="128" s="1"/>
  <c r="D13" i="128" s="1"/>
  <c r="D14" i="128" s="1"/>
  <c r="D15" i="128" s="1"/>
  <c r="D16" i="128" s="1"/>
  <c r="D17" i="128" s="1"/>
  <c r="D18" i="128" s="1"/>
  <c r="D19" i="128" s="1"/>
  <c r="D20" i="128" s="1"/>
  <c r="D21" i="128" s="1"/>
  <c r="D22" i="128" s="1"/>
  <c r="D23" i="128" s="1"/>
  <c r="D24" i="128" s="1"/>
  <c r="D25" i="128" s="1"/>
  <c r="D26" i="128" s="1"/>
  <c r="D27" i="128" s="1"/>
  <c r="D28" i="128" s="1"/>
  <c r="D29" i="128" s="1"/>
  <c r="D30" i="128" s="1"/>
  <c r="D31" i="128" s="1"/>
  <c r="D32" i="128" s="1"/>
  <c r="D33" i="128" s="1"/>
  <c r="D34" i="128" s="1"/>
  <c r="D35" i="128" s="1"/>
  <c r="D36" i="128" s="1"/>
  <c r="E123" i="422" s="1"/>
  <c r="E7" i="128"/>
  <c r="L7" i="128"/>
  <c r="E8" i="128"/>
  <c r="G8" i="128" s="1"/>
  <c r="K8" i="128"/>
  <c r="K9" i="128" s="1"/>
  <c r="K10" i="128" s="1"/>
  <c r="K11" i="128" s="1"/>
  <c r="K12" i="128" s="1"/>
  <c r="K13" i="128" s="1"/>
  <c r="K14" i="128" s="1"/>
  <c r="K15" i="128" s="1"/>
  <c r="K16" i="128" s="1"/>
  <c r="K17" i="128" s="1"/>
  <c r="K18" i="128" s="1"/>
  <c r="K19" i="128" s="1"/>
  <c r="K20" i="128" s="1"/>
  <c r="K21" i="128" s="1"/>
  <c r="K22" i="128" s="1"/>
  <c r="K23" i="128" s="1"/>
  <c r="K24" i="128" s="1"/>
  <c r="E9" i="128"/>
  <c r="G9" i="128" s="1"/>
  <c r="H9" i="128"/>
  <c r="E10" i="128"/>
  <c r="L10" i="128" s="1"/>
  <c r="H10" i="128"/>
  <c r="H11" i="128"/>
  <c r="J11" i="128"/>
  <c r="J12" i="128" s="1"/>
  <c r="J13" i="128" s="1"/>
  <c r="J14" i="128" s="1"/>
  <c r="J15" i="128" s="1"/>
  <c r="J16" i="128" s="1"/>
  <c r="J17" i="128" s="1"/>
  <c r="J18" i="128" s="1"/>
  <c r="J19" i="128" s="1"/>
  <c r="J20" i="128" s="1"/>
  <c r="J21" i="128" s="1"/>
  <c r="J22" i="128" s="1"/>
  <c r="J23" i="128" s="1"/>
  <c r="J24" i="128" s="1"/>
  <c r="J25" i="128" s="1"/>
  <c r="J26" i="128" s="1"/>
  <c r="J27" i="128" s="1"/>
  <c r="J28" i="128" s="1"/>
  <c r="J29" i="128" s="1"/>
  <c r="J30" i="128" s="1"/>
  <c r="J31" i="128" s="1"/>
  <c r="J32" i="128" s="1"/>
  <c r="J33" i="128" s="1"/>
  <c r="J34" i="128" s="1"/>
  <c r="J35" i="128" s="1"/>
  <c r="J36" i="128" s="1"/>
  <c r="J123" i="422" s="1"/>
  <c r="H12" i="128"/>
  <c r="H13" i="128"/>
  <c r="H14" i="128"/>
  <c r="H15" i="128"/>
  <c r="H16" i="128"/>
  <c r="H17" i="128"/>
  <c r="H18" i="128"/>
  <c r="H19" i="128"/>
  <c r="H20" i="128"/>
  <c r="C21" i="128"/>
  <c r="H23" i="128" s="1"/>
  <c r="H21" i="128"/>
  <c r="C23" i="128"/>
  <c r="H24" i="128"/>
  <c r="H29" i="128"/>
  <c r="H30" i="128"/>
  <c r="H31" i="128"/>
  <c r="H32" i="128"/>
  <c r="H33" i="128"/>
  <c r="H34" i="128"/>
  <c r="H35" i="128"/>
  <c r="H36" i="128"/>
  <c r="K123" i="422" s="1"/>
  <c r="H37" i="128"/>
  <c r="D6" i="129"/>
  <c r="E6" i="129"/>
  <c r="L6" i="129" s="1"/>
  <c r="G6" i="129"/>
  <c r="D7" i="129"/>
  <c r="E7" i="129"/>
  <c r="L7" i="129" s="1"/>
  <c r="G7" i="129"/>
  <c r="D8" i="129"/>
  <c r="D9" i="129" s="1"/>
  <c r="D10" i="129" s="1"/>
  <c r="D11" i="129" s="1"/>
  <c r="D12" i="129" s="1"/>
  <c r="D13" i="129" s="1"/>
  <c r="D14" i="129" s="1"/>
  <c r="D15" i="129" s="1"/>
  <c r="D16" i="129" s="1"/>
  <c r="D17" i="129" s="1"/>
  <c r="D18" i="129" s="1"/>
  <c r="D19" i="129" s="1"/>
  <c r="D20" i="129" s="1"/>
  <c r="D21" i="129" s="1"/>
  <c r="D22" i="129" s="1"/>
  <c r="D23" i="129" s="1"/>
  <c r="D24" i="129" s="1"/>
  <c r="D25" i="129" s="1"/>
  <c r="D26" i="129" s="1"/>
  <c r="D27" i="129" s="1"/>
  <c r="D28" i="129" s="1"/>
  <c r="D29" i="129" s="1"/>
  <c r="D30" i="129" s="1"/>
  <c r="D31" i="129" s="1"/>
  <c r="D32" i="129" s="1"/>
  <c r="D33" i="129" s="1"/>
  <c r="D34" i="129" s="1"/>
  <c r="D35" i="129" s="1"/>
  <c r="D36" i="129" s="1"/>
  <c r="D37" i="129" s="1"/>
  <c r="D38" i="129" s="1"/>
  <c r="D39" i="129" s="1"/>
  <c r="D40" i="129" s="1"/>
  <c r="D41" i="129" s="1"/>
  <c r="D42" i="129" s="1"/>
  <c r="E124" i="422" s="1"/>
  <c r="E8" i="129"/>
  <c r="G8" i="129"/>
  <c r="H8" i="129"/>
  <c r="K8" i="129"/>
  <c r="K9" i="129" s="1"/>
  <c r="K10" i="129" s="1"/>
  <c r="K11" i="129" s="1"/>
  <c r="K12" i="129" s="1"/>
  <c r="K13" i="129" s="1"/>
  <c r="K14" i="129" s="1"/>
  <c r="K15" i="129" s="1"/>
  <c r="K16" i="129" s="1"/>
  <c r="K17" i="129" s="1"/>
  <c r="K18" i="129" s="1"/>
  <c r="K19" i="129" s="1"/>
  <c r="K20" i="129" s="1"/>
  <c r="K21" i="129" s="1"/>
  <c r="K22" i="129" s="1"/>
  <c r="K23" i="129" s="1"/>
  <c r="K24" i="129" s="1"/>
  <c r="K25" i="129" s="1"/>
  <c r="K26" i="129" s="1"/>
  <c r="K27" i="129" s="1"/>
  <c r="K28" i="129" s="1"/>
  <c r="K29" i="129" s="1"/>
  <c r="K30" i="129" s="1"/>
  <c r="K31" i="129" s="1"/>
  <c r="K32" i="129" s="1"/>
  <c r="K33" i="129" s="1"/>
  <c r="K34" i="129" s="1"/>
  <c r="L8" i="129"/>
  <c r="E9" i="129"/>
  <c r="G9" i="129"/>
  <c r="H9" i="129"/>
  <c r="J9" i="129"/>
  <c r="L9" i="129" s="1"/>
  <c r="E10" i="129"/>
  <c r="G10" i="129"/>
  <c r="H10" i="129"/>
  <c r="J10" i="129"/>
  <c r="L10" i="129" s="1"/>
  <c r="E11" i="129"/>
  <c r="G11" i="129"/>
  <c r="H11" i="129"/>
  <c r="E12" i="129"/>
  <c r="G12" i="129"/>
  <c r="H12" i="129"/>
  <c r="I12" i="129"/>
  <c r="E13" i="129"/>
  <c r="G13" i="129"/>
  <c r="H13" i="129"/>
  <c r="E14" i="129"/>
  <c r="G14" i="129"/>
  <c r="H14" i="129"/>
  <c r="E15" i="129"/>
  <c r="G15" i="129"/>
  <c r="H15" i="129"/>
  <c r="E16" i="129"/>
  <c r="G16" i="129"/>
  <c r="H16" i="129"/>
  <c r="E17" i="129"/>
  <c r="G17" i="129"/>
  <c r="H17" i="129"/>
  <c r="I17" i="129"/>
  <c r="E18" i="129"/>
  <c r="E19" i="129" s="1"/>
  <c r="G20" i="129" s="1"/>
  <c r="G18" i="129"/>
  <c r="H18" i="129"/>
  <c r="H19" i="129"/>
  <c r="H20" i="129"/>
  <c r="H21" i="129"/>
  <c r="H22" i="129"/>
  <c r="H23" i="129"/>
  <c r="H24" i="129"/>
  <c r="H25" i="129"/>
  <c r="H26" i="129"/>
  <c r="H27" i="129"/>
  <c r="H28" i="129"/>
  <c r="H29" i="129"/>
  <c r="H30" i="129"/>
  <c r="H31" i="129"/>
  <c r="H32" i="129"/>
  <c r="H33" i="129"/>
  <c r="H34" i="129"/>
  <c r="G35" i="129"/>
  <c r="G36" i="129"/>
  <c r="H36" i="129"/>
  <c r="G37" i="129"/>
  <c r="H37" i="129"/>
  <c r="G38" i="129"/>
  <c r="H38" i="129"/>
  <c r="G39" i="129"/>
  <c r="H39" i="129"/>
  <c r="G40" i="129"/>
  <c r="H40" i="129"/>
  <c r="G41" i="129"/>
  <c r="H41" i="129"/>
  <c r="C42" i="129"/>
  <c r="G42" i="129"/>
  <c r="H42" i="129"/>
  <c r="K124" i="422" s="1"/>
  <c r="H43" i="129"/>
  <c r="D6" i="238"/>
  <c r="E6" i="238"/>
  <c r="D7" i="238"/>
  <c r="D8" i="238" s="1"/>
  <c r="D9" i="238" s="1"/>
  <c r="D10" i="238" s="1"/>
  <c r="D11" i="238" s="1"/>
  <c r="D12" i="238" s="1"/>
  <c r="D13" i="238" s="1"/>
  <c r="E125" i="422" s="1"/>
  <c r="H7" i="238"/>
  <c r="K7" i="238" s="1"/>
  <c r="K8" i="238" s="1"/>
  <c r="K9" i="238" s="1"/>
  <c r="K10" i="238" s="1"/>
  <c r="K11" i="238" s="1"/>
  <c r="K12" i="238" s="1"/>
  <c r="K13" i="238" s="1"/>
  <c r="I125" i="422" s="1"/>
  <c r="H8" i="238"/>
  <c r="J8" i="238"/>
  <c r="H9" i="238"/>
  <c r="J9" i="238"/>
  <c r="H10" i="238"/>
  <c r="J10" i="238"/>
  <c r="H11" i="238"/>
  <c r="J11" i="238"/>
  <c r="H12" i="238"/>
  <c r="J12" i="238"/>
  <c r="H13" i="238"/>
  <c r="K125" i="422" s="1"/>
  <c r="J13" i="238"/>
  <c r="J125" i="422" s="1"/>
  <c r="H14" i="238"/>
  <c r="D6" i="291"/>
  <c r="E6" i="291"/>
  <c r="G6" i="291"/>
  <c r="L6" i="291"/>
  <c r="D7" i="291"/>
  <c r="E7" i="291"/>
  <c r="G7" i="291"/>
  <c r="L7" i="291"/>
  <c r="D8" i="291"/>
  <c r="D9" i="291" s="1"/>
  <c r="D10" i="291" s="1"/>
  <c r="D11" i="291" s="1"/>
  <c r="D12" i="291" s="1"/>
  <c r="D13" i="291" s="1"/>
  <c r="D14" i="291" s="1"/>
  <c r="D15" i="291" s="1"/>
  <c r="D16" i="291" s="1"/>
  <c r="D17" i="291" s="1"/>
  <c r="D18" i="291" s="1"/>
  <c r="D19" i="291" s="1"/>
  <c r="D20" i="291" s="1"/>
  <c r="D21" i="291" s="1"/>
  <c r="E8" i="291"/>
  <c r="G8" i="291"/>
  <c r="J8" i="291"/>
  <c r="L8" i="291" s="1"/>
  <c r="K8" i="291"/>
  <c r="K9" i="291" s="1"/>
  <c r="K10" i="291" s="1"/>
  <c r="K11" i="291" s="1"/>
  <c r="K12" i="291" s="1"/>
  <c r="K13" i="291" s="1"/>
  <c r="K14" i="291" s="1"/>
  <c r="K15" i="291" s="1"/>
  <c r="K16" i="291" s="1"/>
  <c r="K17" i="291" s="1"/>
  <c r="K18" i="291" s="1"/>
  <c r="E9" i="291"/>
  <c r="G9" i="291"/>
  <c r="H9" i="291"/>
  <c r="J9" i="291"/>
  <c r="J10" i="291" s="1"/>
  <c r="J11" i="291" s="1"/>
  <c r="J12" i="291" s="1"/>
  <c r="J13" i="291" s="1"/>
  <c r="J14" i="291" s="1"/>
  <c r="J15" i="291" s="1"/>
  <c r="J16" i="291" s="1"/>
  <c r="E10" i="291"/>
  <c r="G10" i="291"/>
  <c r="H10" i="291"/>
  <c r="G11" i="291"/>
  <c r="H11" i="291"/>
  <c r="H12" i="291"/>
  <c r="G13" i="291"/>
  <c r="H13" i="291"/>
  <c r="H14" i="291"/>
  <c r="I14" i="291"/>
  <c r="H15" i="291"/>
  <c r="H16" i="291"/>
  <c r="I16" i="291"/>
  <c r="H17" i="291"/>
  <c r="I17" i="291"/>
  <c r="G18" i="291"/>
  <c r="H18" i="291"/>
  <c r="G19" i="291"/>
  <c r="G20" i="291"/>
  <c r="H20" i="291"/>
  <c r="G21" i="291"/>
  <c r="H21" i="291"/>
  <c r="H22" i="291"/>
  <c r="D6" i="266"/>
  <c r="E6" i="266"/>
  <c r="G6" i="266"/>
  <c r="L6" i="266"/>
  <c r="D7" i="266"/>
  <c r="E7" i="266"/>
  <c r="K7" i="266"/>
  <c r="D8" i="266"/>
  <c r="G8" i="266"/>
  <c r="J8" i="266"/>
  <c r="K8" i="266"/>
  <c r="K9" i="266" s="1"/>
  <c r="K10" i="266" s="1"/>
  <c r="K11" i="266" s="1"/>
  <c r="D9" i="266"/>
  <c r="D10" i="266" s="1"/>
  <c r="D11" i="266" s="1"/>
  <c r="D12" i="266" s="1"/>
  <c r="D13" i="266" s="1"/>
  <c r="E127" i="422" s="1"/>
  <c r="G9" i="266"/>
  <c r="H9" i="266"/>
  <c r="J9" i="266"/>
  <c r="H10" i="266"/>
  <c r="J10" i="266"/>
  <c r="H11" i="266"/>
  <c r="J11" i="266"/>
  <c r="J12" i="266" s="1"/>
  <c r="H12" i="266"/>
  <c r="K12" i="266"/>
  <c r="K13" i="266" s="1"/>
  <c r="H13" i="266"/>
  <c r="K127" i="422" s="1"/>
  <c r="I13" i="266"/>
  <c r="J13" i="266" s="1"/>
  <c r="J127" i="422" s="1"/>
  <c r="H14" i="266"/>
  <c r="D7" i="267"/>
  <c r="D8" i="267" s="1"/>
  <c r="D9" i="267" s="1"/>
  <c r="D10" i="267" s="1"/>
  <c r="D11" i="267" s="1"/>
  <c r="D12" i="267" s="1"/>
  <c r="D13" i="267" s="1"/>
  <c r="D14" i="267" s="1"/>
  <c r="D15" i="267" s="1"/>
  <c r="D16" i="267" s="1"/>
  <c r="D17" i="267" s="1"/>
  <c r="D18" i="267" s="1"/>
  <c r="D19" i="267" s="1"/>
  <c r="D20" i="267" s="1"/>
  <c r="D21" i="267" s="1"/>
  <c r="D22" i="267" s="1"/>
  <c r="D23" i="267" s="1"/>
  <c r="D24" i="267" s="1"/>
  <c r="D25" i="267" s="1"/>
  <c r="D26" i="267" s="1"/>
  <c r="D27" i="267" s="1"/>
  <c r="D28" i="267" s="1"/>
  <c r="E128" i="422" s="1"/>
  <c r="E7" i="267"/>
  <c r="L7" i="267" s="1"/>
  <c r="G7" i="267"/>
  <c r="E8" i="267"/>
  <c r="G8" i="267"/>
  <c r="K8" i="267"/>
  <c r="L8" i="267"/>
  <c r="E9" i="267"/>
  <c r="G9" i="267"/>
  <c r="K9" i="267"/>
  <c r="G10" i="267"/>
  <c r="H10" i="267"/>
  <c r="K10" i="267"/>
  <c r="H11" i="267"/>
  <c r="H12" i="267"/>
  <c r="H13" i="267"/>
  <c r="H14" i="267"/>
  <c r="J14" i="267"/>
  <c r="H15" i="267"/>
  <c r="J15" i="267"/>
  <c r="H16" i="267"/>
  <c r="J16" i="267"/>
  <c r="H17" i="267"/>
  <c r="J17" i="267"/>
  <c r="H18" i="267"/>
  <c r="J18" i="267"/>
  <c r="J19" i="267" s="1"/>
  <c r="J20" i="267" s="1"/>
  <c r="J21" i="267" s="1"/>
  <c r="J22" i="267" s="1"/>
  <c r="J23" i="267" s="1"/>
  <c r="J24" i="267" s="1"/>
  <c r="J25" i="267" s="1"/>
  <c r="C19" i="267"/>
  <c r="H19" i="267" s="1"/>
  <c r="C20" i="267"/>
  <c r="H20" i="267" s="1"/>
  <c r="C21" i="267"/>
  <c r="H21" i="267" s="1"/>
  <c r="G23" i="267"/>
  <c r="G25" i="267"/>
  <c r="G26" i="267"/>
  <c r="H26" i="267"/>
  <c r="I26" i="267"/>
  <c r="G27" i="267"/>
  <c r="H27" i="267"/>
  <c r="G28" i="267"/>
  <c r="H28" i="267"/>
  <c r="K128" i="422" s="1"/>
  <c r="H29" i="267"/>
  <c r="D6" i="298"/>
  <c r="E6" i="298"/>
  <c r="G6" i="298" s="1"/>
  <c r="D7" i="298"/>
  <c r="H7" i="298"/>
  <c r="K7" i="298" s="1"/>
  <c r="K8" i="298" s="1"/>
  <c r="K9" i="298" s="1"/>
  <c r="K10" i="298" s="1"/>
  <c r="K11" i="298" s="1"/>
  <c r="K12" i="298" s="1"/>
  <c r="K13" i="298" s="1"/>
  <c r="K14" i="298" s="1"/>
  <c r="D8" i="298"/>
  <c r="H8" i="298"/>
  <c r="J8" i="298"/>
  <c r="D9" i="298"/>
  <c r="D10" i="298" s="1"/>
  <c r="H9" i="298"/>
  <c r="J9" i="298"/>
  <c r="J10" i="298" s="1"/>
  <c r="H10" i="298"/>
  <c r="D11" i="298"/>
  <c r="H11" i="298"/>
  <c r="J11" i="298"/>
  <c r="D12" i="298"/>
  <c r="H12" i="298"/>
  <c r="J12" i="298"/>
  <c r="D13" i="298"/>
  <c r="H13" i="298"/>
  <c r="J13" i="298"/>
  <c r="D14" i="298"/>
  <c r="E129" i="422" s="1"/>
  <c r="H14" i="298"/>
  <c r="K129" i="422" s="1"/>
  <c r="J14" i="298"/>
  <c r="J129" i="422" s="1"/>
  <c r="D6" i="353"/>
  <c r="E6" i="353"/>
  <c r="D7" i="353"/>
  <c r="D8" i="353" s="1"/>
  <c r="D9" i="353" s="1"/>
  <c r="D10" i="353" s="1"/>
  <c r="D11" i="353" s="1"/>
  <c r="D12" i="353" s="1"/>
  <c r="D13" i="353" s="1"/>
  <c r="D14" i="353" s="1"/>
  <c r="D15" i="353" s="1"/>
  <c r="D16" i="353" s="1"/>
  <c r="E130" i="422" s="1"/>
  <c r="H7" i="353"/>
  <c r="K7" i="353" s="1"/>
  <c r="H8" i="353"/>
  <c r="K8" i="353"/>
  <c r="K9" i="353" s="1"/>
  <c r="K10" i="353" s="1"/>
  <c r="K11" i="353" s="1"/>
  <c r="K12" i="353" s="1"/>
  <c r="K13" i="353" s="1"/>
  <c r="K14" i="353" s="1"/>
  <c r="K15" i="353" s="1"/>
  <c r="K16" i="353" s="1"/>
  <c r="I8" i="353"/>
  <c r="J8" i="353" s="1"/>
  <c r="H9" i="353"/>
  <c r="J9" i="353"/>
  <c r="J10" i="353" s="1"/>
  <c r="H10" i="353"/>
  <c r="H11" i="353"/>
  <c r="J11" i="353"/>
  <c r="J12" i="353" s="1"/>
  <c r="J13" i="353" s="1"/>
  <c r="J14" i="353" s="1"/>
  <c r="J15" i="353" s="1"/>
  <c r="J16" i="353" s="1"/>
  <c r="J130" i="422" s="1"/>
  <c r="H12" i="353"/>
  <c r="H13" i="353"/>
  <c r="H14" i="353"/>
  <c r="H15" i="353"/>
  <c r="H16" i="353"/>
  <c r="K130" i="422" s="1"/>
  <c r="H17" i="353"/>
  <c r="D6" i="352"/>
  <c r="D7" i="352" s="1"/>
  <c r="D8" i="352" s="1"/>
  <c r="D9" i="352" s="1"/>
  <c r="D10" i="352" s="1"/>
  <c r="D11" i="352" s="1"/>
  <c r="E131" i="422" s="1"/>
  <c r="E6" i="352"/>
  <c r="L6" i="352"/>
  <c r="H7" i="352"/>
  <c r="K7" i="352" s="1"/>
  <c r="K8" i="352" s="1"/>
  <c r="K9" i="352" s="1"/>
  <c r="K10" i="352" s="1"/>
  <c r="K11" i="352" s="1"/>
  <c r="H8" i="352"/>
  <c r="J8" i="352"/>
  <c r="H9" i="352"/>
  <c r="J9" i="352"/>
  <c r="H10" i="352"/>
  <c r="H11" i="352"/>
  <c r="K131" i="422" s="1"/>
  <c r="H12" i="352"/>
  <c r="D6" i="360"/>
  <c r="D7" i="360" s="1"/>
  <c r="D8" i="360" s="1"/>
  <c r="D9" i="360" s="1"/>
  <c r="D10" i="360" s="1"/>
  <c r="E6" i="360"/>
  <c r="L6" i="360" s="1"/>
  <c r="G6" i="360"/>
  <c r="E7" i="360"/>
  <c r="G7" i="360"/>
  <c r="K7" i="360"/>
  <c r="L7" i="360"/>
  <c r="E8" i="360"/>
  <c r="G8" i="360"/>
  <c r="H8" i="360"/>
  <c r="J8" i="360"/>
  <c r="K8" i="360"/>
  <c r="K9" i="360" s="1"/>
  <c r="K10" i="360" s="1"/>
  <c r="K11" i="360" s="1"/>
  <c r="G9" i="360"/>
  <c r="H9" i="360"/>
  <c r="J9" i="360"/>
  <c r="J10" i="360" s="1"/>
  <c r="G10" i="360"/>
  <c r="H10" i="360"/>
  <c r="H11" i="360"/>
  <c r="C6" i="390"/>
  <c r="H8" i="390" s="1"/>
  <c r="D6" i="390"/>
  <c r="E6" i="390"/>
  <c r="G6" i="390" s="1"/>
  <c r="C7" i="390"/>
  <c r="D7" i="390"/>
  <c r="D8" i="390" s="1"/>
  <c r="D9" i="390" s="1"/>
  <c r="G7" i="390"/>
  <c r="K7" i="390"/>
  <c r="C8" i="390"/>
  <c r="K8" i="390"/>
  <c r="H9" i="390"/>
  <c r="K9" i="390"/>
  <c r="K10" i="390" s="1"/>
  <c r="H10" i="390"/>
  <c r="B6" i="392"/>
  <c r="C6" i="392" s="1"/>
  <c r="D6" i="392"/>
  <c r="D7" i="392" s="1"/>
  <c r="D8" i="392" s="1"/>
  <c r="B7" i="392"/>
  <c r="C7" i="392"/>
  <c r="K7" i="392"/>
  <c r="J8" i="392"/>
  <c r="J9" i="392" s="1"/>
  <c r="D6" i="413"/>
  <c r="E6" i="413"/>
  <c r="G6" i="413"/>
  <c r="L6" i="413"/>
  <c r="D7" i="413"/>
  <c r="E7" i="413"/>
  <c r="G7" i="413"/>
  <c r="K7" i="413"/>
  <c r="L7" i="413"/>
  <c r="J8" i="413"/>
  <c r="K8" i="413"/>
  <c r="K9" i="413" s="1"/>
  <c r="L8" i="413"/>
  <c r="J9" i="413"/>
  <c r="L9" i="413" s="1"/>
  <c r="D9" i="216"/>
  <c r="E9" i="216"/>
  <c r="G9" i="216"/>
  <c r="L9" i="216"/>
  <c r="D10" i="216"/>
  <c r="E10" i="216"/>
  <c r="G10" i="216" s="1"/>
  <c r="H10" i="216"/>
  <c r="K10" i="216" s="1"/>
  <c r="K11" i="216" s="1"/>
  <c r="K12" i="216" s="1"/>
  <c r="K13" i="216" s="1"/>
  <c r="K14" i="216" s="1"/>
  <c r="K15" i="216" s="1"/>
  <c r="K16" i="216" s="1"/>
  <c r="K17" i="216" s="1"/>
  <c r="K18" i="216" s="1"/>
  <c r="K19" i="216" s="1"/>
  <c r="K20" i="216" s="1"/>
  <c r="K21" i="216" s="1"/>
  <c r="K22" i="216" s="1"/>
  <c r="K23" i="216" s="1"/>
  <c r="K24" i="216" s="1"/>
  <c r="K25" i="216" s="1"/>
  <c r="K26" i="216" s="1"/>
  <c r="K27" i="216" s="1"/>
  <c r="K28" i="216" s="1"/>
  <c r="K29" i="216" s="1"/>
  <c r="K30" i="216" s="1"/>
  <c r="K31" i="216" s="1"/>
  <c r="K32" i="216" s="1"/>
  <c r="K33" i="216" s="1"/>
  <c r="K34" i="216" s="1"/>
  <c r="K35" i="216" s="1"/>
  <c r="K36" i="216" s="1"/>
  <c r="K37" i="216" s="1"/>
  <c r="K38" i="216" s="1"/>
  <c r="K39" i="216" s="1"/>
  <c r="K40" i="216" s="1"/>
  <c r="K41" i="216" s="1"/>
  <c r="K42" i="216" s="1"/>
  <c r="K43" i="216" s="1"/>
  <c r="K44" i="216" s="1"/>
  <c r="K45" i="216" s="1"/>
  <c r="K46" i="216" s="1"/>
  <c r="K47" i="216" s="1"/>
  <c r="K48" i="216" s="1"/>
  <c r="K49" i="216" s="1"/>
  <c r="K50" i="216" s="1"/>
  <c r="K51" i="216" s="1"/>
  <c r="K52" i="216" s="1"/>
  <c r="K53" i="216" s="1"/>
  <c r="L10" i="216"/>
  <c r="D11" i="216"/>
  <c r="E11" i="216"/>
  <c r="H11" i="216"/>
  <c r="J11" i="216"/>
  <c r="D12" i="216"/>
  <c r="D13" i="216" s="1"/>
  <c r="H12" i="216"/>
  <c r="J12" i="216"/>
  <c r="J13" i="216" s="1"/>
  <c r="H13" i="216"/>
  <c r="D14" i="216"/>
  <c r="D15" i="216" s="1"/>
  <c r="H14" i="216"/>
  <c r="J14" i="216"/>
  <c r="J15" i="216" s="1"/>
  <c r="H15" i="216"/>
  <c r="D16" i="216"/>
  <c r="D17" i="216" s="1"/>
  <c r="H16" i="216"/>
  <c r="J16" i="216"/>
  <c r="J17" i="216" s="1"/>
  <c r="H17" i="216"/>
  <c r="D18" i="216"/>
  <c r="D19" i="216" s="1"/>
  <c r="H18" i="216"/>
  <c r="J18" i="216"/>
  <c r="J19" i="216" s="1"/>
  <c r="H19" i="216"/>
  <c r="D20" i="216"/>
  <c r="D21" i="216" s="1"/>
  <c r="H20" i="216"/>
  <c r="J20" i="216"/>
  <c r="J21" i="216" s="1"/>
  <c r="H21" i="216"/>
  <c r="D22" i="216"/>
  <c r="D23" i="216" s="1"/>
  <c r="H22" i="216"/>
  <c r="J22" i="216"/>
  <c r="J23" i="216" s="1"/>
  <c r="H23" i="216"/>
  <c r="D24" i="216"/>
  <c r="D25" i="216" s="1"/>
  <c r="H24" i="216"/>
  <c r="J24" i="216"/>
  <c r="J25" i="216" s="1"/>
  <c r="H25" i="216"/>
  <c r="D26" i="216"/>
  <c r="D27" i="216" s="1"/>
  <c r="H26" i="216"/>
  <c r="I26" i="216"/>
  <c r="H27" i="216"/>
  <c r="D28" i="216"/>
  <c r="D29" i="216" s="1"/>
  <c r="H28" i="216"/>
  <c r="H29" i="216"/>
  <c r="D30" i="216"/>
  <c r="D31" i="216" s="1"/>
  <c r="D32" i="216" s="1"/>
  <c r="D33" i="216" s="1"/>
  <c r="D34" i="216" s="1"/>
  <c r="D35" i="216" s="1"/>
  <c r="D36" i="216" s="1"/>
  <c r="D37" i="216" s="1"/>
  <c r="D38" i="216" s="1"/>
  <c r="D39" i="216" s="1"/>
  <c r="D40" i="216" s="1"/>
  <c r="D41" i="216" s="1"/>
  <c r="D42" i="216" s="1"/>
  <c r="D43" i="216" s="1"/>
  <c r="D44" i="216" s="1"/>
  <c r="D45" i="216" s="1"/>
  <c r="D46" i="216" s="1"/>
  <c r="D47" i="216" s="1"/>
  <c r="D48" i="216" s="1"/>
  <c r="D49" i="216" s="1"/>
  <c r="D50" i="216" s="1"/>
  <c r="D51" i="216" s="1"/>
  <c r="D52" i="216" s="1"/>
  <c r="H30" i="216"/>
  <c r="H31" i="216"/>
  <c r="C32" i="216"/>
  <c r="H33" i="216" s="1"/>
  <c r="H32" i="216"/>
  <c r="H34" i="216"/>
  <c r="I34" i="216"/>
  <c r="H35" i="216"/>
  <c r="H36" i="216"/>
  <c r="H37" i="216"/>
  <c r="H38" i="216"/>
  <c r="H39" i="216"/>
  <c r="I39" i="216"/>
  <c r="H40" i="216"/>
  <c r="H41" i="216"/>
  <c r="I41" i="216"/>
  <c r="H42" i="216"/>
  <c r="H43" i="216"/>
  <c r="I43" i="216"/>
  <c r="H44" i="216"/>
  <c r="I44" i="216"/>
  <c r="H45" i="216"/>
  <c r="I45" i="216"/>
  <c r="H46" i="216"/>
  <c r="H47" i="216"/>
  <c r="I47" i="216"/>
  <c r="H48" i="216"/>
  <c r="C49" i="216"/>
  <c r="H49" i="216"/>
  <c r="H50" i="216"/>
  <c r="H51" i="216"/>
  <c r="H52" i="216"/>
  <c r="H53" i="216"/>
  <c r="D8" i="137"/>
  <c r="D9" i="137" s="1"/>
  <c r="D10" i="137" s="1"/>
  <c r="D11" i="137" s="1"/>
  <c r="D12" i="137" s="1"/>
  <c r="D13" i="137" s="1"/>
  <c r="D14" i="137" s="1"/>
  <c r="D15" i="137" s="1"/>
  <c r="D16" i="137" s="1"/>
  <c r="D17" i="137" s="1"/>
  <c r="D18" i="137" s="1"/>
  <c r="D19" i="137" s="1"/>
  <c r="D20" i="137" s="1"/>
  <c r="D21" i="137" s="1"/>
  <c r="D22" i="137" s="1"/>
  <c r="D23" i="137" s="1"/>
  <c r="D24" i="137" s="1"/>
  <c r="D25" i="137" s="1"/>
  <c r="D26" i="137" s="1"/>
  <c r="D27" i="137" s="1"/>
  <c r="D28" i="137" s="1"/>
  <c r="D29" i="137" s="1"/>
  <c r="D30" i="137" s="1"/>
  <c r="D31" i="137" s="1"/>
  <c r="D32" i="137" s="1"/>
  <c r="D33" i="137" s="1"/>
  <c r="D34" i="137" s="1"/>
  <c r="D35" i="137" s="1"/>
  <c r="D36" i="137" s="1"/>
  <c r="D37" i="137" s="1"/>
  <c r="D38" i="137" s="1"/>
  <c r="D39" i="137" s="1"/>
  <c r="D40" i="137" s="1"/>
  <c r="D41" i="137" s="1"/>
  <c r="D42" i="137" s="1"/>
  <c r="D43" i="137" s="1"/>
  <c r="D44" i="137" s="1"/>
  <c r="D45" i="137" s="1"/>
  <c r="D46" i="137" s="1"/>
  <c r="D47" i="137" s="1"/>
  <c r="D48" i="137" s="1"/>
  <c r="D49" i="137" s="1"/>
  <c r="E8" i="137"/>
  <c r="L8" i="137" s="1"/>
  <c r="G8" i="137"/>
  <c r="E9" i="137"/>
  <c r="G9" i="137"/>
  <c r="H9" i="137"/>
  <c r="K9" i="137"/>
  <c r="K10" i="137" s="1"/>
  <c r="K11" i="137" s="1"/>
  <c r="K12" i="137" s="1"/>
  <c r="K13" i="137" s="1"/>
  <c r="K14" i="137" s="1"/>
  <c r="K15" i="137" s="1"/>
  <c r="K16" i="137" s="1"/>
  <c r="K17" i="137" s="1"/>
  <c r="K18" i="137" s="1"/>
  <c r="K19" i="137" s="1"/>
  <c r="K20" i="137" s="1"/>
  <c r="K21" i="137" s="1"/>
  <c r="K22" i="137" s="1"/>
  <c r="K23" i="137" s="1"/>
  <c r="K24" i="137" s="1"/>
  <c r="K25" i="137" s="1"/>
  <c r="K26" i="137" s="1"/>
  <c r="K27" i="137" s="1"/>
  <c r="K28" i="137" s="1"/>
  <c r="K29" i="137" s="1"/>
  <c r="K30" i="137" s="1"/>
  <c r="K31" i="137" s="1"/>
  <c r="K32" i="137" s="1"/>
  <c r="K33" i="137" s="1"/>
  <c r="K34" i="137" s="1"/>
  <c r="K35" i="137" s="1"/>
  <c r="K36" i="137" s="1"/>
  <c r="K37" i="137" s="1"/>
  <c r="K38" i="137" s="1"/>
  <c r="K39" i="137" s="1"/>
  <c r="K40" i="137" s="1"/>
  <c r="K41" i="137" s="1"/>
  <c r="K42" i="137" s="1"/>
  <c r="K43" i="137" s="1"/>
  <c r="K44" i="137" s="1"/>
  <c r="K45" i="137" s="1"/>
  <c r="K46" i="137" s="1"/>
  <c r="K47" i="137" s="1"/>
  <c r="K48" i="137" s="1"/>
  <c r="L9" i="137"/>
  <c r="E10" i="137"/>
  <c r="G10" i="137"/>
  <c r="H10" i="137"/>
  <c r="L10" i="137"/>
  <c r="E11" i="137"/>
  <c r="H11" i="137"/>
  <c r="H12" i="137"/>
  <c r="J12" i="137"/>
  <c r="J13" i="137" s="1"/>
  <c r="J14" i="137" s="1"/>
  <c r="J15" i="137" s="1"/>
  <c r="J16" i="137" s="1"/>
  <c r="J17" i="137" s="1"/>
  <c r="J18" i="137" s="1"/>
  <c r="J19" i="137" s="1"/>
  <c r="J20" i="137" s="1"/>
  <c r="H13" i="137"/>
  <c r="H14" i="137"/>
  <c r="H15" i="137"/>
  <c r="H16" i="137"/>
  <c r="H17" i="137"/>
  <c r="H18" i="137"/>
  <c r="H19" i="137"/>
  <c r="H20" i="137"/>
  <c r="H21" i="137"/>
  <c r="I21" i="137"/>
  <c r="J21" i="137"/>
  <c r="H22" i="137"/>
  <c r="H23" i="137"/>
  <c r="H24" i="137"/>
  <c r="H25" i="137"/>
  <c r="H26" i="137"/>
  <c r="H27" i="137"/>
  <c r="H28" i="137"/>
  <c r="I28" i="137"/>
  <c r="H29" i="137"/>
  <c r="H30" i="137"/>
  <c r="H31" i="137"/>
  <c r="H32" i="137"/>
  <c r="H33" i="137"/>
  <c r="H34" i="137"/>
  <c r="H35" i="137"/>
  <c r="H36" i="137"/>
  <c r="H37" i="137"/>
  <c r="H38" i="137"/>
  <c r="H39" i="137"/>
  <c r="H40" i="137"/>
  <c r="H41" i="137"/>
  <c r="H42" i="137"/>
  <c r="H43" i="137"/>
  <c r="H44" i="137"/>
  <c r="H45" i="137"/>
  <c r="H46" i="137"/>
  <c r="H47" i="137"/>
  <c r="G48" i="137"/>
  <c r="H48" i="137"/>
  <c r="D8" i="138"/>
  <c r="D9" i="138" s="1"/>
  <c r="D10" i="138" s="1"/>
  <c r="D11" i="138" s="1"/>
  <c r="D12" i="138" s="1"/>
  <c r="D13" i="138" s="1"/>
  <c r="D14" i="138" s="1"/>
  <c r="D15" i="138" s="1"/>
  <c r="D16" i="138" s="1"/>
  <c r="D17" i="138" s="1"/>
  <c r="D18" i="138" s="1"/>
  <c r="D19" i="138" s="1"/>
  <c r="D20" i="138" s="1"/>
  <c r="D21" i="138" s="1"/>
  <c r="D22" i="138" s="1"/>
  <c r="D23" i="138" s="1"/>
  <c r="D24" i="138" s="1"/>
  <c r="D25" i="138" s="1"/>
  <c r="D26" i="138" s="1"/>
  <c r="D27" i="138" s="1"/>
  <c r="D28" i="138" s="1"/>
  <c r="D29" i="138" s="1"/>
  <c r="D30" i="138" s="1"/>
  <c r="D31" i="138" s="1"/>
  <c r="D32" i="138" s="1"/>
  <c r="D33" i="138" s="1"/>
  <c r="D34" i="138" s="1"/>
  <c r="E8" i="138"/>
  <c r="L8" i="138" s="1"/>
  <c r="G8" i="138"/>
  <c r="E9" i="138"/>
  <c r="G9" i="138"/>
  <c r="H9" i="138"/>
  <c r="K9" i="138"/>
  <c r="K10" i="138" s="1"/>
  <c r="K11" i="138" s="1"/>
  <c r="K12" i="138" s="1"/>
  <c r="K13" i="138" s="1"/>
  <c r="K14" i="138" s="1"/>
  <c r="K15" i="138" s="1"/>
  <c r="K16" i="138" s="1"/>
  <c r="K17" i="138" s="1"/>
  <c r="K18" i="138" s="1"/>
  <c r="K19" i="138" s="1"/>
  <c r="K20" i="138" s="1"/>
  <c r="K21" i="138" s="1"/>
  <c r="K22" i="138" s="1"/>
  <c r="K23" i="138" s="1"/>
  <c r="K24" i="138" s="1"/>
  <c r="K25" i="138" s="1"/>
  <c r="K26" i="138" s="1"/>
  <c r="K27" i="138" s="1"/>
  <c r="K28" i="138" s="1"/>
  <c r="K29" i="138" s="1"/>
  <c r="K30" i="138" s="1"/>
  <c r="K31" i="138" s="1"/>
  <c r="K32" i="138" s="1"/>
  <c r="K33" i="138" s="1"/>
  <c r="L9" i="138"/>
  <c r="E10" i="138"/>
  <c r="G10" i="138"/>
  <c r="H10" i="138"/>
  <c r="L10" i="138"/>
  <c r="E11" i="138"/>
  <c r="G11" i="138"/>
  <c r="H11" i="138"/>
  <c r="L11" i="138"/>
  <c r="E12" i="138"/>
  <c r="G12" i="138"/>
  <c r="H12" i="138"/>
  <c r="L12" i="138"/>
  <c r="E13" i="138"/>
  <c r="G13" i="138"/>
  <c r="H13" i="138"/>
  <c r="J13" i="138"/>
  <c r="E14" i="138"/>
  <c r="G14" i="138" s="1"/>
  <c r="H14" i="138"/>
  <c r="E15" i="138"/>
  <c r="H15" i="138"/>
  <c r="H16" i="138"/>
  <c r="H17" i="138"/>
  <c r="H18" i="138"/>
  <c r="I18" i="138"/>
  <c r="H19" i="138"/>
  <c r="H20" i="138"/>
  <c r="H21" i="138"/>
  <c r="H22" i="138"/>
  <c r="H23" i="138"/>
  <c r="H24" i="138"/>
  <c r="H25" i="138"/>
  <c r="H26" i="138"/>
  <c r="H27" i="138"/>
  <c r="H28" i="138"/>
  <c r="H29" i="138"/>
  <c r="H30" i="138"/>
  <c r="H31" i="138"/>
  <c r="H32" i="138"/>
  <c r="H33" i="138"/>
  <c r="G34" i="138"/>
  <c r="H35" i="138"/>
  <c r="D6" i="140"/>
  <c r="D7" i="140" s="1"/>
  <c r="E6" i="140"/>
  <c r="E7" i="140"/>
  <c r="I6" i="140"/>
  <c r="J6" i="140" s="1"/>
  <c r="J7" i="140" s="1"/>
  <c r="D6" i="214"/>
  <c r="F6" i="214" s="1"/>
  <c r="E6" i="214"/>
  <c r="L6" i="214" s="1"/>
  <c r="D7" i="214"/>
  <c r="F7" i="214" s="1"/>
  <c r="E7" i="214"/>
  <c r="L7" i="214" s="1"/>
  <c r="H7" i="214"/>
  <c r="K7" i="214" s="1"/>
  <c r="K8" i="214" s="1"/>
  <c r="K9" i="214" s="1"/>
  <c r="K10" i="214" s="1"/>
  <c r="K11" i="214" s="1"/>
  <c r="K12" i="214" s="1"/>
  <c r="K13" i="214" s="1"/>
  <c r="J7" i="214"/>
  <c r="D8" i="214"/>
  <c r="F8" i="214" s="1"/>
  <c r="H8" i="214"/>
  <c r="J8" i="214"/>
  <c r="J9" i="214" s="1"/>
  <c r="J10" i="214" s="1"/>
  <c r="J11" i="214" s="1"/>
  <c r="J12" i="214" s="1"/>
  <c r="J13" i="214" s="1"/>
  <c r="J14" i="214" s="1"/>
  <c r="J15" i="214" s="1"/>
  <c r="J16" i="214" s="1"/>
  <c r="J17" i="214" s="1"/>
  <c r="J18" i="214" s="1"/>
  <c r="J19" i="214" s="1"/>
  <c r="J20" i="214" s="1"/>
  <c r="J21" i="214" s="1"/>
  <c r="J22" i="214" s="1"/>
  <c r="J23" i="214" s="1"/>
  <c r="J24" i="214" s="1"/>
  <c r="J25" i="214" s="1"/>
  <c r="J26" i="214" s="1"/>
  <c r="J27" i="214" s="1"/>
  <c r="J28" i="214" s="1"/>
  <c r="J29" i="214" s="1"/>
  <c r="J30" i="214" s="1"/>
  <c r="J31" i="214" s="1"/>
  <c r="J32" i="214" s="1"/>
  <c r="J33" i="214" s="1"/>
  <c r="J34" i="214" s="1"/>
  <c r="J35" i="214" s="1"/>
  <c r="J36" i="214" s="1"/>
  <c r="J37" i="214" s="1"/>
  <c r="J38" i="214" s="1"/>
  <c r="J39" i="214" s="1"/>
  <c r="J40" i="214" s="1"/>
  <c r="J41" i="214" s="1"/>
  <c r="J42" i="214" s="1"/>
  <c r="J43" i="214" s="1"/>
  <c r="J44" i="214" s="1"/>
  <c r="J45" i="214" s="1"/>
  <c r="J46" i="214" s="1"/>
  <c r="J47" i="214" s="1"/>
  <c r="J48" i="214" s="1"/>
  <c r="J138" i="422" s="1"/>
  <c r="H9" i="214"/>
  <c r="H10" i="214"/>
  <c r="H11" i="214"/>
  <c r="H12" i="214"/>
  <c r="B13" i="214"/>
  <c r="C13" i="214"/>
  <c r="H14" i="214"/>
  <c r="H13" i="214"/>
  <c r="H15" i="214"/>
  <c r="B16" i="214"/>
  <c r="C16" i="214"/>
  <c r="H17" i="214" s="1"/>
  <c r="H16" i="214"/>
  <c r="H18" i="214"/>
  <c r="H19" i="214"/>
  <c r="H20" i="214"/>
  <c r="H21" i="214"/>
  <c r="H22" i="214"/>
  <c r="H23" i="214"/>
  <c r="H24" i="214"/>
  <c r="H25" i="214"/>
  <c r="H26" i="214"/>
  <c r="H27" i="214"/>
  <c r="H28" i="214"/>
  <c r="H29" i="214"/>
  <c r="H30" i="214"/>
  <c r="H31" i="214"/>
  <c r="H32" i="214"/>
  <c r="H33" i="214"/>
  <c r="H34" i="214"/>
  <c r="H35" i="214"/>
  <c r="H36" i="214"/>
  <c r="H37" i="214"/>
  <c r="H38" i="214"/>
  <c r="H39" i="214"/>
  <c r="H40" i="214"/>
  <c r="H41" i="214"/>
  <c r="H42" i="214"/>
  <c r="H43" i="214"/>
  <c r="H44" i="214"/>
  <c r="H45" i="214"/>
  <c r="H46" i="214"/>
  <c r="H47" i="214"/>
  <c r="H48" i="214"/>
  <c r="K138" i="422" s="1"/>
  <c r="C6" i="143"/>
  <c r="D6" i="143"/>
  <c r="E6" i="143"/>
  <c r="D7" i="143"/>
  <c r="D8" i="143" s="1"/>
  <c r="D9" i="143" s="1"/>
  <c r="D10" i="143" s="1"/>
  <c r="D11" i="143" s="1"/>
  <c r="D12" i="143" s="1"/>
  <c r="D13" i="143" s="1"/>
  <c r="D14" i="143" s="1"/>
  <c r="D15" i="143" s="1"/>
  <c r="D16" i="143" s="1"/>
  <c r="D17" i="143" s="1"/>
  <c r="D18" i="143" s="1"/>
  <c r="D19" i="143" s="1"/>
  <c r="D20" i="143" s="1"/>
  <c r="D21" i="143" s="1"/>
  <c r="D22" i="143" s="1"/>
  <c r="D23" i="143" s="1"/>
  <c r="D24" i="143" s="1"/>
  <c r="D25" i="143" s="1"/>
  <c r="D26" i="143" s="1"/>
  <c r="D27" i="143" s="1"/>
  <c r="D28" i="143" s="1"/>
  <c r="D29" i="143" s="1"/>
  <c r="D30" i="143" s="1"/>
  <c r="D31" i="143" s="1"/>
  <c r="D32" i="143" s="1"/>
  <c r="D33" i="143" s="1"/>
  <c r="D34" i="143" s="1"/>
  <c r="D35" i="143" s="1"/>
  <c r="D36" i="143" s="1"/>
  <c r="D37" i="143" s="1"/>
  <c r="D38" i="143"/>
  <c r="D39" i="143" s="1"/>
  <c r="E7" i="143"/>
  <c r="E8" i="143" s="1"/>
  <c r="L8" i="143" s="1"/>
  <c r="H7" i="143"/>
  <c r="K7" i="143" s="1"/>
  <c r="K8" i="143" s="1"/>
  <c r="K9" i="143" s="1"/>
  <c r="K10" i="143" s="1"/>
  <c r="K11" i="143" s="1"/>
  <c r="K12" i="143" s="1"/>
  <c r="K13" i="143" s="1"/>
  <c r="K14" i="143" s="1"/>
  <c r="K15" i="143" s="1"/>
  <c r="K16" i="143" s="1"/>
  <c r="K17" i="143" s="1"/>
  <c r="K18" i="143" s="1"/>
  <c r="K19" i="143" s="1"/>
  <c r="K20" i="143" s="1"/>
  <c r="K21" i="143" s="1"/>
  <c r="K22" i="143" s="1"/>
  <c r="K23" i="143" s="1"/>
  <c r="K24" i="143" s="1"/>
  <c r="K25" i="143" s="1"/>
  <c r="K26" i="143" s="1"/>
  <c r="K27" i="143" s="1"/>
  <c r="K28" i="143" s="1"/>
  <c r="K29" i="143" s="1"/>
  <c r="K30" i="143" s="1"/>
  <c r="K31" i="143" s="1"/>
  <c r="K32" i="143" s="1"/>
  <c r="L7" i="143"/>
  <c r="H8" i="143"/>
  <c r="H9" i="143"/>
  <c r="J9" i="143"/>
  <c r="H10" i="143"/>
  <c r="I10" i="143"/>
  <c r="J10" i="143"/>
  <c r="J11" i="143" s="1"/>
  <c r="H11" i="143"/>
  <c r="H12" i="143"/>
  <c r="J12" i="143"/>
  <c r="J13" i="143" s="1"/>
  <c r="H13" i="143"/>
  <c r="H14" i="143"/>
  <c r="J14" i="143"/>
  <c r="J15" i="143" s="1"/>
  <c r="J16" i="143" s="1"/>
  <c r="J17" i="143" s="1"/>
  <c r="J18" i="143" s="1"/>
  <c r="J19" i="143" s="1"/>
  <c r="J20" i="143" s="1"/>
  <c r="J21" i="143" s="1"/>
  <c r="J22" i="143" s="1"/>
  <c r="J23" i="143" s="1"/>
  <c r="J24" i="143" s="1"/>
  <c r="J25" i="143" s="1"/>
  <c r="J26" i="143" s="1"/>
  <c r="J27" i="143" s="1"/>
  <c r="J28" i="143" s="1"/>
  <c r="J29" i="143" s="1"/>
  <c r="J30" i="143" s="1"/>
  <c r="J31" i="143" s="1"/>
  <c r="J32" i="143" s="1"/>
  <c r="J33" i="143" s="1"/>
  <c r="J34" i="143" s="1"/>
  <c r="J35" i="143" s="1"/>
  <c r="J36" i="143" s="1"/>
  <c r="J37" i="143" s="1"/>
  <c r="J38" i="143" s="1"/>
  <c r="J39" i="143" s="1"/>
  <c r="J40" i="143" s="1"/>
  <c r="J41" i="143" s="1"/>
  <c r="J42" i="143" s="1"/>
  <c r="J43" i="143" s="1"/>
  <c r="J44" i="143" s="1"/>
  <c r="J45" i="143" s="1"/>
  <c r="J46" i="143" s="1"/>
  <c r="J47" i="143" s="1"/>
  <c r="J48" i="143" s="1"/>
  <c r="J49" i="143" s="1"/>
  <c r="J50" i="143" s="1"/>
  <c r="J51" i="143" s="1"/>
  <c r="J52" i="143" s="1"/>
  <c r="J53" i="143" s="1"/>
  <c r="J54" i="143" s="1"/>
  <c r="J55" i="143" s="1"/>
  <c r="J56" i="143" s="1"/>
  <c r="J57" i="143" s="1"/>
  <c r="J58" i="143" s="1"/>
  <c r="J59" i="143" s="1"/>
  <c r="J60" i="143" s="1"/>
  <c r="J61" i="143" s="1"/>
  <c r="J62" i="143" s="1"/>
  <c r="J63" i="143" s="1"/>
  <c r="J64" i="143" s="1"/>
  <c r="J65" i="143" s="1"/>
  <c r="J66" i="143" s="1"/>
  <c r="J67" i="143" s="1"/>
  <c r="J68" i="143" s="1"/>
  <c r="J69" i="143" s="1"/>
  <c r="J70" i="143" s="1"/>
  <c r="J71" i="143" s="1"/>
  <c r="J72" i="143" s="1"/>
  <c r="J73" i="143" s="1"/>
  <c r="J74" i="143" s="1"/>
  <c r="J75" i="143" s="1"/>
  <c r="J76" i="143" s="1"/>
  <c r="J77" i="143" s="1"/>
  <c r="J78" i="143" s="1"/>
  <c r="J79" i="143" s="1"/>
  <c r="J80" i="143" s="1"/>
  <c r="J81" i="143" s="1"/>
  <c r="J82" i="143" s="1"/>
  <c r="J83" i="143" s="1"/>
  <c r="J84" i="143" s="1"/>
  <c r="J85" i="143" s="1"/>
  <c r="H15" i="143"/>
  <c r="H16" i="143"/>
  <c r="H17" i="143"/>
  <c r="H18" i="143"/>
  <c r="H19" i="143"/>
  <c r="I19" i="143"/>
  <c r="H20" i="143"/>
  <c r="H21" i="143"/>
  <c r="H22" i="143"/>
  <c r="H23" i="143"/>
  <c r="H24" i="143"/>
  <c r="H25" i="143"/>
  <c r="H26" i="143"/>
  <c r="I26" i="143"/>
  <c r="H27" i="143"/>
  <c r="B28" i="143"/>
  <c r="C28" i="143"/>
  <c r="H29" i="143" s="1"/>
  <c r="H28" i="143"/>
  <c r="B29" i="143"/>
  <c r="H30" i="143"/>
  <c r="B32" i="143"/>
  <c r="C32" i="143"/>
  <c r="H33" i="143" s="1"/>
  <c r="H32" i="143"/>
  <c r="B33" i="143"/>
  <c r="C33" i="143"/>
  <c r="H34" i="143"/>
  <c r="B34" i="143"/>
  <c r="C34" i="143"/>
  <c r="H35" i="143" s="1"/>
  <c r="I35" i="143"/>
  <c r="H36" i="143"/>
  <c r="H37" i="143"/>
  <c r="H38" i="143"/>
  <c r="H39" i="143"/>
  <c r="B40" i="143"/>
  <c r="C40" i="143"/>
  <c r="H40" i="143"/>
  <c r="B41" i="143"/>
  <c r="C41" i="143"/>
  <c r="H42" i="143" s="1"/>
  <c r="H41" i="143"/>
  <c r="B42" i="143"/>
  <c r="B43" i="143"/>
  <c r="H43" i="143"/>
  <c r="H44" i="143"/>
  <c r="H45" i="143"/>
  <c r="B46" i="143"/>
  <c r="C46" i="143"/>
  <c r="H46" i="143"/>
  <c r="B47" i="143"/>
  <c r="H47" i="143"/>
  <c r="I47" i="143"/>
  <c r="B48" i="143"/>
  <c r="C48" i="143"/>
  <c r="H48" i="143"/>
  <c r="H49" i="143"/>
  <c r="B50" i="143"/>
  <c r="H50" i="143"/>
  <c r="I50" i="143"/>
  <c r="B51" i="143"/>
  <c r="C51" i="143"/>
  <c r="H51" i="143"/>
  <c r="B52" i="143"/>
  <c r="C52" i="143"/>
  <c r="H52" i="143"/>
  <c r="B53" i="143"/>
  <c r="C53" i="143"/>
  <c r="H53" i="143"/>
  <c r="B54" i="143"/>
  <c r="C54" i="143"/>
  <c r="H54" i="143"/>
  <c r="B55" i="143"/>
  <c r="C55" i="143"/>
  <c r="H55" i="143"/>
  <c r="B56" i="143"/>
  <c r="C56" i="143"/>
  <c r="H56" i="143"/>
  <c r="B57" i="143"/>
  <c r="C57" i="143"/>
  <c r="H58" i="143" s="1"/>
  <c r="H57" i="143"/>
  <c r="I57" i="143"/>
  <c r="B58" i="143"/>
  <c r="C58" i="143"/>
  <c r="H59" i="143" s="1"/>
  <c r="B59" i="143"/>
  <c r="C59" i="143"/>
  <c r="H60" i="143" s="1"/>
  <c r="B60" i="143"/>
  <c r="C60" i="143"/>
  <c r="I60" i="143"/>
  <c r="B61" i="143"/>
  <c r="C61" i="143"/>
  <c r="H61" i="143"/>
  <c r="B62" i="143"/>
  <c r="C62" i="143"/>
  <c r="H62" i="143"/>
  <c r="I62" i="143"/>
  <c r="H63" i="143"/>
  <c r="B64" i="143"/>
  <c r="C64" i="143"/>
  <c r="H65" i="143"/>
  <c r="H64" i="143"/>
  <c r="B65" i="143"/>
  <c r="C65" i="143"/>
  <c r="H66" i="143"/>
  <c r="B66" i="143"/>
  <c r="C66" i="143"/>
  <c r="H67" i="143" s="1"/>
  <c r="B68" i="143"/>
  <c r="C68" i="143"/>
  <c r="H69" i="143" s="1"/>
  <c r="H68" i="143"/>
  <c r="I68" i="143"/>
  <c r="H70" i="143"/>
  <c r="H71" i="143"/>
  <c r="H72" i="143"/>
  <c r="H73" i="143"/>
  <c r="H74" i="143"/>
  <c r="H75" i="143"/>
  <c r="B76" i="143"/>
  <c r="C76" i="143"/>
  <c r="H76" i="143"/>
  <c r="H77" i="143"/>
  <c r="H78" i="143"/>
  <c r="I78" i="143"/>
  <c r="B79" i="143"/>
  <c r="C79" i="143"/>
  <c r="H80" i="143" s="1"/>
  <c r="H79" i="143"/>
  <c r="H81" i="143"/>
  <c r="H82" i="143"/>
  <c r="H83" i="143"/>
  <c r="H84" i="143"/>
  <c r="H85" i="143"/>
  <c r="D7" i="146"/>
  <c r="E7" i="146"/>
  <c r="G7" i="146"/>
  <c r="L7" i="146"/>
  <c r="D8" i="146"/>
  <c r="E8" i="146"/>
  <c r="G8" i="146"/>
  <c r="K8" i="146"/>
  <c r="D9" i="146"/>
  <c r="D10" i="146" s="1"/>
  <c r="D11" i="146" s="1"/>
  <c r="D12" i="146" s="1"/>
  <c r="H9" i="146"/>
  <c r="K9" i="146"/>
  <c r="K10" i="146" s="1"/>
  <c r="D13" i="146"/>
  <c r="D14" i="146" s="1"/>
  <c r="D15" i="146" s="1"/>
  <c r="D16" i="146" s="1"/>
  <c r="H10" i="146"/>
  <c r="J10" i="146"/>
  <c r="J11" i="146" s="1"/>
  <c r="J12" i="146" s="1"/>
  <c r="J13" i="146"/>
  <c r="H11" i="146"/>
  <c r="H12" i="146"/>
  <c r="H74" i="146"/>
  <c r="D7" i="254"/>
  <c r="D8" i="254" s="1"/>
  <c r="D9" i="254" s="1"/>
  <c r="D10" i="254" s="1"/>
  <c r="D11" i="254" s="1"/>
  <c r="D12" i="254" s="1"/>
  <c r="D13" i="254" s="1"/>
  <c r="D14" i="254" s="1"/>
  <c r="D15" i="254" s="1"/>
  <c r="D16" i="254" s="1"/>
  <c r="D17" i="254" s="1"/>
  <c r="D18" i="254" s="1"/>
  <c r="D19" i="254" s="1"/>
  <c r="D20" i="254" s="1"/>
  <c r="D21" i="254" s="1"/>
  <c r="D22" i="254" s="1"/>
  <c r="D23" i="254" s="1"/>
  <c r="D24" i="254" s="1"/>
  <c r="D25" i="254" s="1"/>
  <c r="D26" i="254" s="1"/>
  <c r="D27" i="254" s="1"/>
  <c r="D28" i="254" s="1"/>
  <c r="E139" i="422" s="1"/>
  <c r="E7" i="254"/>
  <c r="L7" i="254" s="1"/>
  <c r="H8" i="254"/>
  <c r="K8" i="254" s="1"/>
  <c r="J8" i="254"/>
  <c r="H9" i="254"/>
  <c r="J9" i="254"/>
  <c r="H10" i="254"/>
  <c r="J10" i="254"/>
  <c r="H11" i="254"/>
  <c r="J11" i="254"/>
  <c r="H12" i="254"/>
  <c r="J12" i="254"/>
  <c r="H13" i="254"/>
  <c r="J13" i="254"/>
  <c r="H14" i="254"/>
  <c r="J14" i="254"/>
  <c r="H15" i="254"/>
  <c r="J15" i="254"/>
  <c r="H16" i="254"/>
  <c r="J16" i="254"/>
  <c r="H17" i="254"/>
  <c r="J17" i="254"/>
  <c r="B18" i="254"/>
  <c r="C18" i="254"/>
  <c r="H18" i="254"/>
  <c r="I18" i="254"/>
  <c r="J18" i="254"/>
  <c r="J19" i="254" s="1"/>
  <c r="J20" i="254" s="1"/>
  <c r="B19" i="254"/>
  <c r="C19" i="254"/>
  <c r="H20" i="254" s="1"/>
  <c r="H19" i="254"/>
  <c r="H21" i="254"/>
  <c r="J21" i="254"/>
  <c r="B22" i="254"/>
  <c r="C22" i="254"/>
  <c r="H22" i="254"/>
  <c r="I22" i="254"/>
  <c r="J22" i="254" s="1"/>
  <c r="J23" i="254" s="1"/>
  <c r="J24" i="254" s="1"/>
  <c r="J25" i="254"/>
  <c r="J26" i="254" s="1"/>
  <c r="J27" i="254" s="1"/>
  <c r="B23" i="254"/>
  <c r="C23" i="254"/>
  <c r="H24" i="254" s="1"/>
  <c r="H23" i="254"/>
  <c r="H25" i="254"/>
  <c r="B26" i="254"/>
  <c r="C26" i="254"/>
  <c r="H26" i="254"/>
  <c r="H27" i="254"/>
  <c r="H28" i="254"/>
  <c r="K139" i="422" s="1"/>
  <c r="I28" i="254"/>
  <c r="H29" i="254"/>
  <c r="D7" i="285"/>
  <c r="D8" i="285" s="1"/>
  <c r="D9" i="285" s="1"/>
  <c r="D10" i="285" s="1"/>
  <c r="D11" i="285" s="1"/>
  <c r="D12" i="285" s="1"/>
  <c r="D13" i="285" s="1"/>
  <c r="D14" i="285" s="1"/>
  <c r="D15" i="285" s="1"/>
  <c r="D16" i="285" s="1"/>
  <c r="D17" i="285" s="1"/>
  <c r="D18" i="285" s="1"/>
  <c r="D19" i="285" s="1"/>
  <c r="E140" i="422" s="1"/>
  <c r="E7" i="285"/>
  <c r="L7" i="285" s="1"/>
  <c r="E8" i="285"/>
  <c r="E9" i="285" s="1"/>
  <c r="G9" i="285" s="1"/>
  <c r="H8" i="285"/>
  <c r="K8" i="285"/>
  <c r="K9" i="285" s="1"/>
  <c r="L8" i="285"/>
  <c r="H9" i="285"/>
  <c r="J9" i="285"/>
  <c r="H10" i="285"/>
  <c r="H11" i="285"/>
  <c r="H12" i="285"/>
  <c r="H13" i="285"/>
  <c r="H14" i="285"/>
  <c r="H15" i="285"/>
  <c r="B16" i="285"/>
  <c r="C16" i="285"/>
  <c r="H17" i="285" s="1"/>
  <c r="H16" i="285"/>
  <c r="J16" i="285"/>
  <c r="J17" i="285"/>
  <c r="J18" i="285"/>
  <c r="J19" i="285" s="1"/>
  <c r="J140" i="422" s="1"/>
  <c r="H18" i="285"/>
  <c r="H19" i="285"/>
  <c r="K140" i="422" s="1"/>
  <c r="H20" i="285"/>
  <c r="D7" i="355"/>
  <c r="D8" i="355" s="1"/>
  <c r="D9" i="355" s="1"/>
  <c r="D10" i="355" s="1"/>
  <c r="D11" i="355" s="1"/>
  <c r="D12" i="355" s="1"/>
  <c r="E141" i="422" s="1"/>
  <c r="E7" i="355"/>
  <c r="H8" i="355"/>
  <c r="K8" i="355" s="1"/>
  <c r="K9" i="355" s="1"/>
  <c r="K10" i="355" s="1"/>
  <c r="K11" i="355" s="1"/>
  <c r="K12" i="355" s="1"/>
  <c r="H9" i="355"/>
  <c r="H10" i="355"/>
  <c r="H11" i="355"/>
  <c r="J11" i="355"/>
  <c r="H12" i="355"/>
  <c r="K141" i="422" s="1"/>
  <c r="J12" i="355"/>
  <c r="J141" i="422" s="1"/>
  <c r="H13" i="355"/>
  <c r="D7" i="351"/>
  <c r="E7" i="351"/>
  <c r="G7" i="351"/>
  <c r="L7" i="351"/>
  <c r="D8" i="351"/>
  <c r="E8" i="351"/>
  <c r="G8" i="351"/>
  <c r="H8" i="351"/>
  <c r="K8" i="351" s="1"/>
  <c r="K9" i="351" s="1"/>
  <c r="K10" i="351" s="1"/>
  <c r="K11" i="351" s="1"/>
  <c r="K12" i="351" s="1"/>
  <c r="K13" i="351" s="1"/>
  <c r="K14" i="351" s="1"/>
  <c r="K15" i="351" s="1"/>
  <c r="K16" i="351" s="1"/>
  <c r="L8" i="351"/>
  <c r="D9" i="351"/>
  <c r="D10" i="351" s="1"/>
  <c r="D11" i="351" s="1"/>
  <c r="D12" i="351" s="1"/>
  <c r="D13" i="351" s="1"/>
  <c r="D14" i="351" s="1"/>
  <c r="D15" i="351" s="1"/>
  <c r="D16" i="351" s="1"/>
  <c r="E142" i="422" s="1"/>
  <c r="E9" i="351"/>
  <c r="L9" i="351" s="1"/>
  <c r="H9" i="351"/>
  <c r="J9" i="351"/>
  <c r="H10" i="351"/>
  <c r="H11" i="351"/>
  <c r="I11" i="351"/>
  <c r="J11" i="351" s="1"/>
  <c r="J12" i="351" s="1"/>
  <c r="H12" i="351"/>
  <c r="H13" i="351"/>
  <c r="I13" i="351"/>
  <c r="H14" i="351"/>
  <c r="C15" i="351"/>
  <c r="H15" i="351"/>
  <c r="H16" i="351"/>
  <c r="K142" i="422" s="1"/>
  <c r="H17" i="351"/>
  <c r="C7" i="394"/>
  <c r="E7" i="394" s="1"/>
  <c r="H9" i="394"/>
  <c r="D7" i="394"/>
  <c r="D8" i="394" s="1"/>
  <c r="L7" i="394"/>
  <c r="G8" i="394"/>
  <c r="H8" i="394"/>
  <c r="K8" i="394" s="1"/>
  <c r="K9" i="394" s="1"/>
  <c r="D7" i="132"/>
  <c r="E7" i="132"/>
  <c r="L7" i="132" s="1"/>
  <c r="F7" i="132"/>
  <c r="D8" i="132"/>
  <c r="F8" i="132"/>
  <c r="K8" i="132"/>
  <c r="K9" i="132" s="1"/>
  <c r="D9" i="132"/>
  <c r="D10" i="132" s="1"/>
  <c r="D11" i="132" s="1"/>
  <c r="D12" i="132" s="1"/>
  <c r="D13" i="132" s="1"/>
  <c r="F9" i="132"/>
  <c r="F10" i="132"/>
  <c r="K10" i="132"/>
  <c r="K11" i="132" s="1"/>
  <c r="K12" i="132" s="1"/>
  <c r="K13" i="132" s="1"/>
  <c r="K14" i="132" s="1"/>
  <c r="K15" i="132" s="1"/>
  <c r="K16" i="132" s="1"/>
  <c r="K17" i="132" s="1"/>
  <c r="K18" i="132" s="1"/>
  <c r="K19" i="132" s="1"/>
  <c r="K20" i="132" s="1"/>
  <c r="K21" i="132" s="1"/>
  <c r="K22" i="132" s="1"/>
  <c r="K23" i="132" s="1"/>
  <c r="K24" i="132" s="1"/>
  <c r="K25" i="132" s="1"/>
  <c r="K26" i="132" s="1"/>
  <c r="K27" i="132" s="1"/>
  <c r="K28" i="132" s="1"/>
  <c r="F11" i="132"/>
  <c r="D14" i="132"/>
  <c r="D15" i="132" s="1"/>
  <c r="D16" i="132" s="1"/>
  <c r="D17" i="132" s="1"/>
  <c r="D18" i="132" s="1"/>
  <c r="D19" i="132" s="1"/>
  <c r="D20" i="132" s="1"/>
  <c r="D21" i="132" s="1"/>
  <c r="D22" i="132" s="1"/>
  <c r="D23" i="132" s="1"/>
  <c r="D24" i="132" s="1"/>
  <c r="D25" i="132" s="1"/>
  <c r="D26" i="132" s="1"/>
  <c r="D27" i="132" s="1"/>
  <c r="D28" i="132" s="1"/>
  <c r="F12" i="132"/>
  <c r="F13" i="132"/>
  <c r="F14" i="132"/>
  <c r="H14" i="132"/>
  <c r="H15" i="132"/>
  <c r="J15" i="132"/>
  <c r="J16" i="132" s="1"/>
  <c r="H16" i="132"/>
  <c r="H17" i="132"/>
  <c r="J17" i="132"/>
  <c r="J18" i="132" s="1"/>
  <c r="J19" i="132" s="1"/>
  <c r="J20" i="132" s="1"/>
  <c r="J21" i="132" s="1"/>
  <c r="J22" i="132" s="1"/>
  <c r="J23" i="132" s="1"/>
  <c r="J24" i="132" s="1"/>
  <c r="J25" i="132" s="1"/>
  <c r="J26" i="132" s="1"/>
  <c r="J27" i="132" s="1"/>
  <c r="J28" i="132" s="1"/>
  <c r="H18" i="132"/>
  <c r="H19" i="132"/>
  <c r="H20" i="132"/>
  <c r="H21" i="132"/>
  <c r="H22" i="132"/>
  <c r="H23" i="132"/>
  <c r="H24" i="132"/>
  <c r="H25" i="132"/>
  <c r="H26" i="132"/>
  <c r="H27" i="132"/>
  <c r="H28" i="132"/>
  <c r="B35" i="132"/>
  <c r="D35" i="132"/>
  <c r="E35" i="132"/>
  <c r="L35" i="132" s="1"/>
  <c r="G35" i="132"/>
  <c r="K36" i="132"/>
  <c r="K37" i="132" s="1"/>
  <c r="B37" i="132"/>
  <c r="C37" i="132"/>
  <c r="J38" i="132"/>
  <c r="J39" i="132" s="1"/>
  <c r="J40" i="132" s="1"/>
  <c r="H39" i="132"/>
  <c r="J41" i="132"/>
  <c r="J42" i="132"/>
  <c r="J43" i="132" s="1"/>
  <c r="H40" i="132"/>
  <c r="H41" i="132"/>
  <c r="H42" i="132"/>
  <c r="H43" i="132"/>
  <c r="H44" i="132"/>
  <c r="I44" i="132"/>
  <c r="H45" i="132"/>
  <c r="I45" i="132"/>
  <c r="H46" i="132"/>
  <c r="H47" i="132"/>
  <c r="C48" i="132"/>
  <c r="H49" i="132"/>
  <c r="H48" i="132"/>
  <c r="H50" i="132"/>
  <c r="H51" i="132"/>
  <c r="H52" i="132"/>
  <c r="H53" i="132"/>
  <c r="H54" i="132"/>
  <c r="H55" i="132"/>
  <c r="H56" i="132"/>
  <c r="H57" i="132"/>
  <c r="H58" i="132"/>
  <c r="B59" i="132"/>
  <c r="C59" i="132"/>
  <c r="H60" i="132"/>
  <c r="H59" i="132"/>
  <c r="H61" i="132"/>
  <c r="H62" i="132"/>
  <c r="H63" i="132"/>
  <c r="H64" i="132"/>
  <c r="H65" i="132"/>
  <c r="H66" i="132"/>
  <c r="H67" i="132"/>
  <c r="H68" i="132"/>
  <c r="H69" i="132"/>
  <c r="H70" i="132"/>
  <c r="H71" i="132"/>
  <c r="B72" i="132"/>
  <c r="C72" i="132"/>
  <c r="H73" i="132"/>
  <c r="H72" i="132"/>
  <c r="B73" i="132"/>
  <c r="C73" i="132"/>
  <c r="H74" i="132"/>
  <c r="B74" i="132"/>
  <c r="C74" i="132"/>
  <c r="H75" i="132" s="1"/>
  <c r="H76" i="132"/>
  <c r="B77" i="132"/>
  <c r="C77" i="132"/>
  <c r="H78" i="132" s="1"/>
  <c r="H77" i="132"/>
  <c r="B79" i="132"/>
  <c r="C79" i="132"/>
  <c r="H80" i="132" s="1"/>
  <c r="H79" i="132"/>
  <c r="H81" i="132"/>
  <c r="H82" i="132"/>
  <c r="B83" i="132"/>
  <c r="C83" i="132"/>
  <c r="H84" i="132"/>
  <c r="H83" i="132"/>
  <c r="H85" i="132"/>
  <c r="H86" i="132"/>
  <c r="H87" i="132"/>
  <c r="H88" i="132"/>
  <c r="K136" i="422" s="1"/>
  <c r="H89" i="132"/>
  <c r="D7" i="161"/>
  <c r="E7" i="161"/>
  <c r="L7" i="161" s="1"/>
  <c r="G7" i="161"/>
  <c r="D8" i="161"/>
  <c r="D9" i="161" s="1"/>
  <c r="G9" i="161"/>
  <c r="H9" i="161"/>
  <c r="I9" i="161"/>
  <c r="J9" i="161" s="1"/>
  <c r="J10" i="161" s="1"/>
  <c r="J11" i="161" s="1"/>
  <c r="J12" i="161" s="1"/>
  <c r="J13" i="161" s="1"/>
  <c r="J14" i="161" s="1"/>
  <c r="J15" i="161" s="1"/>
  <c r="J16" i="161"/>
  <c r="J17" i="161" s="1"/>
  <c r="J18" i="161" s="1"/>
  <c r="J19" i="161" s="1"/>
  <c r="J20" i="161" s="1"/>
  <c r="K9" i="161"/>
  <c r="K10" i="161" s="1"/>
  <c r="D10" i="161"/>
  <c r="D11" i="161" s="1"/>
  <c r="D12" i="161" s="1"/>
  <c r="D13" i="161" s="1"/>
  <c r="D14" i="161" s="1"/>
  <c r="D15" i="161" s="1"/>
  <c r="D16" i="161" s="1"/>
  <c r="D17" i="161" s="1"/>
  <c r="D18" i="161"/>
  <c r="D19" i="161" s="1"/>
  <c r="D20" i="161" s="1"/>
  <c r="D21" i="161" s="1"/>
  <c r="D22" i="161" s="1"/>
  <c r="D23" i="161" s="1"/>
  <c r="D24" i="161" s="1"/>
  <c r="D25" i="161" s="1"/>
  <c r="D26" i="161" s="1"/>
  <c r="D27" i="161" s="1"/>
  <c r="D28" i="161" s="1"/>
  <c r="D29" i="161" s="1"/>
  <c r="D30" i="161" s="1"/>
  <c r="D31" i="161" s="1"/>
  <c r="D32" i="161" s="1"/>
  <c r="D33" i="161" s="1"/>
  <c r="D34" i="161" s="1"/>
  <c r="D35" i="161" s="1"/>
  <c r="D36" i="161" s="1"/>
  <c r="D37" i="161" s="1"/>
  <c r="D38" i="161" s="1"/>
  <c r="D39" i="161" s="1"/>
  <c r="H10" i="161"/>
  <c r="H11" i="161"/>
  <c r="I11" i="161"/>
  <c r="H12" i="161"/>
  <c r="H13" i="161"/>
  <c r="H14" i="161"/>
  <c r="H15" i="161"/>
  <c r="H16" i="161"/>
  <c r="H17" i="161"/>
  <c r="H18" i="161"/>
  <c r="H19" i="161"/>
  <c r="H20" i="161"/>
  <c r="H21" i="161"/>
  <c r="I21" i="161"/>
  <c r="H22" i="161"/>
  <c r="H23" i="161"/>
  <c r="H24" i="161"/>
  <c r="H25" i="161"/>
  <c r="H26" i="161"/>
  <c r="H27" i="161"/>
  <c r="H28" i="161"/>
  <c r="I28" i="161"/>
  <c r="H29" i="161"/>
  <c r="H30" i="161"/>
  <c r="H31" i="161"/>
  <c r="H32" i="161"/>
  <c r="H33" i="161"/>
  <c r="H34" i="161"/>
  <c r="H35" i="161"/>
  <c r="H36" i="161"/>
  <c r="H37" i="161"/>
  <c r="H38" i="161"/>
  <c r="H39" i="161"/>
  <c r="H40" i="161"/>
  <c r="D7" i="163"/>
  <c r="E7" i="163"/>
  <c r="G7" i="163" s="1"/>
  <c r="L7" i="163"/>
  <c r="D8" i="163"/>
  <c r="D9" i="163" s="1"/>
  <c r="D10" i="163" s="1"/>
  <c r="D11" i="163" s="1"/>
  <c r="D12" i="163" s="1"/>
  <c r="D13" i="163" s="1"/>
  <c r="D14" i="163" s="1"/>
  <c r="D15" i="163" s="1"/>
  <c r="D16" i="163" s="1"/>
  <c r="D17" i="163" s="1"/>
  <c r="D18" i="163" s="1"/>
  <c r="D19" i="163" s="1"/>
  <c r="D20" i="163" s="1"/>
  <c r="D21" i="163" s="1"/>
  <c r="D22" i="163" s="1"/>
  <c r="D23" i="163" s="1"/>
  <c r="D24" i="163" s="1"/>
  <c r="D25" i="163" s="1"/>
  <c r="D26" i="163" s="1"/>
  <c r="D27" i="163" s="1"/>
  <c r="D28" i="163" s="1"/>
  <c r="D29" i="163" s="1"/>
  <c r="D30" i="163" s="1"/>
  <c r="D31" i="163" s="1"/>
  <c r="D32" i="163" s="1"/>
  <c r="D33" i="163" s="1"/>
  <c r="D34" i="163" s="1"/>
  <c r="D35" i="163" s="1"/>
  <c r="D36" i="163" s="1"/>
  <c r="D37" i="163" s="1"/>
  <c r="D38" i="163" s="1"/>
  <c r="D39" i="163" s="1"/>
  <c r="E153" i="422" s="1"/>
  <c r="E8" i="163"/>
  <c r="G8" i="163" s="1"/>
  <c r="K8" i="163"/>
  <c r="K9" i="163" s="1"/>
  <c r="K10" i="163" s="1"/>
  <c r="K11" i="163" s="1"/>
  <c r="K12" i="163"/>
  <c r="K13" i="163" s="1"/>
  <c r="K14" i="163" s="1"/>
  <c r="H14" i="163"/>
  <c r="C15" i="163"/>
  <c r="H15" i="163"/>
  <c r="H16" i="163"/>
  <c r="H17" i="163"/>
  <c r="H18" i="163"/>
  <c r="H19" i="163"/>
  <c r="B20" i="163"/>
  <c r="H20" i="163"/>
  <c r="H21" i="163"/>
  <c r="I21" i="163"/>
  <c r="J21" i="163" s="1"/>
  <c r="J22" i="163" s="1"/>
  <c r="J23" i="163" s="1"/>
  <c r="J24" i="163" s="1"/>
  <c r="J25" i="163" s="1"/>
  <c r="H22" i="163"/>
  <c r="I22" i="163"/>
  <c r="B23" i="163"/>
  <c r="C23" i="163"/>
  <c r="H23" i="163"/>
  <c r="B24" i="163"/>
  <c r="C24" i="163"/>
  <c r="H30" i="163" s="1"/>
  <c r="H24" i="163"/>
  <c r="B25" i="163"/>
  <c r="C25" i="163"/>
  <c r="H31" i="163"/>
  <c r="H25" i="163"/>
  <c r="B26" i="163"/>
  <c r="C26" i="163"/>
  <c r="H26" i="163"/>
  <c r="I26" i="163"/>
  <c r="H27" i="163"/>
  <c r="H28" i="163"/>
  <c r="H29" i="163"/>
  <c r="I31" i="163"/>
  <c r="B32" i="163"/>
  <c r="C32" i="163"/>
  <c r="H32" i="163"/>
  <c r="H33" i="163"/>
  <c r="H34" i="163"/>
  <c r="H35" i="163"/>
  <c r="H36" i="163"/>
  <c r="I36" i="163"/>
  <c r="B37" i="163"/>
  <c r="C37" i="163"/>
  <c r="H37" i="163"/>
  <c r="I37" i="163"/>
  <c r="H38" i="163"/>
  <c r="H39" i="163"/>
  <c r="K153" i="422" s="1"/>
  <c r="I39" i="163"/>
  <c r="H40" i="163"/>
  <c r="D7" i="368"/>
  <c r="E7" i="368"/>
  <c r="D8" i="368"/>
  <c r="D9" i="368" s="1"/>
  <c r="E8" i="368"/>
  <c r="G8" i="368" s="1"/>
  <c r="K8" i="368"/>
  <c r="D10" i="368"/>
  <c r="D11" i="368" s="1"/>
  <c r="D12" i="368" s="1"/>
  <c r="D13" i="368" s="1"/>
  <c r="D14" i="368" s="1"/>
  <c r="D15" i="368" s="1"/>
  <c r="D16" i="368" s="1"/>
  <c r="D17" i="368" s="1"/>
  <c r="D18" i="368" s="1"/>
  <c r="D19" i="368" s="1"/>
  <c r="D20" i="368" s="1"/>
  <c r="D21" i="368" s="1"/>
  <c r="E154" i="422" s="1"/>
  <c r="H13" i="368"/>
  <c r="K13" i="368" s="1"/>
  <c r="K14" i="368" s="1"/>
  <c r="K15" i="368" s="1"/>
  <c r="K16" i="368"/>
  <c r="K17" i="368" s="1"/>
  <c r="K18" i="368" s="1"/>
  <c r="H14" i="368"/>
  <c r="J14" i="368"/>
  <c r="J15" i="368" s="1"/>
  <c r="J16" i="368" s="1"/>
  <c r="J17" i="368" s="1"/>
  <c r="H15" i="368"/>
  <c r="H16" i="368"/>
  <c r="H17" i="368"/>
  <c r="H18" i="368"/>
  <c r="I18" i="368"/>
  <c r="H19" i="368"/>
  <c r="I19" i="368"/>
  <c r="K19" i="368" s="1"/>
  <c r="K20" i="368" s="1"/>
  <c r="K21" i="368" s="1"/>
  <c r="K22" i="368" s="1"/>
  <c r="H20" i="368"/>
  <c r="H21" i="368"/>
  <c r="K154" i="422" s="1"/>
  <c r="I21" i="368"/>
  <c r="H22" i="368"/>
  <c r="D8" i="325"/>
  <c r="E8" i="325"/>
  <c r="D9" i="325"/>
  <c r="D10" i="325" s="1"/>
  <c r="D11" i="325" s="1"/>
  <c r="D12" i="325" s="1"/>
  <c r="D13" i="325" s="1"/>
  <c r="D14" i="325" s="1"/>
  <c r="D15" i="325" s="1"/>
  <c r="D16" i="325" s="1"/>
  <c r="D17" i="325" s="1"/>
  <c r="D18" i="325" s="1"/>
  <c r="D19" i="325" s="1"/>
  <c r="D20" i="325" s="1"/>
  <c r="D21" i="325" s="1"/>
  <c r="D22" i="325" s="1"/>
  <c r="D23" i="325" s="1"/>
  <c r="D24" i="325" s="1"/>
  <c r="D25" i="325" s="1"/>
  <c r="D26" i="325" s="1"/>
  <c r="D27" i="325" s="1"/>
  <c r="D28" i="325" s="1"/>
  <c r="D29" i="325" s="1"/>
  <c r="D30" i="325" s="1"/>
  <c r="D31" i="325" s="1"/>
  <c r="D32" i="325" s="1"/>
  <c r="D33" i="325" s="1"/>
  <c r="D34" i="325" s="1"/>
  <c r="D35" i="325" s="1"/>
  <c r="D36" i="325" s="1"/>
  <c r="D37" i="325" s="1"/>
  <c r="E9" i="325"/>
  <c r="H9" i="325"/>
  <c r="K9" i="325"/>
  <c r="K10" i="325"/>
  <c r="K11" i="325" s="1"/>
  <c r="K12" i="325" s="1"/>
  <c r="K13" i="325" s="1"/>
  <c r="K14" i="325" s="1"/>
  <c r="K15" i="325" s="1"/>
  <c r="K16" i="325" s="1"/>
  <c r="K17" i="325" s="1"/>
  <c r="K18" i="325" s="1"/>
  <c r="K19" i="325" s="1"/>
  <c r="K20" i="325" s="1"/>
  <c r="K21" i="325" s="1"/>
  <c r="K22" i="325" s="1"/>
  <c r="K23" i="325" s="1"/>
  <c r="K24" i="325" s="1"/>
  <c r="K25" i="325" s="1"/>
  <c r="K26" i="325" s="1"/>
  <c r="K27" i="325" s="1"/>
  <c r="K28" i="325" s="1"/>
  <c r="K29" i="325" s="1"/>
  <c r="K30" i="325" s="1"/>
  <c r="K31" i="325" s="1"/>
  <c r="K32" i="325" s="1"/>
  <c r="K33" i="325" s="1"/>
  <c r="K34" i="325" s="1"/>
  <c r="K35" i="325" s="1"/>
  <c r="K36" i="325" s="1"/>
  <c r="K37" i="325" s="1"/>
  <c r="K38" i="325" s="1"/>
  <c r="H10" i="325"/>
  <c r="H11" i="325"/>
  <c r="H12" i="325"/>
  <c r="J12" i="325"/>
  <c r="J13" i="325" s="1"/>
  <c r="J14" i="325" s="1"/>
  <c r="J15" i="325" s="1"/>
  <c r="J16" i="325" s="1"/>
  <c r="H13" i="325"/>
  <c r="J17" i="325"/>
  <c r="J18" i="325" s="1"/>
  <c r="J19" i="325" s="1"/>
  <c r="J20" i="325" s="1"/>
  <c r="J21" i="325" s="1"/>
  <c r="J22" i="325" s="1"/>
  <c r="H14" i="325"/>
  <c r="P17" i="325" s="1"/>
  <c r="Q17" i="325" s="1"/>
  <c r="H15" i="325"/>
  <c r="H16" i="325"/>
  <c r="O16" i="325"/>
  <c r="H17" i="325"/>
  <c r="H18" i="325"/>
  <c r="H19" i="325"/>
  <c r="H20" i="325"/>
  <c r="H21" i="325"/>
  <c r="H22" i="325"/>
  <c r="H23" i="325"/>
  <c r="I23" i="325"/>
  <c r="H24" i="325"/>
  <c r="H25" i="325"/>
  <c r="H26" i="325"/>
  <c r="C27" i="325"/>
  <c r="H28" i="325" s="1"/>
  <c r="H27" i="325"/>
  <c r="H29" i="325"/>
  <c r="I29" i="325"/>
  <c r="H30" i="325"/>
  <c r="H31" i="325"/>
  <c r="H32" i="325"/>
  <c r="H33" i="325"/>
  <c r="H34" i="325"/>
  <c r="H35" i="325"/>
  <c r="H36" i="325"/>
  <c r="H37" i="325"/>
  <c r="H38" i="325"/>
  <c r="C8" i="362"/>
  <c r="D8" i="362"/>
  <c r="D9" i="362" s="1"/>
  <c r="D10" i="362" s="1"/>
  <c r="D11" i="362" s="1"/>
  <c r="D12" i="362" s="1"/>
  <c r="D13" i="362" s="1"/>
  <c r="C9" i="362"/>
  <c r="H10" i="362" s="1"/>
  <c r="C10" i="362"/>
  <c r="H11" i="362" s="1"/>
  <c r="C11" i="362"/>
  <c r="H12" i="362"/>
  <c r="C12" i="362"/>
  <c r="H13" i="362"/>
  <c r="H14" i="362"/>
  <c r="C8" i="388"/>
  <c r="H9" i="388" s="1"/>
  <c r="K9" i="388" s="1"/>
  <c r="D8" i="388"/>
  <c r="E8" i="388"/>
  <c r="C9" i="388"/>
  <c r="E9" i="388" s="1"/>
  <c r="D9" i="388"/>
  <c r="D10" i="388" s="1"/>
  <c r="D11" i="388" s="1"/>
  <c r="C10" i="388"/>
  <c r="H11" i="388" s="1"/>
  <c r="H12" i="388"/>
  <c r="D8" i="397"/>
  <c r="E8" i="397"/>
  <c r="D9" i="397"/>
  <c r="E9" i="397"/>
  <c r="G9" i="397"/>
  <c r="H9" i="397"/>
  <c r="K9" i="397"/>
  <c r="L9" i="397"/>
  <c r="B8" i="400"/>
  <c r="C8" i="400"/>
  <c r="G8" i="400"/>
  <c r="D8" i="400"/>
  <c r="D9" i="400" s="1"/>
  <c r="E8" i="400"/>
  <c r="L8" i="400" s="1"/>
  <c r="E9" i="400"/>
  <c r="L9" i="400" s="1"/>
  <c r="K9" i="400"/>
  <c r="D7" i="169"/>
  <c r="E7" i="169"/>
  <c r="L7" i="169" s="1"/>
  <c r="G7" i="169"/>
  <c r="D8" i="169"/>
  <c r="E8" i="169"/>
  <c r="L8" i="169" s="1"/>
  <c r="G8" i="169"/>
  <c r="H8" i="169"/>
  <c r="K8" i="169"/>
  <c r="K9" i="169" s="1"/>
  <c r="K10" i="169" s="1"/>
  <c r="K11" i="169" s="1"/>
  <c r="K12" i="169" s="1"/>
  <c r="K13" i="169"/>
  <c r="K14" i="169" s="1"/>
  <c r="K15" i="169" s="1"/>
  <c r="K16" i="169" s="1"/>
  <c r="K17" i="169" s="1"/>
  <c r="K18" i="169" s="1"/>
  <c r="K19" i="169" s="1"/>
  <c r="K20" i="169" s="1"/>
  <c r="K21" i="169" s="1"/>
  <c r="K22" i="169" s="1"/>
  <c r="I160" i="422" s="1"/>
  <c r="D9" i="169"/>
  <c r="E9" i="169"/>
  <c r="H9" i="169"/>
  <c r="L9" i="169"/>
  <c r="D10" i="169"/>
  <c r="D11" i="169" s="1"/>
  <c r="D12" i="169" s="1"/>
  <c r="D13" i="169" s="1"/>
  <c r="D14" i="169" s="1"/>
  <c r="D15" i="169" s="1"/>
  <c r="D16" i="169" s="1"/>
  <c r="D17" i="169" s="1"/>
  <c r="D18" i="169" s="1"/>
  <c r="D19" i="169" s="1"/>
  <c r="D20" i="169" s="1"/>
  <c r="D21" i="169" s="1"/>
  <c r="D22" i="169" s="1"/>
  <c r="E160" i="422" s="1"/>
  <c r="H10" i="169"/>
  <c r="J10" i="169"/>
  <c r="J11" i="169" s="1"/>
  <c r="H11" i="169"/>
  <c r="J12" i="169"/>
  <c r="J13" i="169"/>
  <c r="J14" i="169" s="1"/>
  <c r="J15" i="169" s="1"/>
  <c r="J16" i="169" s="1"/>
  <c r="J17" i="169" s="1"/>
  <c r="J18" i="169" s="1"/>
  <c r="J19" i="169" s="1"/>
  <c r="J20" i="169" s="1"/>
  <c r="J21" i="169" s="1"/>
  <c r="J22" i="169" s="1"/>
  <c r="H12" i="169"/>
  <c r="H13" i="169"/>
  <c r="H14" i="169"/>
  <c r="H15" i="169"/>
  <c r="H16" i="169"/>
  <c r="H17" i="169"/>
  <c r="H18" i="169"/>
  <c r="H19" i="169"/>
  <c r="H20" i="169"/>
  <c r="H21" i="169"/>
  <c r="H22" i="169"/>
  <c r="H23" i="169"/>
  <c r="D7" i="170"/>
  <c r="D8" i="170"/>
  <c r="D9" i="170" s="1"/>
  <c r="D10" i="170" s="1"/>
  <c r="D11" i="170" s="1"/>
  <c r="D12" i="170" s="1"/>
  <c r="D13" i="170" s="1"/>
  <c r="E7" i="170"/>
  <c r="G7" i="170"/>
  <c r="H7" i="170"/>
  <c r="L7" i="170"/>
  <c r="E8" i="170"/>
  <c r="G8" i="170"/>
  <c r="H8" i="170"/>
  <c r="K8" i="170" s="1"/>
  <c r="J8" i="170"/>
  <c r="J9" i="170" s="1"/>
  <c r="J10" i="170" s="1"/>
  <c r="J11" i="170" s="1"/>
  <c r="J12" i="170" s="1"/>
  <c r="J13" i="170" s="1"/>
  <c r="H13" i="170"/>
  <c r="D20" i="170"/>
  <c r="D21" i="170" s="1"/>
  <c r="D22" i="170" s="1"/>
  <c r="D23" i="170" s="1"/>
  <c r="D24" i="170" s="1"/>
  <c r="D25" i="170" s="1"/>
  <c r="D26" i="170" s="1"/>
  <c r="D27" i="170" s="1"/>
  <c r="D28" i="170" s="1"/>
  <c r="D29" i="170" s="1"/>
  <c r="D30" i="170" s="1"/>
  <c r="D31" i="170" s="1"/>
  <c r="D32" i="170" s="1"/>
  <c r="D33" i="170" s="1"/>
  <c r="D34" i="170" s="1"/>
  <c r="D35" i="170" s="1"/>
  <c r="D36" i="170" s="1"/>
  <c r="D37" i="170" s="1"/>
  <c r="D38" i="170" s="1"/>
  <c r="D39" i="170" s="1"/>
  <c r="D40" i="170" s="1"/>
  <c r="D41" i="170" s="1"/>
  <c r="E161" i="422" s="1"/>
  <c r="E20" i="170"/>
  <c r="G20" i="170" s="1"/>
  <c r="L20" i="170"/>
  <c r="E21" i="170"/>
  <c r="G21" i="170" s="1"/>
  <c r="H21" i="170"/>
  <c r="K21" i="170" s="1"/>
  <c r="K22" i="170" s="1"/>
  <c r="L21" i="170"/>
  <c r="E22" i="170"/>
  <c r="H22" i="170"/>
  <c r="I22" i="170"/>
  <c r="J22" i="170"/>
  <c r="H23" i="170"/>
  <c r="H24" i="170"/>
  <c r="I24" i="170"/>
  <c r="H25" i="170"/>
  <c r="H26" i="170"/>
  <c r="H27" i="170"/>
  <c r="H28" i="170"/>
  <c r="I28" i="170"/>
  <c r="H29" i="170"/>
  <c r="H30" i="170"/>
  <c r="H32" i="170"/>
  <c r="H33" i="170"/>
  <c r="H34" i="170"/>
  <c r="H35" i="170"/>
  <c r="H36" i="170"/>
  <c r="H37" i="170"/>
  <c r="H38" i="170"/>
  <c r="I41" i="170"/>
  <c r="D7" i="340"/>
  <c r="E7" i="340"/>
  <c r="G7" i="340"/>
  <c r="L7" i="340"/>
  <c r="D8" i="340"/>
  <c r="E8" i="340"/>
  <c r="G8" i="340"/>
  <c r="H8" i="340"/>
  <c r="K8" i="340" s="1"/>
  <c r="K9" i="340" s="1"/>
  <c r="J8" i="340"/>
  <c r="L8" i="340"/>
  <c r="D9" i="340"/>
  <c r="E9" i="340"/>
  <c r="G9" i="340"/>
  <c r="H9" i="340"/>
  <c r="J9" i="340"/>
  <c r="L9" i="340" s="1"/>
  <c r="D10" i="340"/>
  <c r="D11" i="340" s="1"/>
  <c r="D12" i="340" s="1"/>
  <c r="E10" i="340"/>
  <c r="H10" i="340"/>
  <c r="J10" i="340"/>
  <c r="J11" i="340" s="1"/>
  <c r="J12" i="340" s="1"/>
  <c r="K10" i="340"/>
  <c r="E11" i="340"/>
  <c r="H11" i="340"/>
  <c r="K11" i="340"/>
  <c r="K12" i="340" s="1"/>
  <c r="K13" i="340" s="1"/>
  <c r="H12" i="340"/>
  <c r="D13" i="340"/>
  <c r="H13" i="340"/>
  <c r="J13" i="340"/>
  <c r="D14" i="340"/>
  <c r="D15" i="340" s="1"/>
  <c r="D16" i="340" s="1"/>
  <c r="D17" i="340" s="1"/>
  <c r="D18" i="340" s="1"/>
  <c r="D19" i="340" s="1"/>
  <c r="D20" i="340" s="1"/>
  <c r="D21" i="340" s="1"/>
  <c r="D22" i="340" s="1"/>
  <c r="D23" i="340" s="1"/>
  <c r="D24" i="340" s="1"/>
  <c r="D25" i="340" s="1"/>
  <c r="D26" i="340" s="1"/>
  <c r="H14" i="340"/>
  <c r="J14" i="340"/>
  <c r="J15" i="340" s="1"/>
  <c r="J16" i="340" s="1"/>
  <c r="K14" i="340"/>
  <c r="K15" i="340" s="1"/>
  <c r="K16" i="340" s="1"/>
  <c r="K17" i="340" s="1"/>
  <c r="H15" i="340"/>
  <c r="H16" i="340"/>
  <c r="H17" i="340"/>
  <c r="J17" i="340"/>
  <c r="J18" i="340" s="1"/>
  <c r="J19" i="340" s="1"/>
  <c r="J20" i="340" s="1"/>
  <c r="J21" i="340" s="1"/>
  <c r="J22" i="340" s="1"/>
  <c r="H19" i="340"/>
  <c r="H20" i="340"/>
  <c r="H21" i="340"/>
  <c r="H22" i="340"/>
  <c r="H23" i="340"/>
  <c r="J23" i="340"/>
  <c r="J24" i="340" s="1"/>
  <c r="H24" i="340"/>
  <c r="H25" i="340"/>
  <c r="J25" i="340"/>
  <c r="J26" i="340" s="1"/>
  <c r="H26" i="340"/>
  <c r="D7" i="342"/>
  <c r="E159" i="422" s="1"/>
  <c r="E7" i="342"/>
  <c r="F159" i="422" s="1"/>
  <c r="J7" i="342"/>
  <c r="J159" i="422" s="1"/>
  <c r="E8" i="342"/>
  <c r="J8" i="342"/>
  <c r="K8" i="342"/>
  <c r="E9" i="342"/>
  <c r="E10" i="342" s="1"/>
  <c r="E11" i="342" s="1"/>
  <c r="E12" i="342" s="1"/>
  <c r="J9" i="342"/>
  <c r="K9" i="342"/>
  <c r="J10" i="342"/>
  <c r="K10" i="342"/>
  <c r="K11" i="342" s="1"/>
  <c r="K12" i="342" s="1"/>
  <c r="L11" i="342"/>
  <c r="J11" i="342"/>
  <c r="J12" i="342"/>
  <c r="J13" i="342" s="1"/>
  <c r="J14" i="342" s="1"/>
  <c r="K13" i="342"/>
  <c r="K14" i="342"/>
  <c r="K15" i="342" s="1"/>
  <c r="D7" i="195"/>
  <c r="E7" i="195"/>
  <c r="G7" i="195"/>
  <c r="D8" i="195"/>
  <c r="H8" i="195"/>
  <c r="K8" i="195"/>
  <c r="D9" i="195"/>
  <c r="D10" i="195" s="1"/>
  <c r="D11" i="195" s="1"/>
  <c r="H9" i="195"/>
  <c r="J9" i="195"/>
  <c r="H10" i="195"/>
  <c r="H11" i="195"/>
  <c r="J11" i="195"/>
  <c r="D12" i="195"/>
  <c r="D13" i="195" s="1"/>
  <c r="D14" i="195" s="1"/>
  <c r="D15" i="195" s="1"/>
  <c r="D16" i="195" s="1"/>
  <c r="D17" i="195" s="1"/>
  <c r="D18" i="195" s="1"/>
  <c r="D19" i="195" s="1"/>
  <c r="E166" i="422" s="1"/>
  <c r="H12" i="195"/>
  <c r="J12" i="195"/>
  <c r="J13" i="195" s="1"/>
  <c r="H13" i="195"/>
  <c r="H14" i="195"/>
  <c r="I14" i="195"/>
  <c r="J14" i="195"/>
  <c r="H15" i="195"/>
  <c r="H16" i="195"/>
  <c r="H17" i="195"/>
  <c r="H18" i="195"/>
  <c r="H19" i="195"/>
  <c r="K166" i="422" s="1"/>
  <c r="D7" i="199"/>
  <c r="E7" i="199"/>
  <c r="D8" i="199"/>
  <c r="H8" i="199"/>
  <c r="K8" i="199" s="1"/>
  <c r="D9" i="199"/>
  <c r="D10" i="199" s="1"/>
  <c r="D11" i="199" s="1"/>
  <c r="H9" i="199"/>
  <c r="K9" i="199"/>
  <c r="K10" i="199" s="1"/>
  <c r="K11" i="199" s="1"/>
  <c r="K12" i="199" s="1"/>
  <c r="K13" i="199" s="1"/>
  <c r="K14" i="199" s="1"/>
  <c r="K15" i="199" s="1"/>
  <c r="H10" i="199"/>
  <c r="H11" i="199"/>
  <c r="J11" i="199"/>
  <c r="J12" i="199" s="1"/>
  <c r="J13" i="199" s="1"/>
  <c r="B12" i="199"/>
  <c r="C12" i="199"/>
  <c r="H13" i="199" s="1"/>
  <c r="H12" i="199"/>
  <c r="B13" i="199"/>
  <c r="C13" i="199"/>
  <c r="B14" i="199"/>
  <c r="C14" i="199"/>
  <c r="H14" i="199"/>
  <c r="J14" i="199"/>
  <c r="J15" i="199" s="1"/>
  <c r="H15" i="199"/>
  <c r="B16" i="199"/>
  <c r="C16" i="199"/>
  <c r="G16" i="199"/>
  <c r="I16" i="199"/>
  <c r="J16" i="199"/>
  <c r="B17" i="199"/>
  <c r="C17" i="199"/>
  <c r="G17" i="199" s="1"/>
  <c r="H17" i="199"/>
  <c r="J17" i="199"/>
  <c r="J18" i="199" s="1"/>
  <c r="J19" i="199" s="1"/>
  <c r="B18" i="199"/>
  <c r="C18" i="199"/>
  <c r="G18" i="199" s="1"/>
  <c r="H18" i="199"/>
  <c r="I18" i="199"/>
  <c r="B19" i="199"/>
  <c r="C19" i="199"/>
  <c r="H19" i="199"/>
  <c r="B20" i="199"/>
  <c r="C20" i="199"/>
  <c r="I20" i="199"/>
  <c r="B21" i="199"/>
  <c r="C21" i="199"/>
  <c r="H22" i="199" s="1"/>
  <c r="H21" i="199"/>
  <c r="B22" i="199"/>
  <c r="C22" i="199"/>
  <c r="G22" i="199" s="1"/>
  <c r="I22" i="199"/>
  <c r="B23" i="199"/>
  <c r="C23" i="199"/>
  <c r="G23" i="199"/>
  <c r="H23" i="199"/>
  <c r="I23" i="199"/>
  <c r="B24" i="199"/>
  <c r="C24" i="199"/>
  <c r="H24" i="199"/>
  <c r="B25" i="199"/>
  <c r="C25" i="199"/>
  <c r="H26" i="199"/>
  <c r="B27" i="199"/>
  <c r="C27" i="199"/>
  <c r="H28" i="199" s="1"/>
  <c r="H27" i="199"/>
  <c r="B28" i="199"/>
  <c r="C28" i="199"/>
  <c r="G28" i="199"/>
  <c r="B29" i="199"/>
  <c r="C29" i="199"/>
  <c r="G32" i="199" s="1"/>
  <c r="H34" i="199" s="1"/>
  <c r="H29" i="199"/>
  <c r="I30" i="199"/>
  <c r="H31" i="199"/>
  <c r="H32" i="199"/>
  <c r="H33" i="199"/>
  <c r="G34" i="199"/>
  <c r="H35" i="199"/>
  <c r="D7" i="204"/>
  <c r="D8" i="204" s="1"/>
  <c r="D9" i="204" s="1"/>
  <c r="D10" i="204" s="1"/>
  <c r="D11" i="204" s="1"/>
  <c r="D12" i="204" s="1"/>
  <c r="D13" i="204" s="1"/>
  <c r="E168" i="422" s="1"/>
  <c r="E7" i="204"/>
  <c r="H8" i="204"/>
  <c r="K8" i="204" s="1"/>
  <c r="H9" i="204"/>
  <c r="J9" i="204"/>
  <c r="K9" i="204"/>
  <c r="K10" i="204" s="1"/>
  <c r="K11" i="204" s="1"/>
  <c r="K12" i="204" s="1"/>
  <c r="K13" i="204" s="1"/>
  <c r="H10" i="204"/>
  <c r="J10" i="204"/>
  <c r="J11" i="204" s="1"/>
  <c r="J12" i="204" s="1"/>
  <c r="J13" i="204" s="1"/>
  <c r="J168" i="422" s="1"/>
  <c r="H11" i="204"/>
  <c r="B12" i="204"/>
  <c r="C12" i="204"/>
  <c r="H12" i="204"/>
  <c r="H13" i="204"/>
  <c r="K168" i="422" s="1"/>
  <c r="H14" i="204"/>
  <c r="D8" i="246"/>
  <c r="E8" i="246"/>
  <c r="G8" i="246"/>
  <c r="L8" i="246"/>
  <c r="D9" i="246"/>
  <c r="E9" i="246"/>
  <c r="G9" i="246"/>
  <c r="L9" i="246"/>
  <c r="D10" i="246"/>
  <c r="E10" i="246"/>
  <c r="G10" i="246"/>
  <c r="H10" i="246"/>
  <c r="K10" i="246" s="1"/>
  <c r="L10" i="246"/>
  <c r="D11" i="246"/>
  <c r="E11" i="246"/>
  <c r="G11" i="246"/>
  <c r="H11" i="246"/>
  <c r="J11" i="246"/>
  <c r="J12" i="246" s="1"/>
  <c r="J13" i="246" s="1"/>
  <c r="J14" i="246" s="1"/>
  <c r="J15" i="246" s="1"/>
  <c r="J16" i="246" s="1"/>
  <c r="J17" i="246" s="1"/>
  <c r="J18" i="246" s="1"/>
  <c r="J19" i="246" s="1"/>
  <c r="J20" i="246" s="1"/>
  <c r="J21" i="246" s="1"/>
  <c r="J22" i="246" s="1"/>
  <c r="J23" i="246" s="1"/>
  <c r="L11" i="246"/>
  <c r="D12" i="246"/>
  <c r="E12" i="246"/>
  <c r="G12" i="246"/>
  <c r="H12" i="246"/>
  <c r="D13" i="246"/>
  <c r="D14" i="246" s="1"/>
  <c r="D15" i="246" s="1"/>
  <c r="D16" i="246" s="1"/>
  <c r="D17" i="246" s="1"/>
  <c r="D18" i="246" s="1"/>
  <c r="D19" i="246" s="1"/>
  <c r="D20" i="246" s="1"/>
  <c r="D21" i="246" s="1"/>
  <c r="D22" i="246" s="1"/>
  <c r="D23" i="246" s="1"/>
  <c r="H13" i="246"/>
  <c r="G14" i="246"/>
  <c r="H14" i="246"/>
  <c r="I14" i="246"/>
  <c r="G15" i="246"/>
  <c r="H16" i="246"/>
  <c r="G17" i="246"/>
  <c r="H18" i="246"/>
  <c r="G19" i="246"/>
  <c r="H20" i="246"/>
  <c r="G21" i="246"/>
  <c r="H21" i="246"/>
  <c r="H22" i="246"/>
  <c r="G23" i="246"/>
  <c r="H23" i="246"/>
  <c r="H24" i="246"/>
  <c r="D7" i="280"/>
  <c r="D8" i="280" s="1"/>
  <c r="D9" i="280" s="1"/>
  <c r="D10" i="280" s="1"/>
  <c r="D11" i="280" s="1"/>
  <c r="D12" i="280" s="1"/>
  <c r="D13" i="280" s="1"/>
  <c r="D14" i="280" s="1"/>
  <c r="D15" i="280" s="1"/>
  <c r="D16" i="280" s="1"/>
  <c r="D17" i="280" s="1"/>
  <c r="D18" i="280" s="1"/>
  <c r="D19" i="280" s="1"/>
  <c r="D20" i="280" s="1"/>
  <c r="E7" i="280"/>
  <c r="L7" i="280" s="1"/>
  <c r="G7" i="280"/>
  <c r="G8" i="280"/>
  <c r="K8" i="280"/>
  <c r="H9" i="280"/>
  <c r="K9" i="280"/>
  <c r="K10" i="280" s="1"/>
  <c r="K11" i="280" s="1"/>
  <c r="H10" i="280"/>
  <c r="J10" i="280"/>
  <c r="J11" i="280"/>
  <c r="J12" i="280"/>
  <c r="J13" i="280" s="1"/>
  <c r="J14" i="280" s="1"/>
  <c r="J15" i="280" s="1"/>
  <c r="J16" i="280" s="1"/>
  <c r="J17" i="280" s="1"/>
  <c r="J18" i="280" s="1"/>
  <c r="J19" i="280" s="1"/>
  <c r="J20" i="280" s="1"/>
  <c r="H11" i="280"/>
  <c r="H12" i="280"/>
  <c r="H13" i="280"/>
  <c r="H14" i="280"/>
  <c r="H15" i="280"/>
  <c r="H16" i="280"/>
  <c r="H17" i="280"/>
  <c r="H18" i="280"/>
  <c r="H19" i="280"/>
  <c r="D8" i="303"/>
  <c r="D9" i="303" s="1"/>
  <c r="D10" i="303" s="1"/>
  <c r="D11" i="303" s="1"/>
  <c r="D12" i="303" s="1"/>
  <c r="D13" i="303" s="1"/>
  <c r="D14" i="303" s="1"/>
  <c r="D15" i="303" s="1"/>
  <c r="D16" i="303" s="1"/>
  <c r="D17" i="303" s="1"/>
  <c r="D18" i="303" s="1"/>
  <c r="D19" i="303" s="1"/>
  <c r="D20" i="303" s="1"/>
  <c r="D21" i="303" s="1"/>
  <c r="D22" i="303" s="1"/>
  <c r="D23" i="303" s="1"/>
  <c r="E171" i="422" s="1"/>
  <c r="E8" i="303"/>
  <c r="L8" i="303" s="1"/>
  <c r="G8" i="303"/>
  <c r="E9" i="303"/>
  <c r="G9" i="303"/>
  <c r="G10" i="303"/>
  <c r="G11" i="303"/>
  <c r="H12" i="303"/>
  <c r="K12" i="303"/>
  <c r="H13" i="303"/>
  <c r="I13" i="303"/>
  <c r="J13" i="303" s="1"/>
  <c r="K13" i="303"/>
  <c r="K14" i="303" s="1"/>
  <c r="K15" i="303" s="1"/>
  <c r="K16" i="303" s="1"/>
  <c r="K17" i="303" s="1"/>
  <c r="H14" i="303"/>
  <c r="H15" i="303"/>
  <c r="C16" i="303"/>
  <c r="H16" i="303"/>
  <c r="H17" i="303"/>
  <c r="H18" i="303"/>
  <c r="K18" i="303" s="1"/>
  <c r="K19" i="303" s="1"/>
  <c r="K20" i="303" s="1"/>
  <c r="K21" i="303" s="1"/>
  <c r="K22" i="303" s="1"/>
  <c r="K23" i="303" s="1"/>
  <c r="I171" i="422" s="1"/>
  <c r="H19" i="303"/>
  <c r="H20" i="303"/>
  <c r="C21" i="303"/>
  <c r="H21" i="303"/>
  <c r="H22" i="303"/>
  <c r="H23" i="303"/>
  <c r="K171" i="422" s="1"/>
  <c r="D35" i="303"/>
  <c r="E35" i="303"/>
  <c r="G35" i="303"/>
  <c r="L35" i="303"/>
  <c r="D36" i="303"/>
  <c r="D37" i="303" s="1"/>
  <c r="D38" i="303" s="1"/>
  <c r="D39" i="303" s="1"/>
  <c r="D40" i="303" s="1"/>
  <c r="D41" i="303" s="1"/>
  <c r="E36" i="303"/>
  <c r="G36" i="303"/>
  <c r="H36" i="303"/>
  <c r="K36" i="303"/>
  <c r="I36" i="303"/>
  <c r="J36" i="303" s="1"/>
  <c r="E37" i="303"/>
  <c r="E38" i="303"/>
  <c r="E39" i="303" s="1"/>
  <c r="E40" i="303" s="1"/>
  <c r="E41" i="303" s="1"/>
  <c r="G37" i="303"/>
  <c r="H37" i="303"/>
  <c r="G38" i="303"/>
  <c r="H38" i="303"/>
  <c r="G39" i="303"/>
  <c r="H39" i="303"/>
  <c r="H40" i="303"/>
  <c r="F46" i="303"/>
  <c r="F47" i="303"/>
  <c r="F50" i="303"/>
  <c r="D7" i="305"/>
  <c r="E7" i="305"/>
  <c r="G7" i="305"/>
  <c r="L7" i="305"/>
  <c r="D8" i="305"/>
  <c r="E8" i="305"/>
  <c r="G8" i="305"/>
  <c r="H8" i="305"/>
  <c r="K8" i="305" s="1"/>
  <c r="L8" i="305"/>
  <c r="D9" i="305"/>
  <c r="D10" i="305" s="1"/>
  <c r="D11" i="305" s="1"/>
  <c r="D12" i="305" s="1"/>
  <c r="D13" i="305" s="1"/>
  <c r="E9" i="305"/>
  <c r="G9" i="305" s="1"/>
  <c r="H9" i="305"/>
  <c r="J9" i="305"/>
  <c r="E10" i="305"/>
  <c r="E11" i="305" s="1"/>
  <c r="E12" i="305" s="1"/>
  <c r="H10" i="305"/>
  <c r="H11" i="305"/>
  <c r="H12" i="305"/>
  <c r="B13" i="305"/>
  <c r="H13" i="305"/>
  <c r="B14" i="305"/>
  <c r="C14" i="305"/>
  <c r="G14" i="305"/>
  <c r="H14" i="305"/>
  <c r="G15" i="305"/>
  <c r="H15" i="305"/>
  <c r="C16" i="305"/>
  <c r="H17" i="305" s="1"/>
  <c r="G16" i="305"/>
  <c r="H16" i="305"/>
  <c r="B25" i="305"/>
  <c r="C25" i="305"/>
  <c r="D25" i="305"/>
  <c r="K25" i="305"/>
  <c r="B26" i="305"/>
  <c r="C26" i="305"/>
  <c r="D26" i="305"/>
  <c r="D27" i="305" s="1"/>
  <c r="D28" i="305" s="1"/>
  <c r="E172" i="422" s="1"/>
  <c r="B27" i="305"/>
  <c r="C27" i="305"/>
  <c r="H27" i="305"/>
  <c r="H28" i="305"/>
  <c r="K172" i="422" s="1"/>
  <c r="D7" i="304"/>
  <c r="D8" i="304" s="1"/>
  <c r="E7" i="304"/>
  <c r="L7" i="304" s="1"/>
  <c r="G7" i="304"/>
  <c r="G8" i="304"/>
  <c r="K8" i="304"/>
  <c r="D9" i="304"/>
  <c r="D10" i="304" s="1"/>
  <c r="D11" i="304" s="1"/>
  <c r="D12" i="304" s="1"/>
  <c r="D13" i="304" s="1"/>
  <c r="D14" i="304" s="1"/>
  <c r="D15" i="304" s="1"/>
  <c r="D16" i="304" s="1"/>
  <c r="D17" i="304" s="1"/>
  <c r="D18" i="304" s="1"/>
  <c r="D19" i="304" s="1"/>
  <c r="D20" i="304" s="1"/>
  <c r="D21" i="304" s="1"/>
  <c r="D22" i="304" s="1"/>
  <c r="G9" i="304"/>
  <c r="H9" i="304"/>
  <c r="K9" i="304"/>
  <c r="G10" i="304"/>
  <c r="H10" i="304"/>
  <c r="G11" i="304"/>
  <c r="H11" i="304"/>
  <c r="G12" i="304"/>
  <c r="H12" i="304"/>
  <c r="G13" i="304"/>
  <c r="H13" i="304"/>
  <c r="J13" i="304"/>
  <c r="J14" i="304" s="1"/>
  <c r="J15" i="304" s="1"/>
  <c r="J16" i="304" s="1"/>
  <c r="J17" i="304" s="1"/>
  <c r="J18" i="304" s="1"/>
  <c r="J19" i="304" s="1"/>
  <c r="J20" i="304" s="1"/>
  <c r="J21" i="304" s="1"/>
  <c r="J22" i="304" s="1"/>
  <c r="G14" i="304"/>
  <c r="H14" i="304"/>
  <c r="G15" i="304"/>
  <c r="H15" i="304"/>
  <c r="G16" i="304"/>
  <c r="H16" i="304"/>
  <c r="G17" i="304"/>
  <c r="H17" i="304"/>
  <c r="G18" i="304"/>
  <c r="H18" i="304"/>
  <c r="G19" i="304"/>
  <c r="H19" i="304"/>
  <c r="G20" i="304"/>
  <c r="H20" i="304"/>
  <c r="G21" i="304"/>
  <c r="H21" i="304"/>
  <c r="G22" i="304"/>
  <c r="H22" i="304"/>
  <c r="H23" i="304"/>
  <c r="D30" i="304"/>
  <c r="E30" i="304"/>
  <c r="G30" i="304"/>
  <c r="L30" i="304"/>
  <c r="D31" i="304"/>
  <c r="E31" i="304"/>
  <c r="G31" i="304"/>
  <c r="L31" i="304"/>
  <c r="D32" i="304"/>
  <c r="D33" i="304" s="1"/>
  <c r="E173" i="422" s="1"/>
  <c r="E32" i="304"/>
  <c r="E33" i="304" s="1"/>
  <c r="G32" i="304"/>
  <c r="H32" i="304"/>
  <c r="K32" i="304" s="1"/>
  <c r="K33" i="304" s="1"/>
  <c r="I173" i="422" s="1"/>
  <c r="H33" i="304"/>
  <c r="K173" i="422" s="1"/>
  <c r="D6" i="174"/>
  <c r="E6" i="174"/>
  <c r="J6" i="174"/>
  <c r="L6" i="174" s="1"/>
  <c r="E7" i="174"/>
  <c r="H7" i="174"/>
  <c r="K7" i="174" s="1"/>
  <c r="J7" i="174"/>
  <c r="K8" i="174"/>
  <c r="K9" i="174" s="1"/>
  <c r="K10" i="174" s="1"/>
  <c r="K11" i="174" s="1"/>
  <c r="K12" i="174" s="1"/>
  <c r="K13" i="174" s="1"/>
  <c r="K14" i="174" s="1"/>
  <c r="K15" i="174" s="1"/>
  <c r="K16" i="174" s="1"/>
  <c r="K17" i="174" s="1"/>
  <c r="K18" i="174" s="1"/>
  <c r="K19" i="174" s="1"/>
  <c r="K20" i="174" s="1"/>
  <c r="K21" i="174" s="1"/>
  <c r="K22" i="174" s="1"/>
  <c r="K23" i="174" s="1"/>
  <c r="K24" i="174" s="1"/>
  <c r="K25" i="174" s="1"/>
  <c r="K26" i="174" s="1"/>
  <c r="K27" i="174" s="1"/>
  <c r="K28" i="174" s="1"/>
  <c r="K29" i="174" s="1"/>
  <c r="K30" i="174" s="1"/>
  <c r="K31" i="174" s="1"/>
  <c r="K32" i="174" s="1"/>
  <c r="K33" i="174" s="1"/>
  <c r="K34" i="174" s="1"/>
  <c r="K35" i="174" s="1"/>
  <c r="K36" i="174" s="1"/>
  <c r="K37" i="174" s="1"/>
  <c r="K38" i="174" s="1"/>
  <c r="K39" i="174" s="1"/>
  <c r="K40" i="174" s="1"/>
  <c r="I181" i="422" s="1"/>
  <c r="L7" i="174"/>
  <c r="E8" i="174"/>
  <c r="E9" i="174" s="1"/>
  <c r="L9" i="174" s="1"/>
  <c r="H8" i="174"/>
  <c r="J8" i="174"/>
  <c r="L8" i="174"/>
  <c r="H9" i="174"/>
  <c r="J9" i="174"/>
  <c r="J10" i="174" s="1"/>
  <c r="J11" i="174" s="1"/>
  <c r="J12" i="174" s="1"/>
  <c r="H10" i="174"/>
  <c r="J13" i="174"/>
  <c r="J14" i="174" s="1"/>
  <c r="J15" i="174" s="1"/>
  <c r="J16" i="174"/>
  <c r="J17" i="174" s="1"/>
  <c r="J18" i="174" s="1"/>
  <c r="J19" i="174" s="1"/>
  <c r="J20" i="174" s="1"/>
  <c r="J21" i="174" s="1"/>
  <c r="J22" i="174" s="1"/>
  <c r="J23" i="174" s="1"/>
  <c r="J24" i="174" s="1"/>
  <c r="J25" i="174" s="1"/>
  <c r="J26" i="174" s="1"/>
  <c r="J27" i="174" s="1"/>
  <c r="J28" i="174" s="1"/>
  <c r="J29" i="174" s="1"/>
  <c r="J30" i="174" s="1"/>
  <c r="J31" i="174" s="1"/>
  <c r="J32" i="174" s="1"/>
  <c r="J33" i="174" s="1"/>
  <c r="J34" i="174" s="1"/>
  <c r="J35" i="174" s="1"/>
  <c r="J36" i="174" s="1"/>
  <c r="J37" i="174" s="1"/>
  <c r="J38" i="174" s="1"/>
  <c r="J39" i="174" s="1"/>
  <c r="J40" i="174" s="1"/>
  <c r="J181" i="422" s="1"/>
  <c r="H11" i="174"/>
  <c r="H13" i="174"/>
  <c r="H14" i="174"/>
  <c r="H15" i="174"/>
  <c r="B16" i="174"/>
  <c r="C16" i="174"/>
  <c r="H17" i="174" s="1"/>
  <c r="H16" i="174"/>
  <c r="H18" i="174"/>
  <c r="H19" i="174"/>
  <c r="H20" i="174"/>
  <c r="H21" i="174"/>
  <c r="H22" i="174"/>
  <c r="H23" i="174"/>
  <c r="H24" i="174"/>
  <c r="H25" i="174"/>
  <c r="H26" i="174"/>
  <c r="H27" i="174"/>
  <c r="H28" i="174"/>
  <c r="H29" i="174"/>
  <c r="H30" i="174"/>
  <c r="H31" i="174"/>
  <c r="H32" i="174"/>
  <c r="H33" i="174"/>
  <c r="H34" i="174"/>
  <c r="H35" i="174"/>
  <c r="H36" i="174"/>
  <c r="H37" i="174"/>
  <c r="H38" i="174"/>
  <c r="H39" i="174"/>
  <c r="D7" i="263"/>
  <c r="E7" i="263"/>
  <c r="G7" i="263"/>
  <c r="D8" i="263"/>
  <c r="K8" i="263"/>
  <c r="K9" i="263"/>
  <c r="K10" i="263"/>
  <c r="K11" i="263"/>
  <c r="K12" i="263" s="1"/>
  <c r="K13" i="263" s="1"/>
  <c r="K14" i="263" s="1"/>
  <c r="K15" i="263" s="1"/>
  <c r="K16" i="263" s="1"/>
  <c r="K17" i="263" s="1"/>
  <c r="K18" i="263" s="1"/>
  <c r="K19" i="263" s="1"/>
  <c r="K20" i="263" s="1"/>
  <c r="K21" i="263" s="1"/>
  <c r="D9" i="263"/>
  <c r="D10" i="263" s="1"/>
  <c r="D11" i="263" s="1"/>
  <c r="D12" i="263" s="1"/>
  <c r="D13" i="263"/>
  <c r="D14" i="263" s="1"/>
  <c r="D15" i="263" s="1"/>
  <c r="D16" i="263" s="1"/>
  <c r="D17" i="263" s="1"/>
  <c r="D18" i="263" s="1"/>
  <c r="D19" i="263" s="1"/>
  <c r="D20" i="263" s="1"/>
  <c r="H14" i="263"/>
  <c r="H15" i="263"/>
  <c r="J15" i="263"/>
  <c r="H16" i="263"/>
  <c r="J16" i="263"/>
  <c r="J17" i="263" s="1"/>
  <c r="J18" i="263" s="1"/>
  <c r="J19" i="263" s="1"/>
  <c r="J20" i="263" s="1"/>
  <c r="H17" i="263"/>
  <c r="H18" i="263"/>
  <c r="H19" i="263"/>
  <c r="H20" i="263"/>
  <c r="H21" i="263"/>
  <c r="D7" i="336"/>
  <c r="E7" i="336"/>
  <c r="G7" i="336"/>
  <c r="L7" i="336"/>
  <c r="D8" i="336"/>
  <c r="E8" i="336"/>
  <c r="G8" i="336"/>
  <c r="K8" i="336"/>
  <c r="K9" i="336" s="1"/>
  <c r="K10" i="336" s="1"/>
  <c r="K11" i="336" s="1"/>
  <c r="K12" i="336" s="1"/>
  <c r="L8" i="336"/>
  <c r="D9" i="336"/>
  <c r="E9" i="336"/>
  <c r="G9" i="336"/>
  <c r="H9" i="336"/>
  <c r="D10" i="336"/>
  <c r="E10" i="336"/>
  <c r="H10" i="336"/>
  <c r="D11" i="336"/>
  <c r="H11" i="336"/>
  <c r="J11" i="336"/>
  <c r="H12" i="336"/>
  <c r="D7" i="345"/>
  <c r="D8" i="345" s="1"/>
  <c r="D9" i="345" s="1"/>
  <c r="D10" i="345" s="1"/>
  <c r="D11" i="345" s="1"/>
  <c r="D12" i="345" s="1"/>
  <c r="E7" i="345"/>
  <c r="G7" i="345" s="1"/>
  <c r="L7" i="345"/>
  <c r="E8" i="345"/>
  <c r="L8" i="345" s="1"/>
  <c r="K8" i="345"/>
  <c r="G9" i="345"/>
  <c r="H9" i="345"/>
  <c r="K9" i="345"/>
  <c r="K10" i="345"/>
  <c r="H10" i="345"/>
  <c r="J10" i="345"/>
  <c r="J11" i="345" s="1"/>
  <c r="J12" i="345" s="1"/>
  <c r="H11" i="345"/>
  <c r="H12" i="345"/>
  <c r="H13" i="345"/>
  <c r="D7" i="358"/>
  <c r="D8" i="358" s="1"/>
  <c r="D9" i="358" s="1"/>
  <c r="D10" i="358" s="1"/>
  <c r="D11" i="358" s="1"/>
  <c r="D12" i="358" s="1"/>
  <c r="D13" i="358" s="1"/>
  <c r="E176" i="422" s="1"/>
  <c r="E7" i="358"/>
  <c r="L7" i="358"/>
  <c r="D7" i="382"/>
  <c r="D8" i="382" s="1"/>
  <c r="E7" i="382"/>
  <c r="J8" i="382"/>
  <c r="K8" i="382"/>
  <c r="K9" i="382" s="1"/>
  <c r="K10" i="382" s="1"/>
  <c r="H9" i="382"/>
  <c r="H10" i="382"/>
  <c r="D7" i="399"/>
  <c r="E7" i="399"/>
  <c r="L7" i="399"/>
  <c r="D8" i="399"/>
  <c r="E8" i="399"/>
  <c r="L8" i="399" s="1"/>
  <c r="H8" i="399"/>
  <c r="K8" i="399"/>
  <c r="K9" i="399" s="1"/>
  <c r="H9" i="399"/>
  <c r="L9" i="399"/>
  <c r="C7" i="404"/>
  <c r="E7" i="404" s="1"/>
  <c r="D7" i="404"/>
  <c r="L7" i="404"/>
  <c r="C8" i="404"/>
  <c r="H9" i="404" s="1"/>
  <c r="K9" i="404" s="1"/>
  <c r="K10" i="404" s="1"/>
  <c r="D8" i="404"/>
  <c r="H8" i="404"/>
  <c r="K8" i="404"/>
  <c r="C9" i="404"/>
  <c r="D9" i="404"/>
  <c r="H10" i="404"/>
  <c r="C7" i="410"/>
  <c r="D7" i="410"/>
  <c r="D8" i="410" s="1"/>
  <c r="E7" i="410"/>
  <c r="C8" i="410"/>
  <c r="L9" i="410"/>
  <c r="D7" i="270"/>
  <c r="E7" i="270"/>
  <c r="L7" i="270"/>
  <c r="D8" i="270"/>
  <c r="D9" i="270" s="1"/>
  <c r="D10" i="270" s="1"/>
  <c r="D11" i="270" s="1"/>
  <c r="D12" i="270" s="1"/>
  <c r="D13" i="270" s="1"/>
  <c r="D14" i="270" s="1"/>
  <c r="D15" i="270" s="1"/>
  <c r="D16" i="270" s="1"/>
  <c r="E8" i="270"/>
  <c r="H8" i="270"/>
  <c r="K8" i="270"/>
  <c r="L8" i="270"/>
  <c r="E9" i="270"/>
  <c r="H9" i="270"/>
  <c r="K9" i="270"/>
  <c r="K10" i="270" s="1"/>
  <c r="K11" i="270" s="1"/>
  <c r="K12" i="270"/>
  <c r="K13" i="270" s="1"/>
  <c r="K14" i="270" s="1"/>
  <c r="K15" i="270" s="1"/>
  <c r="K16" i="270" s="1"/>
  <c r="K17" i="270" s="1"/>
  <c r="L9" i="270"/>
  <c r="E10" i="270"/>
  <c r="L10" i="270" s="1"/>
  <c r="H10" i="270"/>
  <c r="E11" i="270"/>
  <c r="L11" i="270" s="1"/>
  <c r="H11" i="270"/>
  <c r="H12" i="270"/>
  <c r="H13" i="270"/>
  <c r="I13" i="270"/>
  <c r="J13" i="270"/>
  <c r="H14" i="270"/>
  <c r="J14" i="270"/>
  <c r="J15" i="270" s="1"/>
  <c r="J16" i="270" s="1"/>
  <c r="H15" i="270"/>
  <c r="H16" i="270"/>
  <c r="H17" i="270"/>
  <c r="D7" i="288"/>
  <c r="D8" i="288" s="1"/>
  <c r="D9" i="288" s="1"/>
  <c r="D10" i="288" s="1"/>
  <c r="D11" i="288" s="1"/>
  <c r="D12" i="288" s="1"/>
  <c r="D13" i="288" s="1"/>
  <c r="D14" i="288" s="1"/>
  <c r="D15" i="288" s="1"/>
  <c r="D16" i="288" s="1"/>
  <c r="D17" i="288" s="1"/>
  <c r="D18" i="288" s="1"/>
  <c r="D19" i="288" s="1"/>
  <c r="D20" i="288" s="1"/>
  <c r="D21" i="288" s="1"/>
  <c r="D22" i="288" s="1"/>
  <c r="D23" i="288" s="1"/>
  <c r="D24" i="288" s="1"/>
  <c r="D25" i="288" s="1"/>
  <c r="E185" i="422" s="1"/>
  <c r="E7" i="288"/>
  <c r="G7" i="288" s="1"/>
  <c r="L7" i="288"/>
  <c r="T7" i="288"/>
  <c r="T9" i="288" s="1"/>
  <c r="E8" i="288"/>
  <c r="G8" i="288"/>
  <c r="L8" i="288"/>
  <c r="T8" i="288"/>
  <c r="E9" i="288"/>
  <c r="L9" i="288" s="1"/>
  <c r="G9" i="288"/>
  <c r="P9" i="288"/>
  <c r="Q9" i="288"/>
  <c r="R9" i="288"/>
  <c r="S9" i="288"/>
  <c r="G10" i="288"/>
  <c r="H10" i="288"/>
  <c r="K10" i="288"/>
  <c r="G11" i="288"/>
  <c r="H11" i="288"/>
  <c r="H12" i="288"/>
  <c r="G13" i="288"/>
  <c r="H13" i="288"/>
  <c r="J13" i="288"/>
  <c r="G14" i="288"/>
  <c r="H14" i="288"/>
  <c r="J14" i="288"/>
  <c r="G15" i="288"/>
  <c r="H15" i="288"/>
  <c r="J15" i="288"/>
  <c r="J16" i="288" s="1"/>
  <c r="J17" i="288" s="1"/>
  <c r="G16" i="288"/>
  <c r="H16" i="288"/>
  <c r="G17" i="288"/>
  <c r="H17" i="288"/>
  <c r="G18" i="288"/>
  <c r="H18" i="288"/>
  <c r="J18" i="288"/>
  <c r="J19" i="288" s="1"/>
  <c r="J20" i="288" s="1"/>
  <c r="J21" i="288" s="1"/>
  <c r="J22" i="288" s="1"/>
  <c r="J23" i="288" s="1"/>
  <c r="J24" i="288" s="1"/>
  <c r="J25" i="288" s="1"/>
  <c r="J185" i="422" s="1"/>
  <c r="H19" i="288"/>
  <c r="H20" i="288"/>
  <c r="G21" i="288"/>
  <c r="H21" i="288"/>
  <c r="G22" i="288"/>
  <c r="H22" i="288"/>
  <c r="G23" i="288"/>
  <c r="H23" i="288"/>
  <c r="G24" i="288"/>
  <c r="H24" i="288"/>
  <c r="G25" i="288"/>
  <c r="H25" i="288"/>
  <c r="K185" i="422" s="1"/>
  <c r="I25" i="288"/>
  <c r="H26" i="288"/>
  <c r="D7" i="369"/>
  <c r="E7" i="369"/>
  <c r="E8" i="369" s="1"/>
  <c r="L8" i="369" s="1"/>
  <c r="L7" i="369"/>
  <c r="D8" i="369"/>
  <c r="D9" i="369" s="1"/>
  <c r="D10" i="369" s="1"/>
  <c r="D11" i="369" s="1"/>
  <c r="D12" i="369" s="1"/>
  <c r="D13" i="369" s="1"/>
  <c r="D14" i="369" s="1"/>
  <c r="D15" i="369" s="1"/>
  <c r="D16" i="369" s="1"/>
  <c r="D17" i="369" s="1"/>
  <c r="D18" i="369" s="1"/>
  <c r="D19" i="369" s="1"/>
  <c r="D20" i="369" s="1"/>
  <c r="D21" i="369" s="1"/>
  <c r="D22" i="369" s="1"/>
  <c r="E9" i="369"/>
  <c r="L9" i="369" s="1"/>
  <c r="E10" i="369"/>
  <c r="L10" i="369" s="1"/>
  <c r="K10" i="369"/>
  <c r="K11" i="369" s="1"/>
  <c r="K12" i="369" s="1"/>
  <c r="K13" i="369" s="1"/>
  <c r="K14" i="369" s="1"/>
  <c r="K15" i="369" s="1"/>
  <c r="K16" i="369" s="1"/>
  <c r="K17" i="369" s="1"/>
  <c r="K18" i="369" s="1"/>
  <c r="K19" i="369" s="1"/>
  <c r="K20" i="369" s="1"/>
  <c r="D7" i="290"/>
  <c r="D8" i="290" s="1"/>
  <c r="E186" i="422" s="1"/>
  <c r="E7" i="290"/>
  <c r="L7" i="290" s="1"/>
  <c r="E8" i="290"/>
  <c r="H8" i="290"/>
  <c r="K186" i="422" s="1"/>
  <c r="H9" i="290"/>
  <c r="D6" i="329"/>
  <c r="D7" i="329" s="1"/>
  <c r="D8" i="329" s="1"/>
  <c r="D9" i="329" s="1"/>
  <c r="D10" i="329" s="1"/>
  <c r="D11" i="329" s="1"/>
  <c r="D12" i="329" s="1"/>
  <c r="D13" i="329" s="1"/>
  <c r="D14" i="329" s="1"/>
  <c r="E6" i="329"/>
  <c r="E7" i="329"/>
  <c r="L7" i="329" s="1"/>
  <c r="K7" i="329"/>
  <c r="K8" i="329"/>
  <c r="K9" i="329" s="1"/>
  <c r="J13" i="329"/>
  <c r="J14" i="329"/>
  <c r="D6" i="175"/>
  <c r="E6" i="175"/>
  <c r="F6" i="175"/>
  <c r="L6" i="175"/>
  <c r="D7" i="175"/>
  <c r="E7" i="175"/>
  <c r="F7" i="175"/>
  <c r="F8" i="175" s="1"/>
  <c r="F9" i="175" s="1"/>
  <c r="F10" i="175" s="1"/>
  <c r="F11" i="175" s="1"/>
  <c r="F12" i="175" s="1"/>
  <c r="F13" i="175" s="1"/>
  <c r="H7" i="175"/>
  <c r="K7" i="175" s="1"/>
  <c r="K8" i="175" s="1"/>
  <c r="L7" i="175"/>
  <c r="D8" i="175"/>
  <c r="E8" i="175"/>
  <c r="E9" i="175" s="1"/>
  <c r="E10" i="175" s="1"/>
  <c r="L10" i="175" s="1"/>
  <c r="H8" i="175"/>
  <c r="D9" i="175"/>
  <c r="D10" i="175" s="1"/>
  <c r="H9" i="175"/>
  <c r="K9" i="175" s="1"/>
  <c r="K10" i="175" s="1"/>
  <c r="K11" i="175" s="1"/>
  <c r="K12" i="175" s="1"/>
  <c r="K13" i="175" s="1"/>
  <c r="L9" i="175"/>
  <c r="H10" i="175"/>
  <c r="J10" i="175"/>
  <c r="D11" i="175"/>
  <c r="D12" i="175" s="1"/>
  <c r="H11" i="175"/>
  <c r="J11" i="175"/>
  <c r="J12" i="175" s="1"/>
  <c r="H12" i="175"/>
  <c r="D13" i="175"/>
  <c r="H13" i="175"/>
  <c r="J13" i="175"/>
  <c r="F19" i="175"/>
  <c r="L19" i="175"/>
  <c r="D20" i="175"/>
  <c r="E20" i="175"/>
  <c r="E21" i="175" s="1"/>
  <c r="L21" i="175" s="1"/>
  <c r="H20" i="175"/>
  <c r="K20" i="175"/>
  <c r="H21" i="175"/>
  <c r="H22" i="175"/>
  <c r="J22" i="175"/>
  <c r="H23" i="175"/>
  <c r="J23" i="175"/>
  <c r="J24" i="175" s="1"/>
  <c r="H24" i="175"/>
  <c r="H25" i="175"/>
  <c r="J25" i="175"/>
  <c r="D31" i="175"/>
  <c r="E31" i="175"/>
  <c r="L31" i="175" s="1"/>
  <c r="F31" i="175"/>
  <c r="D32" i="175"/>
  <c r="D33" i="175" s="1"/>
  <c r="D34" i="175" s="1"/>
  <c r="D35" i="175" s="1"/>
  <c r="D36" i="175" s="1"/>
  <c r="D37" i="175" s="1"/>
  <c r="D38" i="175" s="1"/>
  <c r="D39" i="175" s="1"/>
  <c r="D40" i="175" s="1"/>
  <c r="D41" i="175" s="1"/>
  <c r="F32" i="175"/>
  <c r="H32" i="175"/>
  <c r="J32" i="175"/>
  <c r="K32" i="175"/>
  <c r="H33" i="175"/>
  <c r="J33" i="175"/>
  <c r="J34" i="175" s="1"/>
  <c r="J35" i="175" s="1"/>
  <c r="J36" i="175" s="1"/>
  <c r="J37" i="175" s="1"/>
  <c r="J38" i="175" s="1"/>
  <c r="J39" i="175" s="1"/>
  <c r="J40" i="175" s="1"/>
  <c r="J41" i="175" s="1"/>
  <c r="H34" i="175"/>
  <c r="H35" i="175"/>
  <c r="H36" i="175"/>
  <c r="H37" i="175"/>
  <c r="H38" i="175"/>
  <c r="H39" i="175"/>
  <c r="H40" i="175"/>
  <c r="H41" i="175"/>
  <c r="D48" i="175"/>
  <c r="F48" i="175" s="1"/>
  <c r="E48" i="175"/>
  <c r="L48" i="175"/>
  <c r="E49" i="175"/>
  <c r="H49" i="175"/>
  <c r="K49" i="175" s="1"/>
  <c r="K50" i="175" s="1"/>
  <c r="K51" i="175" s="1"/>
  <c r="K52" i="175" s="1"/>
  <c r="K53" i="175" s="1"/>
  <c r="K54" i="175" s="1"/>
  <c r="K55" i="175" s="1"/>
  <c r="K56" i="175" s="1"/>
  <c r="K57" i="175" s="1"/>
  <c r="K58" i="175" s="1"/>
  <c r="J49" i="175"/>
  <c r="L49" i="175" s="1"/>
  <c r="E50" i="175"/>
  <c r="H50" i="175"/>
  <c r="J50" i="175"/>
  <c r="J51" i="175" s="1"/>
  <c r="J52" i="175" s="1"/>
  <c r="E51" i="175"/>
  <c r="H51" i="175"/>
  <c r="I51" i="175"/>
  <c r="E52" i="175"/>
  <c r="E53" i="175" s="1"/>
  <c r="E54" i="175" s="1"/>
  <c r="H52" i="175"/>
  <c r="H53" i="175"/>
  <c r="H54" i="175"/>
  <c r="E55" i="175"/>
  <c r="H55" i="175"/>
  <c r="E56" i="175"/>
  <c r="E57" i="175" s="1"/>
  <c r="E58" i="175" s="1"/>
  <c r="H56" i="175"/>
  <c r="H57" i="175"/>
  <c r="H58" i="175"/>
  <c r="D65" i="175"/>
  <c r="F65" i="175" s="1"/>
  <c r="E65" i="175"/>
  <c r="E66" i="175" s="1"/>
  <c r="L66" i="175" s="1"/>
  <c r="G65" i="175"/>
  <c r="D66" i="175"/>
  <c r="D67" i="175" s="1"/>
  <c r="F67" i="175" s="1"/>
  <c r="F66" i="175"/>
  <c r="G66" i="175"/>
  <c r="K68" i="175"/>
  <c r="J69" i="175"/>
  <c r="H70" i="175"/>
  <c r="J70" i="175"/>
  <c r="J71" i="175" s="1"/>
  <c r="J72" i="175" s="1"/>
  <c r="J73" i="175" s="1"/>
  <c r="J74" i="175" s="1"/>
  <c r="J75" i="175" s="1"/>
  <c r="J76" i="175" s="1"/>
  <c r="H71" i="175"/>
  <c r="H72" i="175"/>
  <c r="H73" i="175"/>
  <c r="H74" i="175"/>
  <c r="H75" i="175"/>
  <c r="H76" i="175"/>
  <c r="D84" i="175"/>
  <c r="E84" i="175"/>
  <c r="F84" i="175"/>
  <c r="L84" i="175"/>
  <c r="D85" i="175"/>
  <c r="E85" i="175"/>
  <c r="L85" i="175"/>
  <c r="F85" i="175"/>
  <c r="G85" i="175"/>
  <c r="D86" i="175"/>
  <c r="F86" i="175"/>
  <c r="G86" i="175"/>
  <c r="H86" i="175"/>
  <c r="K86" i="175"/>
  <c r="K87" i="175"/>
  <c r="K88" i="175"/>
  <c r="D87" i="175"/>
  <c r="F87" i="175"/>
  <c r="G87" i="175"/>
  <c r="H87" i="175"/>
  <c r="D88" i="175"/>
  <c r="F88" i="175"/>
  <c r="D89" i="175"/>
  <c r="F89" i="175" s="1"/>
  <c r="G89" i="175"/>
  <c r="H89" i="175"/>
  <c r="I89" i="175"/>
  <c r="J89" i="175" s="1"/>
  <c r="J90" i="175" s="1"/>
  <c r="J91" i="175" s="1"/>
  <c r="J92" i="175" s="1"/>
  <c r="J93" i="175" s="1"/>
  <c r="J94" i="175" s="1"/>
  <c r="J95" i="175" s="1"/>
  <c r="J96" i="175" s="1"/>
  <c r="J97" i="175" s="1"/>
  <c r="J98" i="175" s="1"/>
  <c r="J99" i="175" s="1"/>
  <c r="J100" i="175" s="1"/>
  <c r="J101" i="175" s="1"/>
  <c r="J102" i="175" s="1"/>
  <c r="J103" i="175" s="1"/>
  <c r="J104" i="175" s="1"/>
  <c r="J105" i="175" s="1"/>
  <c r="J106" i="175" s="1"/>
  <c r="J107" i="175" s="1"/>
  <c r="J108" i="175" s="1"/>
  <c r="J109" i="175" s="1"/>
  <c r="J110" i="175" s="1"/>
  <c r="J111" i="175" s="1"/>
  <c r="J112" i="175" s="1"/>
  <c r="J113" i="175" s="1"/>
  <c r="J114" i="175" s="1"/>
  <c r="J115" i="175" s="1"/>
  <c r="J116" i="175" s="1"/>
  <c r="J117" i="175" s="1"/>
  <c r="J118" i="175" s="1"/>
  <c r="D90" i="175"/>
  <c r="D91" i="175" s="1"/>
  <c r="F90" i="175"/>
  <c r="G91" i="175"/>
  <c r="H91" i="175"/>
  <c r="G92" i="175"/>
  <c r="H92" i="175"/>
  <c r="G93" i="175"/>
  <c r="H93" i="175"/>
  <c r="G95" i="175"/>
  <c r="H95" i="175"/>
  <c r="H97" i="175"/>
  <c r="I97" i="175"/>
  <c r="G98" i="175"/>
  <c r="G99" i="175"/>
  <c r="H99" i="175"/>
  <c r="G100" i="175"/>
  <c r="H100" i="175"/>
  <c r="G101" i="175"/>
  <c r="H101" i="175"/>
  <c r="G102" i="175"/>
  <c r="H102" i="175"/>
  <c r="G103" i="175"/>
  <c r="H103" i="175"/>
  <c r="G104" i="175"/>
  <c r="H104" i="175"/>
  <c r="G105" i="175"/>
  <c r="G106" i="175"/>
  <c r="H106" i="175"/>
  <c r="G107" i="175"/>
  <c r="H107" i="175"/>
  <c r="G108" i="175"/>
  <c r="H108" i="175"/>
  <c r="G109" i="175"/>
  <c r="H109" i="175"/>
  <c r="G110" i="175"/>
  <c r="H110" i="175"/>
  <c r="G111" i="175"/>
  <c r="H111" i="175"/>
  <c r="G112" i="175"/>
  <c r="H112" i="175"/>
  <c r="G113" i="175"/>
  <c r="H113" i="175"/>
  <c r="G114" i="175"/>
  <c r="H114" i="175"/>
  <c r="G115" i="175"/>
  <c r="H115" i="175"/>
  <c r="G116" i="175"/>
  <c r="H117" i="175" s="1"/>
  <c r="H116" i="175"/>
  <c r="D125" i="175"/>
  <c r="E125" i="175"/>
  <c r="L125" i="175" s="1"/>
  <c r="F125" i="175"/>
  <c r="D126" i="175"/>
  <c r="F126" i="175"/>
  <c r="H126" i="175"/>
  <c r="K126" i="175"/>
  <c r="K127" i="175" s="1"/>
  <c r="K128" i="175" s="1"/>
  <c r="K129" i="175" s="1"/>
  <c r="K130" i="175" s="1"/>
  <c r="K131" i="175" s="1"/>
  <c r="K132" i="175" s="1"/>
  <c r="K133" i="175" s="1"/>
  <c r="K134" i="175" s="1"/>
  <c r="K135" i="175" s="1"/>
  <c r="K136" i="175" s="1"/>
  <c r="K137" i="175" s="1"/>
  <c r="K138" i="175" s="1"/>
  <c r="K139" i="175" s="1"/>
  <c r="K140" i="175" s="1"/>
  <c r="K141" i="175" s="1"/>
  <c r="K142" i="175" s="1"/>
  <c r="K143" i="175" s="1"/>
  <c r="K144" i="175" s="1"/>
  <c r="D127" i="175"/>
  <c r="D128" i="175" s="1"/>
  <c r="D129" i="175" s="1"/>
  <c r="F127" i="175"/>
  <c r="H127" i="175"/>
  <c r="J127" i="175"/>
  <c r="J128" i="175" s="1"/>
  <c r="J129" i="175" s="1"/>
  <c r="J130" i="175" s="1"/>
  <c r="J131" i="175" s="1"/>
  <c r="J132" i="175" s="1"/>
  <c r="J133" i="175" s="1"/>
  <c r="J134" i="175" s="1"/>
  <c r="J135" i="175" s="1"/>
  <c r="J136" i="175" s="1"/>
  <c r="J137" i="175" s="1"/>
  <c r="J138" i="175" s="1"/>
  <c r="J139" i="175" s="1"/>
  <c r="J140" i="175" s="1"/>
  <c r="J141" i="175" s="1"/>
  <c r="J142" i="175" s="1"/>
  <c r="J143" i="175" s="1"/>
  <c r="J144" i="175" s="1"/>
  <c r="D130" i="175"/>
  <c r="D131" i="175" s="1"/>
  <c r="D132" i="175" s="1"/>
  <c r="D133" i="175" s="1"/>
  <c r="D134" i="175" s="1"/>
  <c r="D135" i="175" s="1"/>
  <c r="D136" i="175" s="1"/>
  <c r="D137" i="175" s="1"/>
  <c r="D138" i="175" s="1"/>
  <c r="D139" i="175" s="1"/>
  <c r="D140" i="175" s="1"/>
  <c r="D141" i="175" s="1"/>
  <c r="D142" i="175" s="1"/>
  <c r="D143" i="175" s="1"/>
  <c r="D144" i="175" s="1"/>
  <c r="F128" i="175"/>
  <c r="F129" i="175"/>
  <c r="F130" i="175" s="1"/>
  <c r="F131" i="175" s="1"/>
  <c r="F132" i="175" s="1"/>
  <c r="F133" i="175" s="1"/>
  <c r="F134" i="175" s="1"/>
  <c r="F135" i="175" s="1"/>
  <c r="F136" i="175" s="1"/>
  <c r="F137" i="175" s="1"/>
  <c r="F138" i="175" s="1"/>
  <c r="F139" i="175" s="1"/>
  <c r="F140" i="175" s="1"/>
  <c r="F141" i="175" s="1"/>
  <c r="F142" i="175" s="1"/>
  <c r="F143" i="175" s="1"/>
  <c r="F144" i="175" s="1"/>
  <c r="H128" i="175"/>
  <c r="H129" i="175"/>
  <c r="H130" i="175"/>
  <c r="H132" i="175"/>
  <c r="H133" i="175"/>
  <c r="H134" i="175"/>
  <c r="H135" i="175"/>
  <c r="H136" i="175"/>
  <c r="H137" i="175"/>
  <c r="H138" i="175"/>
  <c r="H139" i="175"/>
  <c r="H140" i="175"/>
  <c r="H141" i="175"/>
  <c r="H142" i="175"/>
  <c r="H143" i="175"/>
  <c r="H144" i="175"/>
  <c r="D150" i="175"/>
  <c r="E150" i="175"/>
  <c r="F150" i="175"/>
  <c r="L150" i="175"/>
  <c r="D151" i="175"/>
  <c r="D152" i="175" s="1"/>
  <c r="E151" i="175"/>
  <c r="F151" i="175"/>
  <c r="H151" i="175"/>
  <c r="K151" i="175"/>
  <c r="K152" i="175" s="1"/>
  <c r="L151" i="175"/>
  <c r="E152" i="175"/>
  <c r="E153" i="175" s="1"/>
  <c r="L153" i="175" s="1"/>
  <c r="F152" i="175"/>
  <c r="H152" i="175"/>
  <c r="D153" i="175"/>
  <c r="F153" i="175"/>
  <c r="H153" i="175"/>
  <c r="J153" i="175"/>
  <c r="D154" i="175"/>
  <c r="D155" i="175" s="1"/>
  <c r="D156" i="175" s="1"/>
  <c r="D157" i="175" s="1"/>
  <c r="F154" i="175"/>
  <c r="H154" i="175"/>
  <c r="J154" i="175"/>
  <c r="J155" i="175" s="1"/>
  <c r="J156" i="175" s="1"/>
  <c r="J157" i="175" s="1"/>
  <c r="J158" i="175" s="1"/>
  <c r="F155" i="175"/>
  <c r="H155" i="175"/>
  <c r="F156" i="175"/>
  <c r="H156" i="175"/>
  <c r="F157" i="175"/>
  <c r="H157" i="175"/>
  <c r="F35" i="132"/>
  <c r="D36" i="132"/>
  <c r="J13" i="351"/>
  <c r="J14" i="351" s="1"/>
  <c r="J15" i="351" s="1"/>
  <c r="J16" i="351" s="1"/>
  <c r="J142" i="422" s="1"/>
  <c r="K33" i="143"/>
  <c r="K34" i="143"/>
  <c r="K35" i="143" s="1"/>
  <c r="K36" i="143" s="1"/>
  <c r="K37" i="143" s="1"/>
  <c r="K38" i="143" s="1"/>
  <c r="K39" i="143" s="1"/>
  <c r="K40" i="143" s="1"/>
  <c r="K41" i="143" s="1"/>
  <c r="K42" i="143" s="1"/>
  <c r="K43" i="143" s="1"/>
  <c r="K44" i="143" s="1"/>
  <c r="K45" i="143" s="1"/>
  <c r="K46" i="143" s="1"/>
  <c r="K47" i="143" s="1"/>
  <c r="K48" i="143" s="1"/>
  <c r="K49" i="143" s="1"/>
  <c r="K50" i="143" s="1"/>
  <c r="K51" i="143" s="1"/>
  <c r="K52" i="143" s="1"/>
  <c r="K53" i="143" s="1"/>
  <c r="K54" i="143" s="1"/>
  <c r="K55" i="143" s="1"/>
  <c r="K56" i="143" s="1"/>
  <c r="K57" i="143" s="1"/>
  <c r="K58" i="143" s="1"/>
  <c r="K59" i="143" s="1"/>
  <c r="K60" i="143" s="1"/>
  <c r="K61" i="143" s="1"/>
  <c r="K62" i="143" s="1"/>
  <c r="K63" i="143" s="1"/>
  <c r="K64" i="143" s="1"/>
  <c r="K65" i="143" s="1"/>
  <c r="K66" i="143" s="1"/>
  <c r="K67" i="143" s="1"/>
  <c r="K68" i="143" s="1"/>
  <c r="K69" i="143" s="1"/>
  <c r="K70" i="143" s="1"/>
  <c r="K71" i="143" s="1"/>
  <c r="K72" i="143" s="1"/>
  <c r="K73" i="143" s="1"/>
  <c r="K74" i="143" s="1"/>
  <c r="K75" i="143" s="1"/>
  <c r="K76" i="143" s="1"/>
  <c r="K77" i="143" s="1"/>
  <c r="K78" i="143" s="1"/>
  <c r="K79" i="143" s="1"/>
  <c r="K80" i="143" s="1"/>
  <c r="K81" i="143" s="1"/>
  <c r="K82" i="143" s="1"/>
  <c r="K83" i="143" s="1"/>
  <c r="K84" i="143" s="1"/>
  <c r="K85" i="143" s="1"/>
  <c r="K14" i="214"/>
  <c r="K15" i="214" s="1"/>
  <c r="K16" i="214" s="1"/>
  <c r="K17" i="214" s="1"/>
  <c r="K18" i="214" s="1"/>
  <c r="K19" i="214" s="1"/>
  <c r="K20" i="214" s="1"/>
  <c r="K21" i="214" s="1"/>
  <c r="K22" i="214" s="1"/>
  <c r="K23" i="214" s="1"/>
  <c r="K24" i="214" s="1"/>
  <c r="K25" i="214" s="1"/>
  <c r="K26" i="214" s="1"/>
  <c r="K27" i="214" s="1"/>
  <c r="K28" i="214" s="1"/>
  <c r="K29" i="214" s="1"/>
  <c r="K30" i="214" s="1"/>
  <c r="K31" i="214" s="1"/>
  <c r="K32" i="214" s="1"/>
  <c r="K33" i="214" s="1"/>
  <c r="K34" i="214" s="1"/>
  <c r="K35" i="214" s="1"/>
  <c r="K36" i="214" s="1"/>
  <c r="K37" i="214" s="1"/>
  <c r="K38" i="214" s="1"/>
  <c r="K39" i="214" s="1"/>
  <c r="K40" i="214" s="1"/>
  <c r="K41" i="214" s="1"/>
  <c r="K42" i="214" s="1"/>
  <c r="K43" i="214" s="1"/>
  <c r="K44" i="214" s="1"/>
  <c r="K45" i="214" s="1"/>
  <c r="K46" i="214" s="1"/>
  <c r="K47" i="214" s="1"/>
  <c r="K48" i="214" s="1"/>
  <c r="I138" i="422" s="1"/>
  <c r="J22" i="137"/>
  <c r="J26" i="267"/>
  <c r="J27" i="267" s="1"/>
  <c r="J28" i="267" s="1"/>
  <c r="J128" i="422" s="1"/>
  <c r="K21" i="175"/>
  <c r="K22" i="175" s="1"/>
  <c r="G11" i="305"/>
  <c r="J14" i="303"/>
  <c r="J15" i="195"/>
  <c r="J23" i="170"/>
  <c r="J24" i="170" s="1"/>
  <c r="L22" i="170"/>
  <c r="H9" i="392"/>
  <c r="E6" i="392"/>
  <c r="G6" i="392"/>
  <c r="H8" i="392"/>
  <c r="K8" i="392" s="1"/>
  <c r="K9" i="392" s="1"/>
  <c r="J17" i="291"/>
  <c r="L9" i="319"/>
  <c r="E86" i="175"/>
  <c r="E87" i="175" s="1"/>
  <c r="E88" i="175" s="1"/>
  <c r="E89" i="175" s="1"/>
  <c r="E8" i="358"/>
  <c r="E9" i="358" s="1"/>
  <c r="E9" i="345"/>
  <c r="E10" i="345" s="1"/>
  <c r="L10" i="345" s="1"/>
  <c r="G8" i="345"/>
  <c r="E13" i="246"/>
  <c r="E7" i="352"/>
  <c r="L8" i="128"/>
  <c r="E8" i="121"/>
  <c r="L8" i="121" s="1"/>
  <c r="E9" i="119"/>
  <c r="E12" i="118"/>
  <c r="G13" i="118" s="1"/>
  <c r="G11" i="118"/>
  <c r="K8" i="376"/>
  <c r="L7" i="376"/>
  <c r="E8" i="376"/>
  <c r="L6" i="356"/>
  <c r="E7" i="356"/>
  <c r="L7" i="356"/>
  <c r="G8" i="327"/>
  <c r="L8" i="327"/>
  <c r="E9" i="327"/>
  <c r="E7" i="321"/>
  <c r="L7" i="321" s="1"/>
  <c r="L6" i="321"/>
  <c r="E7" i="317"/>
  <c r="L6" i="317"/>
  <c r="E8" i="284"/>
  <c r="E9" i="284" s="1"/>
  <c r="E10" i="284" s="1"/>
  <c r="E11" i="284" s="1"/>
  <c r="L7" i="284"/>
  <c r="K13" i="240"/>
  <c r="K14" i="240" s="1"/>
  <c r="K15" i="240" s="1"/>
  <c r="K16" i="240" s="1"/>
  <c r="K17" i="240" s="1"/>
  <c r="O13" i="240"/>
  <c r="P13" i="240"/>
  <c r="K17" i="108"/>
  <c r="K18" i="108"/>
  <c r="K19" i="108" s="1"/>
  <c r="K20" i="108" s="1"/>
  <c r="K21" i="108" s="1"/>
  <c r="K22" i="108" s="1"/>
  <c r="K23" i="108" s="1"/>
  <c r="K24" i="108" s="1"/>
  <c r="K25" i="108" s="1"/>
  <c r="K26" i="108" s="1"/>
  <c r="K27" i="108" s="1"/>
  <c r="K28" i="108" s="1"/>
  <c r="K29" i="108" s="1"/>
  <c r="K30" i="108" s="1"/>
  <c r="K31" i="108" s="1"/>
  <c r="K32" i="108" s="1"/>
  <c r="K33" i="108" s="1"/>
  <c r="K34" i="108" s="1"/>
  <c r="K35" i="108" s="1"/>
  <c r="K36" i="108" s="1"/>
  <c r="K37" i="108" s="1"/>
  <c r="K38" i="108" s="1"/>
  <c r="K39" i="108" s="1"/>
  <c r="K40" i="108" s="1"/>
  <c r="K41" i="108" s="1"/>
  <c r="K42" i="108" s="1"/>
  <c r="K43" i="108" s="1"/>
  <c r="K44" i="108" s="1"/>
  <c r="K45" i="108" s="1"/>
  <c r="K46" i="108" s="1"/>
  <c r="K47" i="108" s="1"/>
  <c r="K48" i="108" s="1"/>
  <c r="K49" i="108" s="1"/>
  <c r="K50" i="108" s="1"/>
  <c r="K51" i="108" s="1"/>
  <c r="K52" i="108" s="1"/>
  <c r="K53" i="108" s="1"/>
  <c r="K54" i="108" s="1"/>
  <c r="K55" i="108" s="1"/>
  <c r="K56" i="108" s="1"/>
  <c r="K57" i="108" s="1"/>
  <c r="K58" i="108" s="1"/>
  <c r="J13" i="273"/>
  <c r="J14" i="273" s="1"/>
  <c r="J15" i="273" s="1"/>
  <c r="J16" i="273" s="1"/>
  <c r="J17" i="273" s="1"/>
  <c r="J18" i="273" s="1"/>
  <c r="J19" i="273" s="1"/>
  <c r="J20" i="273" s="1"/>
  <c r="J21" i="273" s="1"/>
  <c r="J29" i="245"/>
  <c r="J30" i="245"/>
  <c r="J31" i="245" s="1"/>
  <c r="J32" i="245" s="1"/>
  <c r="J33" i="245" s="1"/>
  <c r="J84" i="422" s="1"/>
  <c r="E9" i="170"/>
  <c r="L8" i="170"/>
  <c r="G9" i="400"/>
  <c r="E9" i="368"/>
  <c r="L8" i="368"/>
  <c r="E9" i="163"/>
  <c r="E10" i="163" s="1"/>
  <c r="L8" i="163"/>
  <c r="E36" i="132"/>
  <c r="L36" i="132" s="1"/>
  <c r="E8" i="132"/>
  <c r="G8" i="132" s="1"/>
  <c r="E10" i="285"/>
  <c r="G10" i="285" s="1"/>
  <c r="L9" i="285"/>
  <c r="E8" i="254"/>
  <c r="E9" i="146"/>
  <c r="E9" i="143"/>
  <c r="L9" i="143" s="1"/>
  <c r="E8" i="214"/>
  <c r="L6" i="357"/>
  <c r="E7" i="357"/>
  <c r="K11" i="341"/>
  <c r="K12" i="341"/>
  <c r="K13" i="341" s="1"/>
  <c r="L6" i="341"/>
  <c r="E7" i="341"/>
  <c r="L7" i="341" s="1"/>
  <c r="K11" i="327"/>
  <c r="K12" i="327" s="1"/>
  <c r="K13" i="327" s="1"/>
  <c r="K14" i="327" s="1"/>
  <c r="K15" i="327" s="1"/>
  <c r="K16" i="327" s="1"/>
  <c r="K17" i="327" s="1"/>
  <c r="K18" i="327" s="1"/>
  <c r="K19" i="327" s="1"/>
  <c r="F9" i="106"/>
  <c r="D10" i="106"/>
  <c r="F10" i="106" s="1"/>
  <c r="O16" i="240"/>
  <c r="P16" i="240" s="1"/>
  <c r="E8" i="240"/>
  <c r="E9" i="185"/>
  <c r="G10" i="239"/>
  <c r="G9" i="239"/>
  <c r="E10" i="111"/>
  <c r="E12" i="354"/>
  <c r="E10" i="323"/>
  <c r="E9" i="273"/>
  <c r="G10" i="273" s="1"/>
  <c r="E35" i="256"/>
  <c r="E36" i="256" s="1"/>
  <c r="L34" i="256"/>
  <c r="G25" i="256"/>
  <c r="G23" i="256"/>
  <c r="G21" i="256"/>
  <c r="G20" i="256"/>
  <c r="G18" i="256"/>
  <c r="G16" i="256"/>
  <c r="G14" i="256"/>
  <c r="G12" i="256"/>
  <c r="E11" i="256"/>
  <c r="G10" i="256"/>
  <c r="E9" i="255"/>
  <c r="G9" i="255" s="1"/>
  <c r="L8" i="255"/>
  <c r="E11" i="245"/>
  <c r="L10" i="245"/>
  <c r="E9" i="269"/>
  <c r="G10" i="269" s="1"/>
  <c r="L8" i="269"/>
  <c r="E11" i="211"/>
  <c r="L10" i="211"/>
  <c r="L7" i="104"/>
  <c r="J8" i="104"/>
  <c r="J59" i="95"/>
  <c r="J40" i="95"/>
  <c r="L9" i="94"/>
  <c r="J10" i="94"/>
  <c r="G8" i="406"/>
  <c r="L8" i="406"/>
  <c r="D10" i="96"/>
  <c r="F10" i="96" s="1"/>
  <c r="K9" i="418"/>
  <c r="G7" i="411"/>
  <c r="E8" i="411"/>
  <c r="G8" i="411" s="1"/>
  <c r="G7" i="391"/>
  <c r="E8" i="391"/>
  <c r="K10" i="389"/>
  <c r="L10" i="377"/>
  <c r="E11" i="377"/>
  <c r="F69" i="422" s="1"/>
  <c r="G8" i="348"/>
  <c r="L8" i="348"/>
  <c r="E9" i="348"/>
  <c r="L7" i="348"/>
  <c r="L8" i="346"/>
  <c r="E9" i="346"/>
  <c r="G7" i="373"/>
  <c r="G8" i="373"/>
  <c r="L10" i="328"/>
  <c r="E11" i="328"/>
  <c r="G7" i="311"/>
  <c r="G8" i="311"/>
  <c r="L12" i="301"/>
  <c r="E9" i="276"/>
  <c r="E10" i="276" s="1"/>
  <c r="G10" i="276" s="1"/>
  <c r="L9" i="386"/>
  <c r="E10" i="386"/>
  <c r="G9" i="264"/>
  <c r="L9" i="264"/>
  <c r="E10" i="264"/>
  <c r="K9" i="258"/>
  <c r="K10" i="258"/>
  <c r="K11" i="258" s="1"/>
  <c r="K12" i="258" s="1"/>
  <c r="K13" i="258" s="1"/>
  <c r="K14" i="258" s="1"/>
  <c r="K15" i="258" s="1"/>
  <c r="K16" i="258" s="1"/>
  <c r="K17" i="258" s="1"/>
  <c r="K18" i="258" s="1"/>
  <c r="K19" i="258" s="1"/>
  <c r="K20" i="258" s="1"/>
  <c r="K21" i="258" s="1"/>
  <c r="K22" i="258" s="1"/>
  <c r="K23" i="258" s="1"/>
  <c r="K24" i="258" s="1"/>
  <c r="K25" i="258" s="1"/>
  <c r="L8" i="258"/>
  <c r="E9" i="258"/>
  <c r="L9" i="307"/>
  <c r="K8" i="307"/>
  <c r="K9" i="307" s="1"/>
  <c r="K10" i="307" s="1"/>
  <c r="K11" i="307" s="1"/>
  <c r="K12" i="307" s="1"/>
  <c r="K13" i="307" s="1"/>
  <c r="K14" i="307" s="1"/>
  <c r="K15" i="307" s="1"/>
  <c r="K16" i="307" s="1"/>
  <c r="K17" i="307" s="1"/>
  <c r="K18" i="307" s="1"/>
  <c r="K19" i="307" s="1"/>
  <c r="K20" i="307" s="1"/>
  <c r="K21" i="307" s="1"/>
  <c r="I39" i="422" s="1"/>
  <c r="J14" i="271"/>
  <c r="J15" i="271" s="1"/>
  <c r="J16" i="271" s="1"/>
  <c r="J17" i="271" s="1"/>
  <c r="J18" i="271" s="1"/>
  <c r="J19" i="271" s="1"/>
  <c r="J20" i="271" s="1"/>
  <c r="J21" i="271" s="1"/>
  <c r="J22" i="271" s="1"/>
  <c r="J23" i="271" s="1"/>
  <c r="J24" i="271" s="1"/>
  <c r="J25" i="271" s="1"/>
  <c r="J26" i="271" s="1"/>
  <c r="J27" i="271" s="1"/>
  <c r="J32" i="422" s="1"/>
  <c r="E7" i="102"/>
  <c r="L7" i="102" s="1"/>
  <c r="K9" i="419"/>
  <c r="G7" i="405"/>
  <c r="E8" i="405"/>
  <c r="L8" i="405" s="1"/>
  <c r="G7" i="395"/>
  <c r="E8" i="395"/>
  <c r="L7" i="391"/>
  <c r="L8" i="374"/>
  <c r="E9" i="374"/>
  <c r="L8" i="375"/>
  <c r="E9" i="375"/>
  <c r="L7" i="375"/>
  <c r="L8" i="361"/>
  <c r="E9" i="361"/>
  <c r="E10" i="361" s="1"/>
  <c r="L10" i="361" s="1"/>
  <c r="L7" i="339"/>
  <c r="E8" i="339"/>
  <c r="F57" i="422" s="1"/>
  <c r="L8" i="373"/>
  <c r="E9" i="373"/>
  <c r="G10" i="373" s="1"/>
  <c r="L7" i="373"/>
  <c r="K27" i="333"/>
  <c r="I59" i="422" s="1"/>
  <c r="L8" i="333"/>
  <c r="E9" i="333"/>
  <c r="G10" i="333" s="1"/>
  <c r="L9" i="328"/>
  <c r="K10" i="311"/>
  <c r="K11" i="311"/>
  <c r="K12" i="311" s="1"/>
  <c r="K13" i="311" s="1"/>
  <c r="K14" i="311" s="1"/>
  <c r="K15" i="311" s="1"/>
  <c r="K16" i="311" s="1"/>
  <c r="K17" i="311" s="1"/>
  <c r="K18" i="311" s="1"/>
  <c r="K19" i="311" s="1"/>
  <c r="K20" i="311" s="1"/>
  <c r="K21" i="311" s="1"/>
  <c r="K22" i="311" s="1"/>
  <c r="E8" i="311"/>
  <c r="L8" i="311" s="1"/>
  <c r="L7" i="311"/>
  <c r="L13" i="301"/>
  <c r="E14" i="301"/>
  <c r="L10" i="289"/>
  <c r="E11" i="289"/>
  <c r="K9" i="289"/>
  <c r="K10" i="289" s="1"/>
  <c r="K11" i="289" s="1"/>
  <c r="K12" i="289" s="1"/>
  <c r="K13" i="289" s="1"/>
  <c r="K14" i="289" s="1"/>
  <c r="K15" i="289" s="1"/>
  <c r="K16" i="289" s="1"/>
  <c r="K17" i="289" s="1"/>
  <c r="K18" i="289" s="1"/>
  <c r="K19" i="289" s="1"/>
  <c r="K20" i="289" s="1"/>
  <c r="K21" i="289" s="1"/>
  <c r="K22" i="289" s="1"/>
  <c r="J10" i="275"/>
  <c r="L9" i="408"/>
  <c r="K9" i="223"/>
  <c r="K10" i="223"/>
  <c r="K11" i="223" s="1"/>
  <c r="K12" i="223" s="1"/>
  <c r="K13" i="223" s="1"/>
  <c r="K14" i="223" s="1"/>
  <c r="K15" i="223" s="1"/>
  <c r="L7" i="182"/>
  <c r="E8" i="182"/>
  <c r="L23" i="85"/>
  <c r="E24" i="85"/>
  <c r="L24" i="85" s="1"/>
  <c r="L9" i="80"/>
  <c r="E10" i="80"/>
  <c r="L10" i="307"/>
  <c r="E11" i="307"/>
  <c r="E12" i="307" s="1"/>
  <c r="J11" i="307"/>
  <c r="J12" i="307" s="1"/>
  <c r="J13" i="307" s="1"/>
  <c r="J14" i="307" s="1"/>
  <c r="J15" i="307" s="1"/>
  <c r="J16" i="307" s="1"/>
  <c r="J17" i="307" s="1"/>
  <c r="J18" i="307" s="1"/>
  <c r="J19" i="307" s="1"/>
  <c r="J20" i="307" s="1"/>
  <c r="J21" i="307" s="1"/>
  <c r="J39" i="422" s="1"/>
  <c r="P21" i="326"/>
  <c r="J10" i="326"/>
  <c r="J11" i="326" s="1"/>
  <c r="J12" i="326" s="1"/>
  <c r="J13" i="326" s="1"/>
  <c r="J14" i="326" s="1"/>
  <c r="J15" i="326" s="1"/>
  <c r="J16" i="326" s="1"/>
  <c r="J17" i="326" s="1"/>
  <c r="J18" i="326" s="1"/>
  <c r="J19" i="326" s="1"/>
  <c r="J20" i="326" s="1"/>
  <c r="P15" i="326"/>
  <c r="L9" i="326"/>
  <c r="E10" i="326"/>
  <c r="J12" i="226"/>
  <c r="G8" i="300"/>
  <c r="E9" i="282"/>
  <c r="G10" i="271"/>
  <c r="E9" i="271"/>
  <c r="L8" i="271"/>
  <c r="E9" i="257"/>
  <c r="L9" i="257" s="1"/>
  <c r="E8" i="252"/>
  <c r="E8" i="202"/>
  <c r="L8" i="202" s="1"/>
  <c r="E7" i="180"/>
  <c r="K10" i="71"/>
  <c r="K11" i="71" s="1"/>
  <c r="K12" i="71" s="1"/>
  <c r="K13" i="71" s="1"/>
  <c r="K14" i="71" s="1"/>
  <c r="K15" i="71" s="1"/>
  <c r="K16" i="71" s="1"/>
  <c r="K17" i="71" s="1"/>
  <c r="K18" i="71" s="1"/>
  <c r="K19" i="71" s="1"/>
  <c r="K20" i="71" s="1"/>
  <c r="L7" i="71"/>
  <c r="E8" i="71"/>
  <c r="E9" i="66"/>
  <c r="E10" i="66" s="1"/>
  <c r="E10" i="57"/>
  <c r="K74" i="203"/>
  <c r="K75" i="203"/>
  <c r="K76" i="203" s="1"/>
  <c r="K77" i="203" s="1"/>
  <c r="K78" i="203" s="1"/>
  <c r="K79" i="203" s="1"/>
  <c r="K80" i="203" s="1"/>
  <c r="K81" i="203" s="1"/>
  <c r="K82" i="203" s="1"/>
  <c r="K83" i="203" s="1"/>
  <c r="K84" i="203" s="1"/>
  <c r="F9" i="33"/>
  <c r="D10" i="33"/>
  <c r="F9" i="296"/>
  <c r="D10" i="296"/>
  <c r="E46" i="203"/>
  <c r="G8" i="54"/>
  <c r="E8" i="54"/>
  <c r="D60" i="33"/>
  <c r="D61" i="33" s="1"/>
  <c r="D62" i="33" s="1"/>
  <c r="F59" i="33"/>
  <c r="E105" i="33"/>
  <c r="E60" i="33"/>
  <c r="L60" i="33" s="1"/>
  <c r="L8" i="268"/>
  <c r="E9" i="268"/>
  <c r="E10" i="33"/>
  <c r="E8" i="381"/>
  <c r="L7" i="381"/>
  <c r="G12" i="296"/>
  <c r="E10" i="296"/>
  <c r="D13" i="268"/>
  <c r="F11" i="268"/>
  <c r="D9" i="364"/>
  <c r="H26" i="154"/>
  <c r="L7" i="287"/>
  <c r="E8" i="287"/>
  <c r="K9" i="365"/>
  <c r="K10" i="365" s="1"/>
  <c r="K11" i="365" s="1"/>
  <c r="K12" i="365" s="1"/>
  <c r="K13" i="365"/>
  <c r="K14" i="365" s="1"/>
  <c r="K15" i="365" s="1"/>
  <c r="K16" i="365" s="1"/>
  <c r="K17" i="365" s="1"/>
  <c r="I8" i="422" s="1"/>
  <c r="G7" i="365"/>
  <c r="L7" i="365"/>
  <c r="E8" i="365"/>
  <c r="K27" i="260"/>
  <c r="G8" i="154"/>
  <c r="L8" i="154"/>
  <c r="E9" i="154"/>
  <c r="J10" i="295"/>
  <c r="J11" i="295" s="1"/>
  <c r="J12" i="295"/>
  <c r="J13" i="295" s="1"/>
  <c r="J14" i="295" s="1"/>
  <c r="J15" i="295" s="1"/>
  <c r="J16" i="295"/>
  <c r="J17" i="295" s="1"/>
  <c r="J18" i="295" s="1"/>
  <c r="J19" i="295" s="1"/>
  <c r="J20" i="295" s="1"/>
  <c r="J21" i="295" s="1"/>
  <c r="G8" i="401"/>
  <c r="L8" i="401"/>
  <c r="E9" i="401"/>
  <c r="L9" i="401" s="1"/>
  <c r="J24" i="11"/>
  <c r="G8" i="365"/>
  <c r="L8" i="365"/>
  <c r="E9" i="365"/>
  <c r="L8" i="287"/>
  <c r="E9" i="287"/>
  <c r="E10" i="287" s="1"/>
  <c r="L10" i="287" s="1"/>
  <c r="J25" i="11"/>
  <c r="G9" i="381"/>
  <c r="G9" i="268"/>
  <c r="L9" i="268"/>
  <c r="E10" i="268"/>
  <c r="E61" i="33"/>
  <c r="L61" i="33" s="1"/>
  <c r="L10" i="57"/>
  <c r="E11" i="57"/>
  <c r="E12" i="57" s="1"/>
  <c r="E13" i="57" s="1"/>
  <c r="L8" i="71"/>
  <c r="E9" i="71"/>
  <c r="E9" i="202"/>
  <c r="L9" i="202" s="1"/>
  <c r="E10" i="257"/>
  <c r="E11" i="257" s="1"/>
  <c r="L9" i="271"/>
  <c r="E10" i="271"/>
  <c r="G11" i="271"/>
  <c r="L10" i="326"/>
  <c r="E11" i="326"/>
  <c r="E12" i="326" s="1"/>
  <c r="L12" i="326" s="1"/>
  <c r="J11" i="275"/>
  <c r="E12" i="289"/>
  <c r="L11" i="289"/>
  <c r="L14" i="301"/>
  <c r="E15" i="301"/>
  <c r="E16" i="301" s="1"/>
  <c r="E9" i="311"/>
  <c r="G10" i="311" s="1"/>
  <c r="L9" i="375"/>
  <c r="E10" i="375"/>
  <c r="L9" i="374"/>
  <c r="E10" i="374"/>
  <c r="G11" i="374" s="1"/>
  <c r="G10" i="374"/>
  <c r="E8" i="102"/>
  <c r="L10" i="264"/>
  <c r="E11" i="264"/>
  <c r="G11" i="264"/>
  <c r="L9" i="348"/>
  <c r="E10" i="348"/>
  <c r="G9" i="348"/>
  <c r="L8" i="104"/>
  <c r="J9" i="104"/>
  <c r="G11" i="211"/>
  <c r="L11" i="211"/>
  <c r="E12" i="211"/>
  <c r="L9" i="269"/>
  <c r="E10" i="269"/>
  <c r="L10" i="269" s="1"/>
  <c r="L9" i="273"/>
  <c r="E10" i="273"/>
  <c r="G11" i="273" s="1"/>
  <c r="L12" i="354"/>
  <c r="E13" i="354"/>
  <c r="L10" i="111"/>
  <c r="E11" i="111"/>
  <c r="E12" i="111" s="1"/>
  <c r="L8" i="240"/>
  <c r="E9" i="240"/>
  <c r="D11" i="106"/>
  <c r="F11" i="106" s="1"/>
  <c r="K8" i="357"/>
  <c r="L7" i="357"/>
  <c r="E8" i="357"/>
  <c r="L8" i="214"/>
  <c r="E9" i="214"/>
  <c r="L9" i="214" s="1"/>
  <c r="L8" i="254"/>
  <c r="E9" i="254"/>
  <c r="L10" i="285"/>
  <c r="E11" i="285"/>
  <c r="E12" i="285" s="1"/>
  <c r="G12" i="285" s="1"/>
  <c r="L8" i="132"/>
  <c r="E9" i="132"/>
  <c r="G9" i="132" s="1"/>
  <c r="G9" i="163"/>
  <c r="L9" i="368"/>
  <c r="E10" i="368"/>
  <c r="E11" i="368" s="1"/>
  <c r="G9" i="368"/>
  <c r="E10" i="388"/>
  <c r="E11" i="388" s="1"/>
  <c r="G8" i="284"/>
  <c r="L8" i="284"/>
  <c r="G7" i="317"/>
  <c r="L7" i="317"/>
  <c r="E8" i="317"/>
  <c r="L8" i="317" s="1"/>
  <c r="E8" i="321"/>
  <c r="L9" i="119"/>
  <c r="E10" i="119"/>
  <c r="L7" i="352"/>
  <c r="E8" i="352"/>
  <c r="L13" i="246"/>
  <c r="E14" i="246"/>
  <c r="J18" i="291"/>
  <c r="J20" i="199"/>
  <c r="J21" i="199" s="1"/>
  <c r="J22" i="199" s="1"/>
  <c r="J23" i="199" s="1"/>
  <c r="J24" i="199" s="1"/>
  <c r="E13" i="305"/>
  <c r="E14" i="305" s="1"/>
  <c r="F36" i="132"/>
  <c r="D37" i="132"/>
  <c r="L9" i="154"/>
  <c r="G9" i="154"/>
  <c r="E10" i="154"/>
  <c r="D10" i="364"/>
  <c r="F9" i="364"/>
  <c r="F13" i="268"/>
  <c r="D14" i="268"/>
  <c r="G10" i="296"/>
  <c r="L10" i="296"/>
  <c r="E11" i="296"/>
  <c r="L11" i="296" s="1"/>
  <c r="G13" i="296"/>
  <c r="L10" i="33"/>
  <c r="E11" i="33"/>
  <c r="L105" i="33"/>
  <c r="E106" i="33"/>
  <c r="D11" i="296"/>
  <c r="F10" i="296"/>
  <c r="D11" i="33"/>
  <c r="F11" i="33" s="1"/>
  <c r="F10" i="33"/>
  <c r="L7" i="180"/>
  <c r="E8" i="180"/>
  <c r="L8" i="252"/>
  <c r="E9" i="252"/>
  <c r="L9" i="282"/>
  <c r="E10" i="282"/>
  <c r="L10" i="282" s="1"/>
  <c r="J13" i="226"/>
  <c r="J14" i="226" s="1"/>
  <c r="J15" i="226" s="1"/>
  <c r="J16" i="226" s="1"/>
  <c r="L11" i="307"/>
  <c r="L10" i="80"/>
  <c r="E11" i="80"/>
  <c r="L8" i="182"/>
  <c r="E9" i="182"/>
  <c r="L9" i="333"/>
  <c r="L9" i="373"/>
  <c r="E10" i="373"/>
  <c r="L9" i="361"/>
  <c r="G8" i="395"/>
  <c r="L8" i="395"/>
  <c r="G8" i="405"/>
  <c r="L9" i="258"/>
  <c r="E10" i="258"/>
  <c r="L10" i="386"/>
  <c r="E11" i="386"/>
  <c r="L11" i="386" s="1"/>
  <c r="G9" i="276"/>
  <c r="E12" i="328"/>
  <c r="L11" i="328"/>
  <c r="L9" i="346"/>
  <c r="E10" i="346"/>
  <c r="E11" i="346" s="1"/>
  <c r="L8" i="391"/>
  <c r="G8" i="391"/>
  <c r="E9" i="391"/>
  <c r="L8" i="411"/>
  <c r="J11" i="94"/>
  <c r="J12" i="94" s="1"/>
  <c r="J13" i="94" s="1"/>
  <c r="J14" i="94" s="1"/>
  <c r="J15" i="94" s="1"/>
  <c r="L10" i="94"/>
  <c r="J41" i="95"/>
  <c r="J75" i="422" s="1"/>
  <c r="J60" i="95"/>
  <c r="G11" i="245"/>
  <c r="L11" i="245"/>
  <c r="E12" i="245"/>
  <c r="L9" i="255"/>
  <c r="E10" i="255"/>
  <c r="E11" i="255" s="1"/>
  <c r="L11" i="256"/>
  <c r="E12" i="256"/>
  <c r="G35" i="256"/>
  <c r="L35" i="256"/>
  <c r="L10" i="323"/>
  <c r="E11" i="323"/>
  <c r="L9" i="185"/>
  <c r="E10" i="185"/>
  <c r="E8" i="341"/>
  <c r="E9" i="341" s="1"/>
  <c r="E10" i="341" s="1"/>
  <c r="L10" i="341" s="1"/>
  <c r="E10" i="143"/>
  <c r="E37" i="132"/>
  <c r="H38" i="132" s="1"/>
  <c r="K38" i="132" s="1"/>
  <c r="H9" i="170"/>
  <c r="K9" i="170"/>
  <c r="G9" i="170"/>
  <c r="L9" i="170"/>
  <c r="E10" i="170"/>
  <c r="G9" i="327"/>
  <c r="E10" i="327"/>
  <c r="L9" i="327"/>
  <c r="L12" i="118"/>
  <c r="G10" i="345"/>
  <c r="L9" i="345"/>
  <c r="L86" i="175"/>
  <c r="L6" i="392"/>
  <c r="E7" i="392"/>
  <c r="G7" i="392"/>
  <c r="J16" i="195"/>
  <c r="J17" i="195" s="1"/>
  <c r="J15" i="303"/>
  <c r="J23" i="137"/>
  <c r="J24" i="137" s="1"/>
  <c r="J16" i="303"/>
  <c r="L10" i="185"/>
  <c r="E11" i="185"/>
  <c r="L12" i="256"/>
  <c r="E13" i="256"/>
  <c r="G10" i="255"/>
  <c r="L10" i="255"/>
  <c r="G9" i="391"/>
  <c r="L9" i="391"/>
  <c r="E10" i="391"/>
  <c r="G10" i="391" s="1"/>
  <c r="L12" i="328"/>
  <c r="E13" i="328"/>
  <c r="L10" i="258"/>
  <c r="E11" i="258"/>
  <c r="E11" i="361"/>
  <c r="L11" i="361" s="1"/>
  <c r="D12" i="33"/>
  <c r="F12" i="33" s="1"/>
  <c r="F11" i="296"/>
  <c r="D12" i="296"/>
  <c r="F10" i="364"/>
  <c r="D11" i="364"/>
  <c r="G10" i="154"/>
  <c r="L10" i="154"/>
  <c r="E11" i="154"/>
  <c r="L11" i="154" s="1"/>
  <c r="L10" i="119"/>
  <c r="E11" i="119"/>
  <c r="E12" i="119" s="1"/>
  <c r="L12" i="119"/>
  <c r="G8" i="321"/>
  <c r="G10" i="388"/>
  <c r="L10" i="388"/>
  <c r="E10" i="214"/>
  <c r="E11" i="214" s="1"/>
  <c r="L11" i="214" s="1"/>
  <c r="D12" i="106"/>
  <c r="D13" i="106" s="1"/>
  <c r="L9" i="240"/>
  <c r="E10" i="240"/>
  <c r="L10" i="240" s="1"/>
  <c r="L10" i="273"/>
  <c r="E11" i="273"/>
  <c r="E11" i="269"/>
  <c r="G11" i="269"/>
  <c r="G12" i="211"/>
  <c r="L12" i="211"/>
  <c r="E13" i="211"/>
  <c r="L9" i="104"/>
  <c r="J10" i="104"/>
  <c r="L11" i="264"/>
  <c r="E12" i="264"/>
  <c r="G12" i="264"/>
  <c r="L10" i="374"/>
  <c r="E11" i="374"/>
  <c r="L11" i="374" s="1"/>
  <c r="L10" i="375"/>
  <c r="E11" i="375"/>
  <c r="L11" i="375" s="1"/>
  <c r="L9" i="311"/>
  <c r="E10" i="311"/>
  <c r="G11" i="311" s="1"/>
  <c r="L12" i="289"/>
  <c r="E13" i="289"/>
  <c r="L10" i="271"/>
  <c r="E11" i="271"/>
  <c r="G12" i="271"/>
  <c r="L10" i="257"/>
  <c r="L11" i="57"/>
  <c r="L9" i="287"/>
  <c r="G9" i="365"/>
  <c r="L9" i="365"/>
  <c r="E10" i="365"/>
  <c r="J25" i="170"/>
  <c r="J26" i="170" s="1"/>
  <c r="J27" i="170" s="1"/>
  <c r="J28" i="170" s="1"/>
  <c r="J29" i="170" s="1"/>
  <c r="L87" i="175"/>
  <c r="E11" i="345"/>
  <c r="G11" i="345"/>
  <c r="G10" i="327"/>
  <c r="L10" i="327"/>
  <c r="E11" i="327"/>
  <c r="G10" i="170"/>
  <c r="L10" i="170"/>
  <c r="E11" i="170"/>
  <c r="H10" i="170"/>
  <c r="K10" i="170"/>
  <c r="L37" i="132"/>
  <c r="E38" i="132"/>
  <c r="L38" i="132" s="1"/>
  <c r="K39" i="132"/>
  <c r="K40" i="132" s="1"/>
  <c r="K41" i="132" s="1"/>
  <c r="K42" i="132" s="1"/>
  <c r="K43" i="132" s="1"/>
  <c r="K44" i="132" s="1"/>
  <c r="K45" i="132" s="1"/>
  <c r="K46" i="132" s="1"/>
  <c r="K47" i="132" s="1"/>
  <c r="K48" i="132" s="1"/>
  <c r="K49" i="132" s="1"/>
  <c r="K50" i="132" s="1"/>
  <c r="K51" i="132" s="1"/>
  <c r="K52" i="132" s="1"/>
  <c r="K53" i="132" s="1"/>
  <c r="K54" i="132" s="1"/>
  <c r="K55" i="132" s="1"/>
  <c r="K56" i="132" s="1"/>
  <c r="K57" i="132" s="1"/>
  <c r="K58" i="132" s="1"/>
  <c r="K59" i="132" s="1"/>
  <c r="K60" i="132" s="1"/>
  <c r="K61" i="132" s="1"/>
  <c r="K62" i="132" s="1"/>
  <c r="K63" i="132" s="1"/>
  <c r="K64" i="132" s="1"/>
  <c r="K65" i="132" s="1"/>
  <c r="K66" i="132" s="1"/>
  <c r="K67" i="132" s="1"/>
  <c r="K68" i="132" s="1"/>
  <c r="K69" i="132" s="1"/>
  <c r="K70" i="132" s="1"/>
  <c r="K71" i="132" s="1"/>
  <c r="K72" i="132" s="1"/>
  <c r="K73" i="132" s="1"/>
  <c r="K74" i="132" s="1"/>
  <c r="K75" i="132" s="1"/>
  <c r="K76" i="132" s="1"/>
  <c r="K77" i="132" s="1"/>
  <c r="K78" i="132" s="1"/>
  <c r="K79" i="132" s="1"/>
  <c r="K80" i="132" s="1"/>
  <c r="K81" i="132" s="1"/>
  <c r="K82" i="132" s="1"/>
  <c r="K83" i="132" s="1"/>
  <c r="K84" i="132" s="1"/>
  <c r="K85" i="132" s="1"/>
  <c r="K86" i="132" s="1"/>
  <c r="K87" i="132" s="1"/>
  <c r="L10" i="143"/>
  <c r="E11" i="143"/>
  <c r="L11" i="143" s="1"/>
  <c r="L8" i="341"/>
  <c r="L11" i="323"/>
  <c r="E12" i="323"/>
  <c r="G36" i="256"/>
  <c r="G40" i="256" s="1"/>
  <c r="G12" i="245"/>
  <c r="L12" i="245"/>
  <c r="E13" i="245"/>
  <c r="J61" i="95"/>
  <c r="L10" i="346"/>
  <c r="E11" i="276"/>
  <c r="L10" i="276"/>
  <c r="G11" i="373"/>
  <c r="L12" i="307"/>
  <c r="E13" i="307"/>
  <c r="E14" i="307" s="1"/>
  <c r="L9" i="252"/>
  <c r="E10" i="252"/>
  <c r="L10" i="252" s="1"/>
  <c r="L10" i="66"/>
  <c r="E11" i="66"/>
  <c r="L11" i="66" s="1"/>
  <c r="F61" i="33"/>
  <c r="L11" i="33"/>
  <c r="E12" i="33"/>
  <c r="E13" i="33" s="1"/>
  <c r="G13" i="305"/>
  <c r="J19" i="291"/>
  <c r="L14" i="246"/>
  <c r="E15" i="246"/>
  <c r="L15" i="246" s="1"/>
  <c r="L8" i="352"/>
  <c r="E9" i="352"/>
  <c r="G8" i="317"/>
  <c r="E9" i="317"/>
  <c r="G9" i="317" s="1"/>
  <c r="G10" i="368"/>
  <c r="G10" i="163"/>
  <c r="L9" i="132"/>
  <c r="E10" i="132"/>
  <c r="G10" i="132" s="1"/>
  <c r="G11" i="285"/>
  <c r="L9" i="254"/>
  <c r="E10" i="254"/>
  <c r="K9" i="357"/>
  <c r="L8" i="357"/>
  <c r="L11" i="111"/>
  <c r="L10" i="348"/>
  <c r="E11" i="348"/>
  <c r="G10" i="348"/>
  <c r="L15" i="301"/>
  <c r="J12" i="275"/>
  <c r="J13" i="275" s="1"/>
  <c r="J14" i="275" s="1"/>
  <c r="J15" i="275" s="1"/>
  <c r="E10" i="202"/>
  <c r="L9" i="71"/>
  <c r="E10" i="71"/>
  <c r="E62" i="33"/>
  <c r="L10" i="268"/>
  <c r="E11" i="268"/>
  <c r="G10" i="268"/>
  <c r="J26" i="11"/>
  <c r="J27" i="11" s="1"/>
  <c r="J28" i="11" s="1"/>
  <c r="J29" i="11" s="1"/>
  <c r="J30" i="11" s="1"/>
  <c r="J31" i="11" s="1"/>
  <c r="J32" i="11" s="1"/>
  <c r="J33" i="11" s="1"/>
  <c r="J34" i="11" s="1"/>
  <c r="J35" i="11" s="1"/>
  <c r="J36" i="11" s="1"/>
  <c r="J37" i="11" s="1"/>
  <c r="J38" i="11" s="1"/>
  <c r="J39" i="11" s="1"/>
  <c r="J40" i="11" s="1"/>
  <c r="J41" i="11" s="1"/>
  <c r="J42" i="11" s="1"/>
  <c r="J43" i="11" s="1"/>
  <c r="J44" i="11" s="1"/>
  <c r="J45" i="11" s="1"/>
  <c r="J46" i="11" s="1"/>
  <c r="J47" i="11" s="1"/>
  <c r="J48" i="11" s="1"/>
  <c r="J49" i="11" s="1"/>
  <c r="J50" i="11" s="1"/>
  <c r="J4" i="422" s="1"/>
  <c r="L62" i="33"/>
  <c r="E63" i="33"/>
  <c r="L10" i="71"/>
  <c r="E11" i="71"/>
  <c r="E13" i="285"/>
  <c r="L10" i="132"/>
  <c r="L11" i="368"/>
  <c r="L9" i="352"/>
  <c r="E10" i="352"/>
  <c r="L12" i="33"/>
  <c r="E12" i="66"/>
  <c r="E13" i="66" s="1"/>
  <c r="E11" i="252"/>
  <c r="L13" i="307"/>
  <c r="L11" i="276"/>
  <c r="E12" i="346"/>
  <c r="E13" i="346" s="1"/>
  <c r="L13" i="346" s="1"/>
  <c r="L11" i="346"/>
  <c r="G13" i="245"/>
  <c r="L13" i="245"/>
  <c r="E14" i="245"/>
  <c r="G11" i="327"/>
  <c r="E12" i="327"/>
  <c r="E13" i="327" s="1"/>
  <c r="G13" i="327" s="1"/>
  <c r="L11" i="327"/>
  <c r="G10" i="365"/>
  <c r="L10" i="365"/>
  <c r="G12" i="365"/>
  <c r="L11" i="257"/>
  <c r="E12" i="257"/>
  <c r="E13" i="257" s="1"/>
  <c r="E14" i="257" s="1"/>
  <c r="L14" i="257" s="1"/>
  <c r="L12" i="264"/>
  <c r="E13" i="264"/>
  <c r="G13" i="264"/>
  <c r="J11" i="104"/>
  <c r="L11" i="104" s="1"/>
  <c r="L10" i="104"/>
  <c r="G12" i="273"/>
  <c r="F12" i="106"/>
  <c r="L10" i="284"/>
  <c r="L11" i="119"/>
  <c r="D13" i="296"/>
  <c r="F12" i="296"/>
  <c r="D13" i="33"/>
  <c r="G11" i="255"/>
  <c r="L11" i="185"/>
  <c r="E12" i="185"/>
  <c r="L12" i="185" s="1"/>
  <c r="G11" i="268"/>
  <c r="E12" i="268"/>
  <c r="L11" i="268"/>
  <c r="L10" i="202"/>
  <c r="E11" i="202"/>
  <c r="E13" i="326"/>
  <c r="L13" i="326" s="1"/>
  <c r="L11" i="348"/>
  <c r="E12" i="348"/>
  <c r="G11" i="348"/>
  <c r="G12" i="348"/>
  <c r="E13" i="111"/>
  <c r="L13" i="111" s="1"/>
  <c r="L12" i="111"/>
  <c r="L10" i="254"/>
  <c r="E11" i="254"/>
  <c r="J20" i="291"/>
  <c r="J62" i="95"/>
  <c r="L12" i="323"/>
  <c r="E13" i="323"/>
  <c r="L9" i="341"/>
  <c r="E12" i="143"/>
  <c r="E13" i="143" s="1"/>
  <c r="H11" i="170"/>
  <c r="K11" i="170" s="1"/>
  <c r="G11" i="170"/>
  <c r="L11" i="170"/>
  <c r="E12" i="170"/>
  <c r="G12" i="345"/>
  <c r="L88" i="175"/>
  <c r="E11" i="287"/>
  <c r="L12" i="57"/>
  <c r="L11" i="271"/>
  <c r="E12" i="271"/>
  <c r="G14" i="271" s="1"/>
  <c r="G13" i="271"/>
  <c r="L13" i="289"/>
  <c r="E14" i="289"/>
  <c r="L10" i="311"/>
  <c r="E11" i="311"/>
  <c r="E14" i="211"/>
  <c r="G12" i="269"/>
  <c r="E11" i="240"/>
  <c r="E12" i="240" s="1"/>
  <c r="E13" i="240" s="1"/>
  <c r="E14" i="240" s="1"/>
  <c r="L10" i="214"/>
  <c r="G11" i="154"/>
  <c r="E12" i="154"/>
  <c r="D12" i="364"/>
  <c r="F11" i="364"/>
  <c r="E12" i="361"/>
  <c r="L12" i="361" s="1"/>
  <c r="L11" i="258"/>
  <c r="E12" i="258"/>
  <c r="L13" i="328"/>
  <c r="E14" i="328"/>
  <c r="L13" i="256"/>
  <c r="E14" i="256"/>
  <c r="J18" i="195"/>
  <c r="J19" i="195" s="1"/>
  <c r="J166" i="422" s="1"/>
  <c r="J17" i="303"/>
  <c r="J18" i="303" s="1"/>
  <c r="J25" i="137"/>
  <c r="J26" i="137" s="1"/>
  <c r="E13" i="154"/>
  <c r="L12" i="271"/>
  <c r="E13" i="271"/>
  <c r="L13" i="271" s="1"/>
  <c r="J63" i="95"/>
  <c r="J21" i="291"/>
  <c r="L11" i="254"/>
  <c r="E12" i="254"/>
  <c r="L12" i="254" s="1"/>
  <c r="L12" i="348"/>
  <c r="E13" i="348"/>
  <c r="G13" i="348"/>
  <c r="L12" i="268"/>
  <c r="E13" i="268"/>
  <c r="G12" i="268"/>
  <c r="E13" i="119"/>
  <c r="L13" i="119" s="1"/>
  <c r="L13" i="264"/>
  <c r="E14" i="264"/>
  <c r="G14" i="264"/>
  <c r="L12" i="257"/>
  <c r="G14" i="245"/>
  <c r="L14" i="245"/>
  <c r="E15" i="245"/>
  <c r="L11" i="252"/>
  <c r="E12" i="252"/>
  <c r="L12" i="66"/>
  <c r="L14" i="256"/>
  <c r="E15" i="256"/>
  <c r="L12" i="258"/>
  <c r="E13" i="258"/>
  <c r="F12" i="364"/>
  <c r="D13" i="364"/>
  <c r="E12" i="214"/>
  <c r="L11" i="240"/>
  <c r="E15" i="211"/>
  <c r="L14" i="289"/>
  <c r="E15" i="289"/>
  <c r="L13" i="57"/>
  <c r="E14" i="57"/>
  <c r="L12" i="170"/>
  <c r="L12" i="143"/>
  <c r="E11" i="341"/>
  <c r="E12" i="341" s="1"/>
  <c r="L12" i="341" s="1"/>
  <c r="E14" i="111"/>
  <c r="E14" i="326"/>
  <c r="E15" i="326" s="1"/>
  <c r="E16" i="326" s="1"/>
  <c r="L16" i="326" s="1"/>
  <c r="L11" i="202"/>
  <c r="E12" i="202"/>
  <c r="E13" i="185"/>
  <c r="F13" i="33"/>
  <c r="D14" i="33"/>
  <c r="F13" i="296"/>
  <c r="D14" i="296"/>
  <c r="J12" i="104"/>
  <c r="L12" i="104" s="1"/>
  <c r="L12" i="327"/>
  <c r="L10" i="352"/>
  <c r="E11" i="352"/>
  <c r="L11" i="71"/>
  <c r="E12" i="71"/>
  <c r="L12" i="71" s="1"/>
  <c r="F14" i="296"/>
  <c r="D15" i="296"/>
  <c r="F14" i="33"/>
  <c r="D15" i="33"/>
  <c r="L12" i="202"/>
  <c r="E13" i="202"/>
  <c r="L14" i="326"/>
  <c r="E16" i="289"/>
  <c r="L16" i="289" s="1"/>
  <c r="L15" i="289"/>
  <c r="E16" i="211"/>
  <c r="G16" i="211" s="1"/>
  <c r="J19" i="303"/>
  <c r="J20" i="303" s="1"/>
  <c r="J21" i="303" s="1"/>
  <c r="J22" i="303" s="1"/>
  <c r="J23" i="303" s="1"/>
  <c r="J171" i="422" s="1"/>
  <c r="J27" i="137"/>
  <c r="E14" i="346"/>
  <c r="E16" i="245"/>
  <c r="L16" i="245" s="1"/>
  <c r="L13" i="257"/>
  <c r="G14" i="348"/>
  <c r="E14" i="348"/>
  <c r="E15" i="348" s="1"/>
  <c r="L13" i="348"/>
  <c r="E13" i="71"/>
  <c r="E14" i="71" s="1"/>
  <c r="E14" i="327"/>
  <c r="E15" i="327" s="1"/>
  <c r="L13" i="327"/>
  <c r="L13" i="185"/>
  <c r="E14" i="185"/>
  <c r="L11" i="341"/>
  <c r="L13" i="143"/>
  <c r="E14" i="143"/>
  <c r="F13" i="364"/>
  <c r="D14" i="364"/>
  <c r="F14" i="364" s="1"/>
  <c r="L13" i="258"/>
  <c r="E14" i="258"/>
  <c r="L15" i="256"/>
  <c r="E16" i="256"/>
  <c r="L14" i="264"/>
  <c r="E15" i="264"/>
  <c r="L15" i="264" s="1"/>
  <c r="G15" i="264"/>
  <c r="G13" i="268"/>
  <c r="L13" i="268"/>
  <c r="E14" i="268"/>
  <c r="L14" i="268" s="1"/>
  <c r="H14" i="268"/>
  <c r="K14" i="268"/>
  <c r="K15" i="268"/>
  <c r="K16" i="268" s="1"/>
  <c r="K17" i="268" s="1"/>
  <c r="K18" i="268" s="1"/>
  <c r="K19" i="268"/>
  <c r="K20" i="268" s="1"/>
  <c r="K21" i="268" s="1"/>
  <c r="K22" i="268" s="1"/>
  <c r="K23" i="268"/>
  <c r="K24" i="268" s="1"/>
  <c r="K25" i="268" s="1"/>
  <c r="K26" i="268" s="1"/>
  <c r="J17" i="226"/>
  <c r="J64" i="95"/>
  <c r="G15" i="271"/>
  <c r="L13" i="154"/>
  <c r="G13" i="154"/>
  <c r="E14" i="154"/>
  <c r="J65" i="95"/>
  <c r="J16" i="94"/>
  <c r="J17" i="94" s="1"/>
  <c r="J18" i="94" s="1"/>
  <c r="J19" i="94" s="1"/>
  <c r="J20" i="94" s="1"/>
  <c r="J21" i="94" s="1"/>
  <c r="J22" i="94" s="1"/>
  <c r="J23" i="94" s="1"/>
  <c r="J24" i="94" s="1"/>
  <c r="J25" i="94" s="1"/>
  <c r="J26" i="94" s="1"/>
  <c r="J27" i="94" s="1"/>
  <c r="J74" i="422" s="1"/>
  <c r="J18" i="226"/>
  <c r="J19" i="226" s="1"/>
  <c r="J20" i="226" s="1"/>
  <c r="G14" i="154"/>
  <c r="G14" i="268"/>
  <c r="G16" i="264"/>
  <c r="E16" i="264"/>
  <c r="L16" i="264" s="1"/>
  <c r="L14" i="143"/>
  <c r="E15" i="143"/>
  <c r="G14" i="327"/>
  <c r="L13" i="71"/>
  <c r="E15" i="257"/>
  <c r="L15" i="257" s="1"/>
  <c r="L14" i="346"/>
  <c r="E15" i="346"/>
  <c r="L15" i="346" s="1"/>
  <c r="E17" i="211"/>
  <c r="E18" i="211" s="1"/>
  <c r="G18" i="211" s="1"/>
  <c r="J16" i="275"/>
  <c r="L15" i="326"/>
  <c r="L13" i="202"/>
  <c r="E14" i="202"/>
  <c r="L14" i="202" s="1"/>
  <c r="F15" i="33"/>
  <c r="D16" i="33"/>
  <c r="F15" i="296"/>
  <c r="D16" i="296"/>
  <c r="J25" i="199"/>
  <c r="J26" i="199" s="1"/>
  <c r="J27" i="199" s="1"/>
  <c r="J28" i="199" s="1"/>
  <c r="J29" i="199" s="1"/>
  <c r="L16" i="256"/>
  <c r="E17" i="256"/>
  <c r="L14" i="258"/>
  <c r="E15" i="258"/>
  <c r="L15" i="258" s="1"/>
  <c r="D15" i="364"/>
  <c r="E13" i="341"/>
  <c r="F110" i="422" s="1"/>
  <c r="L14" i="185"/>
  <c r="E15" i="185"/>
  <c r="L14" i="348"/>
  <c r="G15" i="348"/>
  <c r="G16" i="245"/>
  <c r="J28" i="137"/>
  <c r="J29" i="137" s="1"/>
  <c r="J30" i="137" s="1"/>
  <c r="J31" i="137" s="1"/>
  <c r="J32" i="137" s="1"/>
  <c r="J33" i="137" s="1"/>
  <c r="J34" i="137" s="1"/>
  <c r="J35" i="137" s="1"/>
  <c r="J36" i="137" s="1"/>
  <c r="J37" i="137" s="1"/>
  <c r="J38" i="137" s="1"/>
  <c r="J39" i="137" s="1"/>
  <c r="J40" i="137" s="1"/>
  <c r="J41" i="137" s="1"/>
  <c r="J42" i="137" s="1"/>
  <c r="J43" i="137" s="1"/>
  <c r="J44" i="137" s="1"/>
  <c r="J45" i="137" s="1"/>
  <c r="J46" i="137" s="1"/>
  <c r="J47" i="137" s="1"/>
  <c r="J48" i="137" s="1"/>
  <c r="J49" i="137" s="1"/>
  <c r="L13" i="240"/>
  <c r="L15" i="185"/>
  <c r="E16" i="185"/>
  <c r="L17" i="256"/>
  <c r="E18" i="256"/>
  <c r="F16" i="33"/>
  <c r="D17" i="33"/>
  <c r="F17" i="33" s="1"/>
  <c r="E15" i="202"/>
  <c r="J17" i="275"/>
  <c r="J18" i="275" s="1"/>
  <c r="J19" i="275" s="1"/>
  <c r="J20" i="275" s="1"/>
  <c r="J21" i="275" s="1"/>
  <c r="J22" i="275" s="1"/>
  <c r="E16" i="257"/>
  <c r="E17" i="257" s="1"/>
  <c r="L17" i="257" s="1"/>
  <c r="L14" i="71"/>
  <c r="E15" i="71"/>
  <c r="L15" i="71" s="1"/>
  <c r="G15" i="327"/>
  <c r="L15" i="143"/>
  <c r="E16" i="143"/>
  <c r="E17" i="143" s="1"/>
  <c r="J30" i="170"/>
  <c r="J31" i="170" s="1"/>
  <c r="F15" i="364"/>
  <c r="D16" i="364"/>
  <c r="F16" i="364" s="1"/>
  <c r="E17" i="326"/>
  <c r="L17" i="326" s="1"/>
  <c r="E17" i="264"/>
  <c r="G18" i="264" s="1"/>
  <c r="G17" i="264"/>
  <c r="J66" i="95"/>
  <c r="J67" i="95" s="1"/>
  <c r="E18" i="326"/>
  <c r="L18" i="326" s="1"/>
  <c r="L18" i="256"/>
  <c r="E19" i="256"/>
  <c r="L16" i="185"/>
  <c r="E17" i="185"/>
  <c r="E18" i="185" s="1"/>
  <c r="D17" i="364"/>
  <c r="F17" i="364" s="1"/>
  <c r="L16" i="143"/>
  <c r="E16" i="71"/>
  <c r="L16" i="71" s="1"/>
  <c r="L18" i="211"/>
  <c r="D18" i="33"/>
  <c r="D18" i="364"/>
  <c r="F18" i="364" s="1"/>
  <c r="L17" i="185"/>
  <c r="E18" i="257"/>
  <c r="L18" i="257" s="1"/>
  <c r="E19" i="326"/>
  <c r="E20" i="326" s="1"/>
  <c r="L20" i="326" s="1"/>
  <c r="E17" i="71"/>
  <c r="E18" i="71" s="1"/>
  <c r="J32" i="170"/>
  <c r="J33" i="170" s="1"/>
  <c r="J34" i="170" s="1"/>
  <c r="J35" i="170" s="1"/>
  <c r="J36" i="170" s="1"/>
  <c r="J37" i="170" s="1"/>
  <c r="J38" i="170" s="1"/>
  <c r="J39" i="170" s="1"/>
  <c r="J40" i="170" s="1"/>
  <c r="J41" i="170" s="1"/>
  <c r="J161" i="422" s="1"/>
  <c r="J21" i="226"/>
  <c r="J29" i="422" s="1"/>
  <c r="L19" i="326"/>
  <c r="J30" i="199"/>
  <c r="J31" i="199" s="1"/>
  <c r="J32" i="199"/>
  <c r="J33" i="199" s="1"/>
  <c r="J34" i="199" s="1"/>
  <c r="J35" i="199" s="1"/>
  <c r="J23" i="275"/>
  <c r="J49" i="422" s="1"/>
  <c r="H49" i="422" s="1"/>
  <c r="H135" i="422"/>
  <c r="H167" i="422"/>
  <c r="E9" i="429"/>
  <c r="L8" i="429"/>
  <c r="I51" i="422"/>
  <c r="K16" i="408"/>
  <c r="E11" i="408"/>
  <c r="L10" i="408"/>
  <c r="L7" i="429"/>
  <c r="L7" i="140"/>
  <c r="L6" i="140"/>
  <c r="D8" i="428"/>
  <c r="D9" i="428"/>
  <c r="D10" i="428" s="1"/>
  <c r="D11" i="428" s="1"/>
  <c r="D12" i="428" s="1"/>
  <c r="D13" i="428"/>
  <c r="D14" i="428" s="1"/>
  <c r="D15" i="428" s="1"/>
  <c r="D16" i="428" s="1"/>
  <c r="D17" i="428" s="1"/>
  <c r="D18" i="428" s="1"/>
  <c r="D19" i="428" s="1"/>
  <c r="D20" i="428" s="1"/>
  <c r="D21" i="428" s="1"/>
  <c r="D22" i="428" s="1"/>
  <c r="D23" i="428" s="1"/>
  <c r="D24" i="428" s="1"/>
  <c r="D25" i="428" s="1"/>
  <c r="D26" i="428" s="1"/>
  <c r="D27" i="428" s="1"/>
  <c r="F7" i="428"/>
  <c r="L9" i="146"/>
  <c r="G10" i="146"/>
  <c r="E10" i="146"/>
  <c r="K11" i="146"/>
  <c r="K12" i="146"/>
  <c r="K13" i="146" s="1"/>
  <c r="K14" i="146" s="1"/>
  <c r="K15" i="146" s="1"/>
  <c r="K16" i="146" s="1"/>
  <c r="E6" i="428"/>
  <c r="L5" i="428"/>
  <c r="J14" i="146"/>
  <c r="L8" i="146"/>
  <c r="G9" i="146"/>
  <c r="E7" i="427"/>
  <c r="L6" i="427"/>
  <c r="H152" i="422"/>
  <c r="H33" i="422"/>
  <c r="D24" i="121"/>
  <c r="D25" i="121" s="1"/>
  <c r="D26" i="121" s="1"/>
  <c r="J121" i="422"/>
  <c r="E8" i="426"/>
  <c r="E9" i="426" s="1"/>
  <c r="E10" i="426" s="1"/>
  <c r="E11" i="426" s="1"/>
  <c r="L11" i="426" s="1"/>
  <c r="L7" i="426"/>
  <c r="E117" i="422"/>
  <c r="D53" i="119"/>
  <c r="D54" i="119"/>
  <c r="E14" i="119"/>
  <c r="L14" i="119" s="1"/>
  <c r="J25" i="119"/>
  <c r="J26" i="119" s="1"/>
  <c r="J27" i="119" s="1"/>
  <c r="J28" i="119"/>
  <c r="J29" i="119" s="1"/>
  <c r="J30" i="119" s="1"/>
  <c r="J31" i="119" s="1"/>
  <c r="J32" i="119"/>
  <c r="J33" i="119" s="1"/>
  <c r="J34" i="119" s="1"/>
  <c r="J35" i="119" s="1"/>
  <c r="J36" i="119" s="1"/>
  <c r="J37" i="119" s="1"/>
  <c r="J38" i="119" s="1"/>
  <c r="J39" i="119" s="1"/>
  <c r="J40" i="119" s="1"/>
  <c r="J41" i="119" s="1"/>
  <c r="J42" i="119" s="1"/>
  <c r="J43" i="119" s="1"/>
  <c r="J44" i="119" s="1"/>
  <c r="J45" i="119" s="1"/>
  <c r="J46" i="119" s="1"/>
  <c r="J47" i="119" s="1"/>
  <c r="J48" i="119" s="1"/>
  <c r="J49" i="119" s="1"/>
  <c r="J50" i="119" s="1"/>
  <c r="J51" i="119" s="1"/>
  <c r="J52" i="119" s="1"/>
  <c r="J53" i="119" s="1"/>
  <c r="J54" i="119" s="1"/>
  <c r="J117" i="422" s="1"/>
  <c r="E8" i="425"/>
  <c r="L7" i="425"/>
  <c r="I7" i="424"/>
  <c r="J7" i="424"/>
  <c r="E9" i="423"/>
  <c r="L8" i="423"/>
  <c r="H19" i="423"/>
  <c r="K19" i="423"/>
  <c r="K20" i="423" s="1"/>
  <c r="K21" i="423" s="1"/>
  <c r="K22" i="423" s="1"/>
  <c r="K23" i="423" s="1"/>
  <c r="K24" i="423" s="1"/>
  <c r="K25" i="423" s="1"/>
  <c r="K26" i="423" s="1"/>
  <c r="L7" i="423"/>
  <c r="H42" i="422"/>
  <c r="H7" i="422"/>
  <c r="H11" i="422"/>
  <c r="H14" i="422"/>
  <c r="H15" i="422"/>
  <c r="H27" i="422"/>
  <c r="H30" i="422"/>
  <c r="H35" i="422"/>
  <c r="H39" i="422"/>
  <c r="H58" i="422"/>
  <c r="H70" i="422"/>
  <c r="H88" i="422"/>
  <c r="H97" i="422"/>
  <c r="H100" i="422"/>
  <c r="H107" i="422"/>
  <c r="H126" i="422"/>
  <c r="H137" i="422"/>
  <c r="H159" i="422"/>
  <c r="H169" i="422"/>
  <c r="H170" i="422"/>
  <c r="H171" i="422"/>
  <c r="H173" i="422"/>
  <c r="H174" i="422"/>
  <c r="H175" i="422"/>
  <c r="H176" i="422"/>
  <c r="H177" i="422"/>
  <c r="H181" i="422"/>
  <c r="H186" i="422"/>
  <c r="H16" i="422"/>
  <c r="H51" i="422"/>
  <c r="H59" i="422"/>
  <c r="H61" i="422"/>
  <c r="H65" i="422"/>
  <c r="H69" i="422"/>
  <c r="H73" i="422"/>
  <c r="H75" i="422"/>
  <c r="H79" i="422"/>
  <c r="H83" i="422"/>
  <c r="H85" i="422"/>
  <c r="H87" i="422"/>
  <c r="H89" i="422"/>
  <c r="H91" i="422"/>
  <c r="H99" i="422"/>
  <c r="H125" i="422"/>
  <c r="H138" i="422"/>
  <c r="H155" i="422"/>
  <c r="H9" i="422"/>
  <c r="I146" i="422"/>
  <c r="L11" i="408"/>
  <c r="E12" i="408"/>
  <c r="E10" i="429"/>
  <c r="L10" i="429" s="1"/>
  <c r="L9" i="429"/>
  <c r="G7" i="428"/>
  <c r="E7" i="428"/>
  <c r="L6" i="428"/>
  <c r="G11" i="146"/>
  <c r="E11" i="146"/>
  <c r="H14" i="146" s="1"/>
  <c r="L10" i="146"/>
  <c r="E8" i="427"/>
  <c r="L7" i="427"/>
  <c r="J15" i="146"/>
  <c r="J16" i="146" s="1"/>
  <c r="L8" i="426"/>
  <c r="L8" i="425"/>
  <c r="E9" i="425"/>
  <c r="E10" i="423"/>
  <c r="L9" i="423"/>
  <c r="G10" i="423"/>
  <c r="E13" i="408"/>
  <c r="L12" i="408"/>
  <c r="E12" i="146"/>
  <c r="H13" i="146"/>
  <c r="H15" i="146"/>
  <c r="E9" i="427"/>
  <c r="L8" i="427"/>
  <c r="L9" i="426"/>
  <c r="E10" i="425"/>
  <c r="L10" i="425" s="1"/>
  <c r="L9" i="425"/>
  <c r="E14" i="408"/>
  <c r="L13" i="408"/>
  <c r="L10" i="426"/>
  <c r="E15" i="408"/>
  <c r="F51" i="422" s="1"/>
  <c r="L14" i="408"/>
  <c r="E12" i="426"/>
  <c r="L12" i="426" s="1"/>
  <c r="L15" i="408"/>
  <c r="E13" i="426"/>
  <c r="E14" i="426" s="1"/>
  <c r="E15" i="426" s="1"/>
  <c r="E16" i="426" s="1"/>
  <c r="E17" i="426" s="1"/>
  <c r="E18" i="426" s="1"/>
  <c r="E19" i="426" s="1"/>
  <c r="E20" i="426" s="1"/>
  <c r="L19" i="426" l="1"/>
  <c r="L18" i="426"/>
  <c r="L17" i="426"/>
  <c r="L16" i="426"/>
  <c r="L15" i="426"/>
  <c r="L14" i="426"/>
  <c r="L13" i="426"/>
  <c r="E10" i="427"/>
  <c r="L9" i="427"/>
  <c r="E13" i="146"/>
  <c r="L12" i="146"/>
  <c r="J119" i="422"/>
  <c r="H119" i="422" s="1"/>
  <c r="L7" i="424"/>
  <c r="E15" i="119"/>
  <c r="E121" i="422"/>
  <c r="L20" i="426"/>
  <c r="E21" i="426"/>
  <c r="E11" i="423"/>
  <c r="L10" i="423"/>
  <c r="G11" i="423"/>
  <c r="E8" i="428"/>
  <c r="L7" i="428"/>
  <c r="G8" i="428"/>
  <c r="L18" i="71"/>
  <c r="E19" i="71"/>
  <c r="L19" i="71" s="1"/>
  <c r="E11" i="425"/>
  <c r="L11" i="146"/>
  <c r="G12" i="146"/>
  <c r="D19" i="364"/>
  <c r="E19" i="257"/>
  <c r="L17" i="71"/>
  <c r="D19" i="33"/>
  <c r="F18" i="33"/>
  <c r="L18" i="185"/>
  <c r="E19" i="185"/>
  <c r="E18" i="264"/>
  <c r="L17" i="143"/>
  <c r="E18" i="143"/>
  <c r="L17" i="211"/>
  <c r="E16" i="258"/>
  <c r="F16" i="296"/>
  <c r="D17" i="296"/>
  <c r="L16" i="211"/>
  <c r="F63" i="422"/>
  <c r="L15" i="348"/>
  <c r="L12" i="214"/>
  <c r="E13" i="214"/>
  <c r="E13" i="252"/>
  <c r="L12" i="252"/>
  <c r="E14" i="66"/>
  <c r="L13" i="66"/>
  <c r="F62" i="33"/>
  <c r="D63" i="33"/>
  <c r="E19" i="211"/>
  <c r="L16" i="257"/>
  <c r="G17" i="211"/>
  <c r="L13" i="341"/>
  <c r="L14" i="327"/>
  <c r="F131" i="422"/>
  <c r="L11" i="352"/>
  <c r="I136" i="422"/>
  <c r="K88" i="132"/>
  <c r="K89" i="132" s="1"/>
  <c r="L15" i="202"/>
  <c r="E16" i="202"/>
  <c r="L14" i="154"/>
  <c r="E15" i="154"/>
  <c r="E16" i="327"/>
  <c r="L15" i="327"/>
  <c r="G15" i="211"/>
  <c r="L15" i="211"/>
  <c r="L19" i="256"/>
  <c r="E20" i="256"/>
  <c r="L17" i="264"/>
  <c r="L14" i="240"/>
  <c r="E15" i="240"/>
  <c r="D14" i="106"/>
  <c r="F13" i="106"/>
  <c r="E15" i="111"/>
  <c r="L14" i="111"/>
  <c r="E15" i="328"/>
  <c r="L14" i="328"/>
  <c r="L14" i="211"/>
  <c r="G14" i="211"/>
  <c r="H12" i="170"/>
  <c r="K12" i="170" s="1"/>
  <c r="K13" i="170" s="1"/>
  <c r="E13" i="170"/>
  <c r="G11" i="276"/>
  <c r="E12" i="276"/>
  <c r="G15" i="365"/>
  <c r="G14" i="365"/>
  <c r="G13" i="365"/>
  <c r="E11" i="365"/>
  <c r="E11" i="373"/>
  <c r="L10" i="373"/>
  <c r="E107" i="33"/>
  <c r="L106" i="33"/>
  <c r="F14" i="268"/>
  <c r="D15" i="268"/>
  <c r="I46" i="422"/>
  <c r="H46" i="422" s="1"/>
  <c r="K26" i="258"/>
  <c r="I110" i="422"/>
  <c r="H110" i="422" s="1"/>
  <c r="K14" i="341"/>
  <c r="L11" i="284"/>
  <c r="G11" i="284"/>
  <c r="E90" i="175"/>
  <c r="L89" i="175"/>
  <c r="K23" i="175"/>
  <c r="K24" i="175" s="1"/>
  <c r="K25" i="175" s="1"/>
  <c r="L15" i="245"/>
  <c r="G15" i="245"/>
  <c r="E12" i="311"/>
  <c r="L11" i="311"/>
  <c r="F92" i="422"/>
  <c r="L13" i="323"/>
  <c r="E16" i="246"/>
  <c r="E10" i="317"/>
  <c r="G13" i="285"/>
  <c r="E14" i="285"/>
  <c r="E64" i="33"/>
  <c r="L63" i="33"/>
  <c r="E15" i="307"/>
  <c r="L14" i="307"/>
  <c r="E12" i="386"/>
  <c r="L7" i="392"/>
  <c r="G8" i="392"/>
  <c r="F37" i="132"/>
  <c r="D38" i="132"/>
  <c r="L8" i="381"/>
  <c r="E9" i="381"/>
  <c r="L9" i="381" s="1"/>
  <c r="G9" i="54"/>
  <c r="L8" i="54"/>
  <c r="E9" i="54"/>
  <c r="F86" i="422"/>
  <c r="L36" i="256"/>
  <c r="I109" i="422"/>
  <c r="H109" i="422" s="1"/>
  <c r="K20" i="327"/>
  <c r="E11" i="163"/>
  <c r="L10" i="163"/>
  <c r="J53" i="175"/>
  <c r="J54" i="175" s="1"/>
  <c r="J55" i="175" s="1"/>
  <c r="J56" i="175" s="1"/>
  <c r="L52" i="175"/>
  <c r="G12" i="305"/>
  <c r="I168" i="422"/>
  <c r="H168" i="422" s="1"/>
  <c r="K14" i="204"/>
  <c r="E17" i="245"/>
  <c r="E17" i="289"/>
  <c r="E15" i="268"/>
  <c r="E14" i="271"/>
  <c r="J13" i="104"/>
  <c r="E13" i="254"/>
  <c r="L13" i="285"/>
  <c r="G12" i="327"/>
  <c r="E12" i="284"/>
  <c r="G12" i="170"/>
  <c r="G12" i="311"/>
  <c r="E12" i="287"/>
  <c r="L11" i="287"/>
  <c r="E39" i="132"/>
  <c r="G10" i="284"/>
  <c r="G17" i="365"/>
  <c r="L9" i="317"/>
  <c r="L12" i="285"/>
  <c r="L11" i="326"/>
  <c r="L13" i="211"/>
  <c r="G13" i="211"/>
  <c r="E12" i="269"/>
  <c r="L11" i="269"/>
  <c r="L9" i="284"/>
  <c r="G14" i="296"/>
  <c r="E8" i="392"/>
  <c r="L8" i="392" s="1"/>
  <c r="E12" i="80"/>
  <c r="L11" i="80"/>
  <c r="E9" i="180"/>
  <c r="L8" i="180"/>
  <c r="L8" i="321"/>
  <c r="E9" i="321"/>
  <c r="G11" i="368"/>
  <c r="E12" i="368"/>
  <c r="L16" i="301"/>
  <c r="E17" i="301"/>
  <c r="I55" i="422"/>
  <c r="H55" i="422" s="1"/>
  <c r="K23" i="311"/>
  <c r="I98" i="422"/>
  <c r="H98" i="422" s="1"/>
  <c r="K59" i="108"/>
  <c r="O17" i="240"/>
  <c r="P17" i="240" s="1"/>
  <c r="K18" i="240"/>
  <c r="K19" i="240" s="1"/>
  <c r="K20" i="240" s="1"/>
  <c r="K21" i="240" s="1"/>
  <c r="K22" i="240" s="1"/>
  <c r="K23" i="240" s="1"/>
  <c r="K24" i="240" s="1"/>
  <c r="K25" i="240" s="1"/>
  <c r="K26" i="240" s="1"/>
  <c r="K27" i="240" s="1"/>
  <c r="K28" i="240" s="1"/>
  <c r="J103" i="422"/>
  <c r="J160" i="422"/>
  <c r="H160" i="422" s="1"/>
  <c r="L12" i="240"/>
  <c r="E15" i="57"/>
  <c r="L14" i="57"/>
  <c r="E13" i="361"/>
  <c r="L12" i="346"/>
  <c r="L12" i="154"/>
  <c r="G12" i="154"/>
  <c r="G16" i="365"/>
  <c r="G11" i="365"/>
  <c r="E11" i="132"/>
  <c r="E14" i="33"/>
  <c r="L13" i="33"/>
  <c r="E12" i="345"/>
  <c r="L12" i="345" s="1"/>
  <c r="L11" i="345"/>
  <c r="E12" i="273"/>
  <c r="L11" i="273"/>
  <c r="G9" i="284"/>
  <c r="E12" i="296"/>
  <c r="E12" i="255"/>
  <c r="L11" i="255"/>
  <c r="E10" i="182"/>
  <c r="L9" i="182"/>
  <c r="E15" i="305"/>
  <c r="L11" i="388"/>
  <c r="G11" i="388"/>
  <c r="E9" i="102"/>
  <c r="L8" i="102"/>
  <c r="E47" i="203"/>
  <c r="L46" i="203"/>
  <c r="I52" i="422"/>
  <c r="H52" i="422" s="1"/>
  <c r="K23" i="289"/>
  <c r="E10" i="358"/>
  <c r="L9" i="358"/>
  <c r="G9" i="388"/>
  <c r="L9" i="388"/>
  <c r="L11" i="285"/>
  <c r="L10" i="368"/>
  <c r="E13" i="118"/>
  <c r="G36" i="132"/>
  <c r="L9" i="276"/>
  <c r="E10" i="333"/>
  <c r="L9" i="66"/>
  <c r="F60" i="33"/>
  <c r="L8" i="358"/>
  <c r="G7" i="321"/>
  <c r="L9" i="163"/>
  <c r="D11" i="96"/>
  <c r="G9" i="311"/>
  <c r="G9" i="401"/>
  <c r="L8" i="339"/>
  <c r="E67" i="175"/>
  <c r="E154" i="175"/>
  <c r="D49" i="175"/>
  <c r="K33" i="175"/>
  <c r="K34" i="175" s="1"/>
  <c r="K35" i="175" s="1"/>
  <c r="K36" i="175" s="1"/>
  <c r="K37" i="175" s="1"/>
  <c r="K38" i="175" s="1"/>
  <c r="K39" i="175" s="1"/>
  <c r="K40" i="175" s="1"/>
  <c r="K41" i="175" s="1"/>
  <c r="K42" i="175" s="1"/>
  <c r="E32" i="175"/>
  <c r="E11" i="175"/>
  <c r="L8" i="175"/>
  <c r="E11" i="369"/>
  <c r="K11" i="288"/>
  <c r="K12" i="288" s="1"/>
  <c r="K13" i="288" s="1"/>
  <c r="K14" i="288" s="1"/>
  <c r="K15" i="288" s="1"/>
  <c r="K16" i="288" s="1"/>
  <c r="K17" i="288" s="1"/>
  <c r="K18" i="288" s="1"/>
  <c r="K19" i="288" s="1"/>
  <c r="K20" i="288" s="1"/>
  <c r="K21" i="288" s="1"/>
  <c r="K22" i="288" s="1"/>
  <c r="K23" i="288" s="1"/>
  <c r="K24" i="288" s="1"/>
  <c r="K25" i="288" s="1"/>
  <c r="E8" i="410"/>
  <c r="E8" i="404"/>
  <c r="L7" i="263"/>
  <c r="E8" i="263"/>
  <c r="F6" i="174"/>
  <c r="D7" i="174"/>
  <c r="E8" i="304"/>
  <c r="L7" i="199"/>
  <c r="E8" i="199"/>
  <c r="K23" i="170"/>
  <c r="K24" i="170" s="1"/>
  <c r="K25" i="170" s="1"/>
  <c r="K26" i="170" s="1"/>
  <c r="K27" i="170" s="1"/>
  <c r="K28" i="170" s="1"/>
  <c r="K29" i="170" s="1"/>
  <c r="K30" i="170" s="1"/>
  <c r="G9" i="325"/>
  <c r="L9" i="325"/>
  <c r="E10" i="325"/>
  <c r="E9" i="121"/>
  <c r="K89" i="175"/>
  <c r="K90" i="175" s="1"/>
  <c r="K91" i="175" s="1"/>
  <c r="K92" i="175" s="1"/>
  <c r="K93" i="175" s="1"/>
  <c r="K94" i="175" s="1"/>
  <c r="K95" i="175" s="1"/>
  <c r="K96" i="175" s="1"/>
  <c r="K97" i="175" s="1"/>
  <c r="K98" i="175" s="1"/>
  <c r="K99" i="175" s="1"/>
  <c r="K100" i="175" s="1"/>
  <c r="K101" i="175" s="1"/>
  <c r="K102" i="175" s="1"/>
  <c r="K103" i="175" s="1"/>
  <c r="K104" i="175" s="1"/>
  <c r="K105" i="175" s="1"/>
  <c r="K106" i="175" s="1"/>
  <c r="K107" i="175" s="1"/>
  <c r="K108" i="175" s="1"/>
  <c r="K109" i="175" s="1"/>
  <c r="K110" i="175" s="1"/>
  <c r="K111" i="175" s="1"/>
  <c r="K112" i="175" s="1"/>
  <c r="K113" i="175" s="1"/>
  <c r="K114" i="175" s="1"/>
  <c r="K115" i="175" s="1"/>
  <c r="K116" i="175" s="1"/>
  <c r="K117" i="175" s="1"/>
  <c r="G7" i="410"/>
  <c r="L7" i="410"/>
  <c r="G7" i="382"/>
  <c r="G8" i="382"/>
  <c r="L7" i="382"/>
  <c r="E11" i="336"/>
  <c r="G11" i="336"/>
  <c r="J37" i="303"/>
  <c r="L36" i="303"/>
  <c r="L9" i="303"/>
  <c r="G12" i="303"/>
  <c r="L7" i="204"/>
  <c r="E8" i="204"/>
  <c r="H25" i="199"/>
  <c r="G26" i="199"/>
  <c r="G24" i="199"/>
  <c r="J21" i="161"/>
  <c r="J22" i="161" s="1"/>
  <c r="J23" i="161" s="1"/>
  <c r="J24" i="161" s="1"/>
  <c r="J25" i="161" s="1"/>
  <c r="J26" i="161" s="1"/>
  <c r="J27" i="161" s="1"/>
  <c r="J28" i="161" s="1"/>
  <c r="J29" i="161" s="1"/>
  <c r="J30" i="161" s="1"/>
  <c r="J31" i="161" s="1"/>
  <c r="J32" i="161" s="1"/>
  <c r="J33" i="161" s="1"/>
  <c r="J34" i="161" s="1"/>
  <c r="J35" i="161" s="1"/>
  <c r="J36" i="161" s="1"/>
  <c r="J37" i="161" s="1"/>
  <c r="J38" i="161" s="1"/>
  <c r="J39" i="161" s="1"/>
  <c r="I141" i="422"/>
  <c r="H141" i="422" s="1"/>
  <c r="K13" i="355"/>
  <c r="L152" i="175"/>
  <c r="D92" i="175"/>
  <c r="F91" i="175"/>
  <c r="L20" i="175"/>
  <c r="F20" i="175"/>
  <c r="D21" i="175"/>
  <c r="F186" i="422"/>
  <c r="L8" i="290"/>
  <c r="D14" i="305"/>
  <c r="D15" i="305" s="1"/>
  <c r="D16" i="305" s="1"/>
  <c r="J10" i="305"/>
  <c r="J11" i="305" s="1"/>
  <c r="L9" i="305"/>
  <c r="K11" i="246"/>
  <c r="K12" i="246" s="1"/>
  <c r="K13" i="246" s="1"/>
  <c r="K14" i="246" s="1"/>
  <c r="G29" i="199"/>
  <c r="G30" i="199"/>
  <c r="G31" i="199"/>
  <c r="G25" i="199"/>
  <c r="G19" i="199"/>
  <c r="G20" i="199"/>
  <c r="H20" i="199"/>
  <c r="G21" i="199"/>
  <c r="L7" i="195"/>
  <c r="E8" i="195"/>
  <c r="L12" i="342"/>
  <c r="E13" i="342"/>
  <c r="E12" i="340"/>
  <c r="G11" i="340"/>
  <c r="G10" i="340"/>
  <c r="L10" i="340"/>
  <c r="E23" i="170"/>
  <c r="G22" i="170"/>
  <c r="H10" i="388"/>
  <c r="K10" i="388" s="1"/>
  <c r="K11" i="388" s="1"/>
  <c r="K12" i="388" s="1"/>
  <c r="L8" i="388"/>
  <c r="G8" i="388"/>
  <c r="K15" i="163"/>
  <c r="K16" i="163" s="1"/>
  <c r="K17" i="163" s="1"/>
  <c r="K18" i="163" s="1"/>
  <c r="K19" i="163" s="1"/>
  <c r="K20" i="163" s="1"/>
  <c r="K21" i="163" s="1"/>
  <c r="K22" i="163" s="1"/>
  <c r="K23" i="163" s="1"/>
  <c r="K24" i="163" s="1"/>
  <c r="K25" i="163" s="1"/>
  <c r="K26" i="163" s="1"/>
  <c r="K27" i="163" s="1"/>
  <c r="K28" i="163" s="1"/>
  <c r="K29" i="163" s="1"/>
  <c r="K30" i="163" s="1"/>
  <c r="K31" i="163" s="1"/>
  <c r="K32" i="163" s="1"/>
  <c r="K33" i="163" s="1"/>
  <c r="K34" i="163" s="1"/>
  <c r="K35" i="163" s="1"/>
  <c r="K36" i="163" s="1"/>
  <c r="K37" i="163" s="1"/>
  <c r="K38" i="163" s="1"/>
  <c r="K39" i="163" s="1"/>
  <c r="K11" i="161"/>
  <c r="K12" i="161" s="1"/>
  <c r="K13" i="161" s="1"/>
  <c r="K14" i="161" s="1"/>
  <c r="K15" i="161" s="1"/>
  <c r="K16" i="161" s="1"/>
  <c r="K17" i="161" s="1"/>
  <c r="K18" i="161" s="1"/>
  <c r="K19" i="161" s="1"/>
  <c r="K20" i="161" s="1"/>
  <c r="K21" i="161" s="1"/>
  <c r="K22" i="161" s="1"/>
  <c r="K23" i="161" s="1"/>
  <c r="K24" i="161" s="1"/>
  <c r="K25" i="161" s="1"/>
  <c r="K26" i="161" s="1"/>
  <c r="K27" i="161" s="1"/>
  <c r="K28" i="161" s="1"/>
  <c r="K29" i="161" s="1"/>
  <c r="K30" i="161" s="1"/>
  <c r="K31" i="161" s="1"/>
  <c r="K32" i="161" s="1"/>
  <c r="K33" i="161" s="1"/>
  <c r="K34" i="161" s="1"/>
  <c r="K35" i="161" s="1"/>
  <c r="K36" i="161" s="1"/>
  <c r="K37" i="161" s="1"/>
  <c r="K38" i="161" s="1"/>
  <c r="K39" i="161" s="1"/>
  <c r="K40" i="161" s="1"/>
  <c r="I142" i="422"/>
  <c r="H142" i="422" s="1"/>
  <c r="K17" i="351"/>
  <c r="K28" i="333"/>
  <c r="L11" i="377"/>
  <c r="E10" i="174"/>
  <c r="K153" i="175"/>
  <c r="K154" i="175" s="1"/>
  <c r="K155" i="175" s="1"/>
  <c r="K156" i="175" s="1"/>
  <c r="K157" i="175" s="1"/>
  <c r="K158" i="175" s="1"/>
  <c r="E126" i="175"/>
  <c r="D68" i="175"/>
  <c r="L65" i="175"/>
  <c r="L51" i="175"/>
  <c r="L50" i="175"/>
  <c r="E22" i="175"/>
  <c r="E8" i="329"/>
  <c r="E10" i="288"/>
  <c r="E12" i="270"/>
  <c r="E8" i="382"/>
  <c r="L8" i="382" s="1"/>
  <c r="K11" i="345"/>
  <c r="K12" i="345" s="1"/>
  <c r="K13" i="345" s="1"/>
  <c r="L10" i="336"/>
  <c r="G10" i="336"/>
  <c r="L9" i="336"/>
  <c r="E10" i="303"/>
  <c r="K12" i="280"/>
  <c r="K13" i="280" s="1"/>
  <c r="K14" i="280" s="1"/>
  <c r="K15" i="280" s="1"/>
  <c r="K16" i="280" s="1"/>
  <c r="K17" i="280" s="1"/>
  <c r="K18" i="280" s="1"/>
  <c r="K19" i="280" s="1"/>
  <c r="E8" i="280"/>
  <c r="H30" i="199"/>
  <c r="D12" i="199"/>
  <c r="D13" i="199" s="1"/>
  <c r="D14" i="199" s="1"/>
  <c r="D15" i="199" s="1"/>
  <c r="D16" i="199" s="1"/>
  <c r="D17" i="199" s="1"/>
  <c r="D18" i="199" s="1"/>
  <c r="D19" i="199" s="1"/>
  <c r="D20" i="199" s="1"/>
  <c r="D21" i="199" s="1"/>
  <c r="D22" i="199" s="1"/>
  <c r="D23" i="199" s="1"/>
  <c r="D24" i="199" s="1"/>
  <c r="D25" i="199" s="1"/>
  <c r="D26" i="199" s="1"/>
  <c r="D27" i="199" s="1"/>
  <c r="D28" i="199" s="1"/>
  <c r="D29" i="199" s="1"/>
  <c r="D30" i="199" s="1"/>
  <c r="D31" i="199" s="1"/>
  <c r="D32" i="199" s="1"/>
  <c r="D33" i="199" s="1"/>
  <c r="D34" i="199" s="1"/>
  <c r="D35" i="199" s="1"/>
  <c r="G7" i="199"/>
  <c r="L10" i="342"/>
  <c r="L9" i="342"/>
  <c r="D8" i="342"/>
  <c r="D9" i="342" s="1"/>
  <c r="D10" i="342" s="1"/>
  <c r="D11" i="342" s="1"/>
  <c r="D12" i="342" s="1"/>
  <c r="D13" i="342" s="1"/>
  <c r="D14" i="342" s="1"/>
  <c r="L11" i="340"/>
  <c r="E8" i="161"/>
  <c r="L7" i="355"/>
  <c r="E8" i="355"/>
  <c r="I127" i="422"/>
  <c r="H127" i="422" s="1"/>
  <c r="K14" i="266"/>
  <c r="K19" i="291"/>
  <c r="K20" i="291" s="1"/>
  <c r="K21" i="291" s="1"/>
  <c r="K22" i="291" s="1"/>
  <c r="I122" i="422"/>
  <c r="H122" i="422" s="1"/>
  <c r="K45" i="123"/>
  <c r="G6" i="420"/>
  <c r="L6" i="420"/>
  <c r="E7" i="420"/>
  <c r="K10" i="304"/>
  <c r="K11" i="304" s="1"/>
  <c r="K12" i="304" s="1"/>
  <c r="K13" i="304" s="1"/>
  <c r="K14" i="304" s="1"/>
  <c r="K15" i="304" s="1"/>
  <c r="K16" i="304" s="1"/>
  <c r="K17" i="304" s="1"/>
  <c r="K18" i="304" s="1"/>
  <c r="K19" i="304" s="1"/>
  <c r="K20" i="304" s="1"/>
  <c r="K21" i="304" s="1"/>
  <c r="K22" i="304" s="1"/>
  <c r="K23" i="304" s="1"/>
  <c r="K9" i="305"/>
  <c r="K10" i="305" s="1"/>
  <c r="K11" i="305" s="1"/>
  <c r="K12" i="305" s="1"/>
  <c r="K13" i="305" s="1"/>
  <c r="K14" i="305" s="1"/>
  <c r="K15" i="305" s="1"/>
  <c r="K16" i="305" s="1"/>
  <c r="K17" i="305" s="1"/>
  <c r="K103" i="422"/>
  <c r="K160" i="422"/>
  <c r="L8" i="397"/>
  <c r="G8" i="397"/>
  <c r="E8" i="362"/>
  <c r="H9" i="362"/>
  <c r="K9" i="362" s="1"/>
  <c r="K10" i="362" s="1"/>
  <c r="K11" i="362" s="1"/>
  <c r="K12" i="362" s="1"/>
  <c r="K13" i="362" s="1"/>
  <c r="K14" i="362" s="1"/>
  <c r="L8" i="325"/>
  <c r="G8" i="325"/>
  <c r="L7" i="368"/>
  <c r="G7" i="368"/>
  <c r="J26" i="163"/>
  <c r="J27" i="163" s="1"/>
  <c r="J28" i="163" s="1"/>
  <c r="J29" i="163" s="1"/>
  <c r="J30" i="163" s="1"/>
  <c r="J31" i="163" s="1"/>
  <c r="J32" i="163" s="1"/>
  <c r="J33" i="163" s="1"/>
  <c r="J34" i="163" s="1"/>
  <c r="J35" i="163" s="1"/>
  <c r="J36" i="163" s="1"/>
  <c r="J37" i="163" s="1"/>
  <c r="J38" i="163" s="1"/>
  <c r="J39" i="163" s="1"/>
  <c r="J153" i="422" s="1"/>
  <c r="G7" i="394"/>
  <c r="E8" i="394"/>
  <c r="L8" i="394" s="1"/>
  <c r="J28" i="254"/>
  <c r="J139" i="422" s="1"/>
  <c r="K9" i="254"/>
  <c r="K10" i="254" s="1"/>
  <c r="K11" i="254" s="1"/>
  <c r="K12" i="254" s="1"/>
  <c r="K13" i="254" s="1"/>
  <c r="K14" i="254" s="1"/>
  <c r="K15" i="254" s="1"/>
  <c r="K16" i="254" s="1"/>
  <c r="K17" i="254" s="1"/>
  <c r="K18" i="254" s="1"/>
  <c r="K19" i="254" s="1"/>
  <c r="K20" i="254" s="1"/>
  <c r="K21" i="254" s="1"/>
  <c r="K22" i="254" s="1"/>
  <c r="K23" i="254" s="1"/>
  <c r="K24" i="254" s="1"/>
  <c r="K25" i="254" s="1"/>
  <c r="K26" i="254" s="1"/>
  <c r="K27" i="254" s="1"/>
  <c r="K28" i="254" s="1"/>
  <c r="I131" i="422"/>
  <c r="H131" i="422" s="1"/>
  <c r="K12" i="352"/>
  <c r="I130" i="422"/>
  <c r="H130" i="422" s="1"/>
  <c r="K17" i="353"/>
  <c r="I108" i="422"/>
  <c r="H108" i="422" s="1"/>
  <c r="K18" i="321"/>
  <c r="I102" i="422"/>
  <c r="H102" i="422" s="1"/>
  <c r="K35" i="185"/>
  <c r="H26" i="305"/>
  <c r="K26" i="305" s="1"/>
  <c r="K27" i="305" s="1"/>
  <c r="K28" i="305" s="1"/>
  <c r="I172" i="422" s="1"/>
  <c r="H172" i="422" s="1"/>
  <c r="E25" i="305"/>
  <c r="G16" i="246"/>
  <c r="G18" i="246"/>
  <c r="G20" i="246"/>
  <c r="G22" i="246"/>
  <c r="L12" i="246"/>
  <c r="G13" i="246"/>
  <c r="H15" i="246"/>
  <c r="H17" i="246"/>
  <c r="H19" i="246"/>
  <c r="K9" i="195"/>
  <c r="K10" i="195" s="1"/>
  <c r="K11" i="195" s="1"/>
  <c r="K12" i="195" s="1"/>
  <c r="K13" i="195" s="1"/>
  <c r="K14" i="195" s="1"/>
  <c r="K15" i="195" s="1"/>
  <c r="K16" i="195" s="1"/>
  <c r="K17" i="195" s="1"/>
  <c r="K18" i="195" s="1"/>
  <c r="K19" i="195" s="1"/>
  <c r="I166" i="422" s="1"/>
  <c r="H166" i="422" s="1"/>
  <c r="G9" i="169"/>
  <c r="E10" i="169"/>
  <c r="J23" i="325"/>
  <c r="J24" i="325" s="1"/>
  <c r="J25" i="325" s="1"/>
  <c r="J26" i="325" s="1"/>
  <c r="J27" i="325" s="1"/>
  <c r="J28" i="325" s="1"/>
  <c r="J29" i="325" s="1"/>
  <c r="J30" i="325" s="1"/>
  <c r="J31" i="325" s="1"/>
  <c r="J32" i="325" s="1"/>
  <c r="J33" i="325" s="1"/>
  <c r="J34" i="325" s="1"/>
  <c r="J35" i="325" s="1"/>
  <c r="J36" i="325" s="1"/>
  <c r="J37" i="325" s="1"/>
  <c r="J18" i="368"/>
  <c r="J19" i="368" s="1"/>
  <c r="J20" i="368" s="1"/>
  <c r="J21" i="368" s="1"/>
  <c r="J154" i="422" s="1"/>
  <c r="G7" i="132"/>
  <c r="K10" i="285"/>
  <c r="K11" i="285" s="1"/>
  <c r="K12" i="285" s="1"/>
  <c r="K13" i="285" s="1"/>
  <c r="K14" i="285" s="1"/>
  <c r="K15" i="285" s="1"/>
  <c r="K16" i="285" s="1"/>
  <c r="K17" i="285" s="1"/>
  <c r="K18" i="285" s="1"/>
  <c r="K19" i="285" s="1"/>
  <c r="I129" i="422"/>
  <c r="H129" i="422" s="1"/>
  <c r="J44" i="132"/>
  <c r="J45" i="132" s="1"/>
  <c r="J46" i="132" s="1"/>
  <c r="J47" i="132" s="1"/>
  <c r="J48" i="132" s="1"/>
  <c r="J49" i="132" s="1"/>
  <c r="J50" i="132" s="1"/>
  <c r="J51" i="132" s="1"/>
  <c r="J52" i="132" s="1"/>
  <c r="J53" i="132" s="1"/>
  <c r="J54" i="132" s="1"/>
  <c r="J55" i="132" s="1"/>
  <c r="J56" i="132" s="1"/>
  <c r="J57" i="132" s="1"/>
  <c r="J58" i="132" s="1"/>
  <c r="J59" i="132" s="1"/>
  <c r="J60" i="132" s="1"/>
  <c r="J61" i="132" s="1"/>
  <c r="J62" i="132" s="1"/>
  <c r="J63" i="132" s="1"/>
  <c r="J64" i="132" s="1"/>
  <c r="J65" i="132" s="1"/>
  <c r="J66" i="132" s="1"/>
  <c r="J67" i="132" s="1"/>
  <c r="J68" i="132" s="1"/>
  <c r="J69" i="132" s="1"/>
  <c r="J70" i="132" s="1"/>
  <c r="J71" i="132" s="1"/>
  <c r="J72" i="132" s="1"/>
  <c r="J73" i="132" s="1"/>
  <c r="J74" i="132" s="1"/>
  <c r="J75" i="132" s="1"/>
  <c r="J76" i="132" s="1"/>
  <c r="J77" i="132" s="1"/>
  <c r="J78" i="132" s="1"/>
  <c r="J79" i="132" s="1"/>
  <c r="J80" i="132" s="1"/>
  <c r="J81" i="132" s="1"/>
  <c r="J82" i="132" s="1"/>
  <c r="J83" i="132" s="1"/>
  <c r="J84" i="132" s="1"/>
  <c r="J85" i="132" s="1"/>
  <c r="J86" i="132" s="1"/>
  <c r="J87" i="132" s="1"/>
  <c r="J88" i="132" s="1"/>
  <c r="J136" i="422" s="1"/>
  <c r="H136" i="422" s="1"/>
  <c r="G9" i="351"/>
  <c r="E10" i="351"/>
  <c r="D40" i="143"/>
  <c r="D41" i="143" s="1"/>
  <c r="D42" i="143" s="1"/>
  <c r="D43" i="143" s="1"/>
  <c r="D44" i="143" s="1"/>
  <c r="D45" i="143" s="1"/>
  <c r="D46" i="143" s="1"/>
  <c r="D47" i="143" s="1"/>
  <c r="D48" i="143" s="1"/>
  <c r="D49" i="143" s="1"/>
  <c r="D50" i="143" s="1"/>
  <c r="D51" i="143" s="1"/>
  <c r="D52" i="143" s="1"/>
  <c r="D53" i="143" s="1"/>
  <c r="D54" i="143" s="1"/>
  <c r="D55" i="143" s="1"/>
  <c r="D56" i="143" s="1"/>
  <c r="D57" i="143" s="1"/>
  <c r="D58" i="143" s="1"/>
  <c r="D59" i="143" s="1"/>
  <c r="D60" i="143" s="1"/>
  <c r="D61" i="143" s="1"/>
  <c r="D62" i="143" s="1"/>
  <c r="D63" i="143" s="1"/>
  <c r="D64" i="143" s="1"/>
  <c r="D65" i="143" s="1"/>
  <c r="D66" i="143" s="1"/>
  <c r="D67" i="143" s="1"/>
  <c r="D68" i="143" s="1"/>
  <c r="D69" i="143" s="1"/>
  <c r="D70" i="143" s="1"/>
  <c r="D71" i="143" s="1"/>
  <c r="D72" i="143" s="1"/>
  <c r="D73" i="143" s="1"/>
  <c r="D74" i="143" s="1"/>
  <c r="D75" i="143" s="1"/>
  <c r="D76" i="143" s="1"/>
  <c r="D77" i="143" s="1"/>
  <c r="D78" i="143" s="1"/>
  <c r="D79" i="143" s="1"/>
  <c r="D80" i="143" s="1"/>
  <c r="D81" i="143" s="1"/>
  <c r="D82" i="143" s="1"/>
  <c r="D83" i="143" s="1"/>
  <c r="D84" i="143" s="1"/>
  <c r="D85" i="143" s="1"/>
  <c r="I105" i="422"/>
  <c r="H105" i="422" s="1"/>
  <c r="K19" i="283"/>
  <c r="L33" i="304"/>
  <c r="F173" i="422"/>
  <c r="G8" i="285"/>
  <c r="G7" i="285"/>
  <c r="D9" i="214"/>
  <c r="J26" i="216"/>
  <c r="J27" i="216" s="1"/>
  <c r="J28" i="216" s="1"/>
  <c r="J29" i="216" s="1"/>
  <c r="J30" i="216" s="1"/>
  <c r="J31" i="216" s="1"/>
  <c r="J32" i="216" s="1"/>
  <c r="J33" i="216" s="1"/>
  <c r="J34" i="216" s="1"/>
  <c r="J35" i="216" s="1"/>
  <c r="J36" i="216" s="1"/>
  <c r="J37" i="216" s="1"/>
  <c r="J38" i="216" s="1"/>
  <c r="J39" i="216" s="1"/>
  <c r="J40" i="216" s="1"/>
  <c r="J41" i="216" s="1"/>
  <c r="J42" i="216" s="1"/>
  <c r="J43" i="216" s="1"/>
  <c r="J44" i="216" s="1"/>
  <c r="J45" i="216" s="1"/>
  <c r="J46" i="216" s="1"/>
  <c r="J47" i="216" s="1"/>
  <c r="J48" i="216" s="1"/>
  <c r="J49" i="216" s="1"/>
  <c r="J50" i="216" s="1"/>
  <c r="J51" i="216" s="1"/>
  <c r="J52" i="216" s="1"/>
  <c r="L6" i="390"/>
  <c r="L7" i="266"/>
  <c r="G7" i="266"/>
  <c r="E8" i="266"/>
  <c r="L9" i="291"/>
  <c r="K9" i="121"/>
  <c r="K10" i="121" s="1"/>
  <c r="K11" i="121" s="1"/>
  <c r="K12" i="121" s="1"/>
  <c r="K13" i="121" s="1"/>
  <c r="K14" i="121" s="1"/>
  <c r="K15" i="121" s="1"/>
  <c r="K16" i="121" s="1"/>
  <c r="K17" i="121" s="1"/>
  <c r="K18" i="121" s="1"/>
  <c r="K19" i="121" s="1"/>
  <c r="K20" i="121" s="1"/>
  <c r="K21" i="121" s="1"/>
  <c r="K22" i="121" s="1"/>
  <c r="K23" i="121" s="1"/>
  <c r="K24" i="121" s="1"/>
  <c r="K25" i="121" s="1"/>
  <c r="K10" i="119"/>
  <c r="K11" i="119" s="1"/>
  <c r="K12" i="119" s="1"/>
  <c r="K13" i="119" s="1"/>
  <c r="K14" i="119" s="1"/>
  <c r="K15" i="119" s="1"/>
  <c r="K16" i="119" s="1"/>
  <c r="K17" i="119" s="1"/>
  <c r="K18" i="119" s="1"/>
  <c r="K19" i="119" s="1"/>
  <c r="K20" i="119" s="1"/>
  <c r="K21" i="119" s="1"/>
  <c r="K22" i="119" s="1"/>
  <c r="K23" i="119" s="1"/>
  <c r="K24" i="119" s="1"/>
  <c r="K25" i="119" s="1"/>
  <c r="K26" i="119" s="1"/>
  <c r="K27" i="119" s="1"/>
  <c r="K28" i="119" s="1"/>
  <c r="K29" i="119" s="1"/>
  <c r="K30" i="119" s="1"/>
  <c r="K31" i="119" s="1"/>
  <c r="K32" i="119" s="1"/>
  <c r="K33" i="119" s="1"/>
  <c r="K34" i="119" s="1"/>
  <c r="K35" i="119" s="1"/>
  <c r="K36" i="119" s="1"/>
  <c r="K37" i="119" s="1"/>
  <c r="K38" i="119" s="1"/>
  <c r="K39" i="119" s="1"/>
  <c r="K40" i="119" s="1"/>
  <c r="K41" i="119" s="1"/>
  <c r="K42" i="119" s="1"/>
  <c r="K43" i="119" s="1"/>
  <c r="K44" i="119" s="1"/>
  <c r="K45" i="119" s="1"/>
  <c r="K46" i="119" s="1"/>
  <c r="K47" i="119" s="1"/>
  <c r="K48" i="119" s="1"/>
  <c r="K49" i="119" s="1"/>
  <c r="K50" i="119" s="1"/>
  <c r="K51" i="119" s="1"/>
  <c r="K52" i="119" s="1"/>
  <c r="E9" i="242"/>
  <c r="G8" i="269"/>
  <c r="G9" i="269"/>
  <c r="L13" i="138"/>
  <c r="J14" i="138"/>
  <c r="L11" i="137"/>
  <c r="G11" i="137"/>
  <c r="E12" i="137"/>
  <c r="L6" i="298"/>
  <c r="K11" i="267"/>
  <c r="K12" i="267" s="1"/>
  <c r="K13" i="267" s="1"/>
  <c r="K14" i="267" s="1"/>
  <c r="K15" i="267" s="1"/>
  <c r="K16" i="267" s="1"/>
  <c r="K17" i="267" s="1"/>
  <c r="K18" i="267" s="1"/>
  <c r="K19" i="267" s="1"/>
  <c r="K20" i="267" s="1"/>
  <c r="K21" i="267" s="1"/>
  <c r="E20" i="129"/>
  <c r="J11" i="129"/>
  <c r="L11" i="118"/>
  <c r="G12" i="118"/>
  <c r="L6" i="370"/>
  <c r="L6" i="409"/>
  <c r="E9" i="283"/>
  <c r="G9" i="112"/>
  <c r="E9" i="398"/>
  <c r="L9" i="398" s="1"/>
  <c r="L8" i="398"/>
  <c r="E82" i="422"/>
  <c r="D22" i="269"/>
  <c r="J77" i="422"/>
  <c r="H77" i="422" s="1"/>
  <c r="J25" i="102"/>
  <c r="I77" i="422"/>
  <c r="K25" i="102"/>
  <c r="G15" i="138"/>
  <c r="E16" i="138"/>
  <c r="E9" i="360"/>
  <c r="L8" i="360"/>
  <c r="G10" i="128"/>
  <c r="E11" i="128"/>
  <c r="L7" i="123"/>
  <c r="E8" i="123"/>
  <c r="L8" i="319"/>
  <c r="L8" i="239"/>
  <c r="E9" i="239"/>
  <c r="E10" i="112"/>
  <c r="G10" i="112"/>
  <c r="L10" i="108"/>
  <c r="E11" i="108"/>
  <c r="I92" i="422"/>
  <c r="H92" i="422" s="1"/>
  <c r="K14" i="323"/>
  <c r="J82" i="422"/>
  <c r="J22" i="269"/>
  <c r="L32" i="304"/>
  <c r="E12" i="216"/>
  <c r="G11" i="216"/>
  <c r="L11" i="216"/>
  <c r="E7" i="390"/>
  <c r="E7" i="353"/>
  <c r="L6" i="353"/>
  <c r="E7" i="298"/>
  <c r="E10" i="267"/>
  <c r="L9" i="267"/>
  <c r="G11" i="267"/>
  <c r="E11" i="291"/>
  <c r="G12" i="291"/>
  <c r="G16" i="291"/>
  <c r="L10" i="291"/>
  <c r="G14" i="291"/>
  <c r="G15" i="291"/>
  <c r="G17" i="291"/>
  <c r="H19" i="291"/>
  <c r="L6" i="238"/>
  <c r="E7" i="238"/>
  <c r="G19" i="129"/>
  <c r="L9" i="128"/>
  <c r="K9" i="117"/>
  <c r="K10" i="117" s="1"/>
  <c r="K11" i="117" s="1"/>
  <c r="K12" i="117" s="1"/>
  <c r="K13" i="117" s="1"/>
  <c r="K14" i="117" s="1"/>
  <c r="K15" i="117" s="1"/>
  <c r="K16" i="117" s="1"/>
  <c r="K17" i="117" s="1"/>
  <c r="K18" i="117" s="1"/>
  <c r="K19" i="117" s="1"/>
  <c r="K20" i="117" s="1"/>
  <c r="K21" i="117" s="1"/>
  <c r="K22" i="117" s="1"/>
  <c r="K23" i="117" s="1"/>
  <c r="K24" i="117" s="1"/>
  <c r="K25" i="117" s="1"/>
  <c r="K26" i="117" s="1"/>
  <c r="K27" i="117" s="1"/>
  <c r="K28" i="117" s="1"/>
  <c r="K29" i="117" s="1"/>
  <c r="K30" i="117" s="1"/>
  <c r="K31" i="117" s="1"/>
  <c r="K32" i="117" s="1"/>
  <c r="K33" i="117" s="1"/>
  <c r="K34" i="117" s="1"/>
  <c r="K35" i="117" s="1"/>
  <c r="E8" i="117"/>
  <c r="G8" i="117"/>
  <c r="E7" i="370"/>
  <c r="E7" i="409"/>
  <c r="O15" i="240"/>
  <c r="P15" i="240" s="1"/>
  <c r="L9" i="106"/>
  <c r="E10" i="106"/>
  <c r="I81" i="422"/>
  <c r="H81" i="422" s="1"/>
  <c r="K26" i="211"/>
  <c r="E77" i="422"/>
  <c r="D25" i="102"/>
  <c r="D9" i="108"/>
  <c r="L7" i="398"/>
  <c r="L11" i="354"/>
  <c r="L8" i="310"/>
  <c r="E9" i="310"/>
  <c r="G7" i="308"/>
  <c r="L7" i="308"/>
  <c r="E8" i="308"/>
  <c r="E9" i="243"/>
  <c r="G12" i="243"/>
  <c r="G7" i="249"/>
  <c r="E8" i="249"/>
  <c r="F8" i="106"/>
  <c r="E8" i="402"/>
  <c r="G7" i="402"/>
  <c r="G12" i="354"/>
  <c r="L10" i="354"/>
  <c r="H14" i="323"/>
  <c r="G12" i="323"/>
  <c r="G9" i="310"/>
  <c r="E8" i="293"/>
  <c r="K36" i="256"/>
  <c r="K11" i="269"/>
  <c r="K12" i="269" s="1"/>
  <c r="K13" i="269" s="1"/>
  <c r="K14" i="269" s="1"/>
  <c r="K15" i="269" s="1"/>
  <c r="K16" i="269" s="1"/>
  <c r="K17" i="269" s="1"/>
  <c r="K18" i="269" s="1"/>
  <c r="K19" i="269" s="1"/>
  <c r="K20" i="269" s="1"/>
  <c r="K21" i="269" s="1"/>
  <c r="L9" i="191"/>
  <c r="E10" i="191"/>
  <c r="K10" i="191"/>
  <c r="K11" i="191" s="1"/>
  <c r="K12" i="191" s="1"/>
  <c r="K13" i="191" s="1"/>
  <c r="K14" i="191" s="1"/>
  <c r="K15" i="191" s="1"/>
  <c r="K16" i="191" s="1"/>
  <c r="K17" i="191" s="1"/>
  <c r="K18" i="191" s="1"/>
  <c r="K19" i="191" s="1"/>
  <c r="K20" i="191" s="1"/>
  <c r="K11" i="247"/>
  <c r="K12" i="247" s="1"/>
  <c r="K13" i="247" s="1"/>
  <c r="K14" i="247" s="1"/>
  <c r="K15" i="247" s="1"/>
  <c r="K16" i="247" s="1"/>
  <c r="K17" i="247" s="1"/>
  <c r="K18" i="247" s="1"/>
  <c r="K19" i="247" s="1"/>
  <c r="K20" i="247" s="1"/>
  <c r="K21" i="247" s="1"/>
  <c r="K22" i="247" s="1"/>
  <c r="K23" i="247" s="1"/>
  <c r="K24" i="247" s="1"/>
  <c r="K25" i="247" s="1"/>
  <c r="K26" i="247" s="1"/>
  <c r="K27" i="247" s="1"/>
  <c r="K28" i="247" s="1"/>
  <c r="K29" i="247" s="1"/>
  <c r="E8" i="247"/>
  <c r="E52" i="95"/>
  <c r="G51" i="95"/>
  <c r="L11" i="95"/>
  <c r="H12" i="95"/>
  <c r="K12" i="95" s="1"/>
  <c r="K13" i="95" s="1"/>
  <c r="K14" i="95" s="1"/>
  <c r="K15" i="95" s="1"/>
  <c r="K16" i="95" s="1"/>
  <c r="K17" i="95" s="1"/>
  <c r="K18" i="95" s="1"/>
  <c r="K19" i="95" s="1"/>
  <c r="K20" i="95" s="1"/>
  <c r="K21" i="95" s="1"/>
  <c r="K22" i="95" s="1"/>
  <c r="K23" i="95" s="1"/>
  <c r="K24" i="95" s="1"/>
  <c r="K25" i="95" s="1"/>
  <c r="K26" i="95" s="1"/>
  <c r="K27" i="95" s="1"/>
  <c r="K28" i="95" s="1"/>
  <c r="K29" i="95" s="1"/>
  <c r="K30" i="95" s="1"/>
  <c r="K31" i="95" s="1"/>
  <c r="K32" i="95" s="1"/>
  <c r="K33" i="95" s="1"/>
  <c r="K34" i="95" s="1"/>
  <c r="K35" i="95" s="1"/>
  <c r="K36" i="95" s="1"/>
  <c r="K37" i="95" s="1"/>
  <c r="G11" i="95"/>
  <c r="E8" i="418"/>
  <c r="L8" i="418" s="1"/>
  <c r="L7" i="418"/>
  <c r="G7" i="418"/>
  <c r="L7" i="396"/>
  <c r="E8" i="396"/>
  <c r="L7" i="249"/>
  <c r="K8" i="249"/>
  <c r="K9" i="249" s="1"/>
  <c r="K10" i="249" s="1"/>
  <c r="K11" i="249" s="1"/>
  <c r="K12" i="249" s="1"/>
  <c r="K13" i="249" s="1"/>
  <c r="K14" i="249" s="1"/>
  <c r="K15" i="249" s="1"/>
  <c r="K16" i="249" s="1"/>
  <c r="K17" i="249" s="1"/>
  <c r="K18" i="249" s="1"/>
  <c r="K19" i="249" s="1"/>
  <c r="K20" i="249" s="1"/>
  <c r="K21" i="249" s="1"/>
  <c r="K22" i="249" s="1"/>
  <c r="K23" i="249" s="1"/>
  <c r="K24" i="249" s="1"/>
  <c r="E13" i="95"/>
  <c r="L12" i="95"/>
  <c r="G12" i="95"/>
  <c r="D13" i="94"/>
  <c r="D14" i="94" s="1"/>
  <c r="D15" i="94" s="1"/>
  <c r="D16" i="94" s="1"/>
  <c r="D17" i="94" s="1"/>
  <c r="D18" i="94" s="1"/>
  <c r="D19" i="94" s="1"/>
  <c r="D20" i="94" s="1"/>
  <c r="D21" i="94" s="1"/>
  <c r="D22" i="94" s="1"/>
  <c r="D23" i="94" s="1"/>
  <c r="D24" i="94" s="1"/>
  <c r="D25" i="94" s="1"/>
  <c r="D26" i="94" s="1"/>
  <c r="D27" i="94" s="1"/>
  <c r="E74" i="422" s="1"/>
  <c r="I60" i="422"/>
  <c r="H60" i="422" s="1"/>
  <c r="K12" i="373"/>
  <c r="L7" i="402"/>
  <c r="G13" i="243"/>
  <c r="D8" i="243"/>
  <c r="D9" i="243" s="1"/>
  <c r="D10" i="243" s="1"/>
  <c r="D11" i="243" s="1"/>
  <c r="D12" i="243" s="1"/>
  <c r="D13" i="243" s="1"/>
  <c r="D14" i="243" s="1"/>
  <c r="D15" i="243" s="1"/>
  <c r="D16" i="243" s="1"/>
  <c r="D17" i="243" s="1"/>
  <c r="D18" i="243" s="1"/>
  <c r="D19" i="243" s="1"/>
  <c r="D20" i="243" s="1"/>
  <c r="D21" i="243" s="1"/>
  <c r="D22" i="243" s="1"/>
  <c r="D23" i="243" s="1"/>
  <c r="D24" i="243" s="1"/>
  <c r="D25" i="243" s="1"/>
  <c r="D26" i="243" s="1"/>
  <c r="D27" i="243" s="1"/>
  <c r="G7" i="269"/>
  <c r="L7" i="269"/>
  <c r="L51" i="95"/>
  <c r="E7" i="393"/>
  <c r="G7" i="419"/>
  <c r="L7" i="419"/>
  <c r="L7" i="403"/>
  <c r="E8" i="403"/>
  <c r="G7" i="403"/>
  <c r="E8" i="347"/>
  <c r="L7" i="347"/>
  <c r="K57" i="422"/>
  <c r="K8" i="339"/>
  <c r="K12" i="328"/>
  <c r="K13" i="328" s="1"/>
  <c r="K14" i="328" s="1"/>
  <c r="K15" i="328" s="1"/>
  <c r="K16" i="328" s="1"/>
  <c r="K17" i="328" s="1"/>
  <c r="E42" i="422"/>
  <c r="D24" i="85"/>
  <c r="K11" i="81"/>
  <c r="K12" i="81" s="1"/>
  <c r="K13" i="81" s="1"/>
  <c r="K14" i="81" s="1"/>
  <c r="K15" i="81" s="1"/>
  <c r="K16" i="81" s="1"/>
  <c r="K17" i="81" s="1"/>
  <c r="K18" i="81" s="1"/>
  <c r="K19" i="81" s="1"/>
  <c r="K20" i="81" s="1"/>
  <c r="K21" i="81" s="1"/>
  <c r="K22" i="81" s="1"/>
  <c r="K23" i="81" s="1"/>
  <c r="K24" i="81" s="1"/>
  <c r="K25" i="81" s="1"/>
  <c r="K26" i="81" s="1"/>
  <c r="K27" i="81" s="1"/>
  <c r="K28" i="81" s="1"/>
  <c r="K29" i="81" s="1"/>
  <c r="K30" i="81" s="1"/>
  <c r="K31" i="81" s="1"/>
  <c r="K32" i="81" s="1"/>
  <c r="I41" i="422" s="1"/>
  <c r="H41" i="422" s="1"/>
  <c r="I34" i="422"/>
  <c r="H34" i="422" s="1"/>
  <c r="K19" i="300"/>
  <c r="L8" i="278"/>
  <c r="E9" i="278"/>
  <c r="I31" i="422"/>
  <c r="H31" i="422" s="1"/>
  <c r="K20" i="257"/>
  <c r="I21" i="422"/>
  <c r="K46" i="61"/>
  <c r="G10" i="94"/>
  <c r="E11" i="94"/>
  <c r="E8" i="419"/>
  <c r="L8" i="419" s="1"/>
  <c r="K12" i="377"/>
  <c r="E8" i="359"/>
  <c r="F58" i="422"/>
  <c r="L8" i="372"/>
  <c r="K12" i="96"/>
  <c r="K13" i="96" s="1"/>
  <c r="K14" i="96" s="1"/>
  <c r="K15" i="96" s="1"/>
  <c r="K16" i="96" s="1"/>
  <c r="K17" i="96" s="1"/>
  <c r="K18" i="96" s="1"/>
  <c r="K19" i="96" s="1"/>
  <c r="K20" i="96" s="1"/>
  <c r="K21" i="96" s="1"/>
  <c r="K22" i="96" s="1"/>
  <c r="K23" i="96" s="1"/>
  <c r="K24" i="96" s="1"/>
  <c r="K25" i="96" s="1"/>
  <c r="K26" i="96" s="1"/>
  <c r="K27" i="96" s="1"/>
  <c r="K28" i="96" s="1"/>
  <c r="K29" i="96" s="1"/>
  <c r="K30" i="96" s="1"/>
  <c r="K31" i="96" s="1"/>
  <c r="K32" i="96" s="1"/>
  <c r="K33" i="96" s="1"/>
  <c r="K34" i="96" s="1"/>
  <c r="K35" i="96" s="1"/>
  <c r="K36" i="96" s="1"/>
  <c r="K37" i="96" s="1"/>
  <c r="I67" i="422"/>
  <c r="H67" i="422" s="1"/>
  <c r="K12" i="363"/>
  <c r="G7" i="383"/>
  <c r="E8" i="383"/>
  <c r="K9" i="374"/>
  <c r="K10" i="374" s="1"/>
  <c r="K11" i="374" s="1"/>
  <c r="K12" i="374" s="1"/>
  <c r="L8" i="385"/>
  <c r="G9" i="385"/>
  <c r="E9" i="385"/>
  <c r="H8" i="380"/>
  <c r="E7" i="380"/>
  <c r="H7" i="384"/>
  <c r="E8" i="384"/>
  <c r="K10" i="347"/>
  <c r="K11" i="347" s="1"/>
  <c r="K12" i="347" s="1"/>
  <c r="K13" i="347" s="1"/>
  <c r="K14" i="347" s="1"/>
  <c r="K15" i="347" s="1"/>
  <c r="E13" i="302"/>
  <c r="L12" i="302"/>
  <c r="I53" i="422"/>
  <c r="K21" i="301"/>
  <c r="L9" i="275"/>
  <c r="E10" i="275"/>
  <c r="L8" i="277"/>
  <c r="E9" i="277"/>
  <c r="E9" i="217"/>
  <c r="L8" i="217"/>
  <c r="E9" i="96"/>
  <c r="G7" i="389"/>
  <c r="E8" i="389"/>
  <c r="K10" i="361"/>
  <c r="K11" i="361" s="1"/>
  <c r="K12" i="361" s="1"/>
  <c r="K13" i="361" s="1"/>
  <c r="K9" i="359"/>
  <c r="K10" i="359" s="1"/>
  <c r="K11" i="359" s="1"/>
  <c r="K12" i="359" s="1"/>
  <c r="K13" i="359" s="1"/>
  <c r="K12" i="277"/>
  <c r="K13" i="277" s="1"/>
  <c r="K14" i="277" s="1"/>
  <c r="K15" i="277" s="1"/>
  <c r="K16" i="277" s="1"/>
  <c r="K17" i="277" s="1"/>
  <c r="K18" i="277" s="1"/>
  <c r="K19" i="277" s="1"/>
  <c r="K20" i="277" s="1"/>
  <c r="K21" i="277" s="1"/>
  <c r="K22" i="277" s="1"/>
  <c r="K23" i="277" s="1"/>
  <c r="K24" i="277" s="1"/>
  <c r="K25" i="277" s="1"/>
  <c r="K26" i="277" s="1"/>
  <c r="J22" i="264"/>
  <c r="J23" i="264" s="1"/>
  <c r="J24" i="264" s="1"/>
  <c r="J25" i="264" s="1"/>
  <c r="J26" i="264" s="1"/>
  <c r="J27" i="264" s="1"/>
  <c r="J28" i="264" s="1"/>
  <c r="J29" i="264" s="1"/>
  <c r="J47" i="422" s="1"/>
  <c r="K14" i="264"/>
  <c r="K15" i="264" s="1"/>
  <c r="K16" i="264" s="1"/>
  <c r="K17" i="264" s="1"/>
  <c r="K18" i="264" s="1"/>
  <c r="K19" i="264" s="1"/>
  <c r="K20" i="264" s="1"/>
  <c r="K21" i="264" s="1"/>
  <c r="K22" i="264" s="1"/>
  <c r="K23" i="264" s="1"/>
  <c r="K24" i="264" s="1"/>
  <c r="K25" i="264" s="1"/>
  <c r="K26" i="264" s="1"/>
  <c r="K27" i="264" s="1"/>
  <c r="K28" i="264" s="1"/>
  <c r="K29" i="264" s="1"/>
  <c r="G8" i="223"/>
  <c r="E9" i="223"/>
  <c r="K13" i="217"/>
  <c r="K14" i="217" s="1"/>
  <c r="K15" i="217" s="1"/>
  <c r="K16" i="217" s="1"/>
  <c r="K17" i="217" s="1"/>
  <c r="K18" i="217" s="1"/>
  <c r="K19" i="217" s="1"/>
  <c r="K20" i="217" s="1"/>
  <c r="K21" i="217" s="1"/>
  <c r="K22" i="217" s="1"/>
  <c r="K23" i="217" s="1"/>
  <c r="K24" i="217" s="1"/>
  <c r="K25" i="217" s="1"/>
  <c r="K26" i="217" s="1"/>
  <c r="K27" i="217" s="1"/>
  <c r="K28" i="217" s="1"/>
  <c r="K29" i="217" s="1"/>
  <c r="K30" i="217" s="1"/>
  <c r="K31" i="217" s="1"/>
  <c r="I43" i="422"/>
  <c r="H43" i="422" s="1"/>
  <c r="K36" i="182"/>
  <c r="K22" i="426"/>
  <c r="I120" i="422"/>
  <c r="H120" i="422" s="1"/>
  <c r="E11" i="224"/>
  <c r="L10" i="224"/>
  <c r="J21" i="422"/>
  <c r="J46" i="61"/>
  <c r="L9" i="81"/>
  <c r="E10" i="81"/>
  <c r="K13" i="80"/>
  <c r="K14" i="80" s="1"/>
  <c r="K15" i="80" s="1"/>
  <c r="K16" i="80" s="1"/>
  <c r="K17" i="80" s="1"/>
  <c r="K18" i="80" s="1"/>
  <c r="K19" i="80" s="1"/>
  <c r="K20" i="80" s="1"/>
  <c r="K21" i="80" s="1"/>
  <c r="K22" i="80" s="1"/>
  <c r="K23" i="80" s="1"/>
  <c r="K24" i="80" s="1"/>
  <c r="K25" i="80" s="1"/>
  <c r="K26" i="80" s="1"/>
  <c r="K27" i="80" s="1"/>
  <c r="K28" i="80" s="1"/>
  <c r="K29" i="80" s="1"/>
  <c r="K30" i="80" s="1"/>
  <c r="K31" i="80" s="1"/>
  <c r="K32" i="80" s="1"/>
  <c r="K33" i="80" s="1"/>
  <c r="K34" i="80" s="1"/>
  <c r="K35" i="80" s="1"/>
  <c r="K36" i="80" s="1"/>
  <c r="K37" i="80" s="1"/>
  <c r="K38" i="80" s="1"/>
  <c r="K39" i="80" s="1"/>
  <c r="K40" i="80" s="1"/>
  <c r="K41" i="80" s="1"/>
  <c r="K42" i="80" s="1"/>
  <c r="K43" i="80" s="1"/>
  <c r="K44" i="80" s="1"/>
  <c r="K45" i="80" s="1"/>
  <c r="K46" i="80" s="1"/>
  <c r="K47" i="80" s="1"/>
  <c r="K48" i="80" s="1"/>
  <c r="K49" i="80" s="1"/>
  <c r="G11" i="213"/>
  <c r="E12" i="213"/>
  <c r="L11" i="213"/>
  <c r="J33" i="57"/>
  <c r="J34" i="57" s="1"/>
  <c r="J35" i="57" s="1"/>
  <c r="J36" i="57" s="1"/>
  <c r="J37" i="57" s="1"/>
  <c r="J38" i="57" s="1"/>
  <c r="J39" i="57" s="1"/>
  <c r="J40" i="57" s="1"/>
  <c r="J41" i="57" s="1"/>
  <c r="J42" i="57" s="1"/>
  <c r="J43" i="57" s="1"/>
  <c r="J44" i="57" s="1"/>
  <c r="J45" i="57" s="1"/>
  <c r="J46" i="57" s="1"/>
  <c r="J26" i="422" s="1"/>
  <c r="F43" i="203"/>
  <c r="D44" i="203"/>
  <c r="K13" i="55"/>
  <c r="K14" i="55" s="1"/>
  <c r="K15" i="55" s="1"/>
  <c r="K16" i="55" s="1"/>
  <c r="K17" i="55" s="1"/>
  <c r="K18" i="55" s="1"/>
  <c r="K19" i="55" s="1"/>
  <c r="K20" i="55" s="1"/>
  <c r="K21" i="55" s="1"/>
  <c r="K22" i="55" s="1"/>
  <c r="K23" i="55" s="1"/>
  <c r="K24" i="55" s="1"/>
  <c r="K25" i="55" s="1"/>
  <c r="K26" i="55" s="1"/>
  <c r="K27" i="55" s="1"/>
  <c r="K28" i="55" s="1"/>
  <c r="K29" i="55" s="1"/>
  <c r="K30" i="55" s="1"/>
  <c r="K31" i="55" s="1"/>
  <c r="K32" i="55" s="1"/>
  <c r="K33" i="55" s="1"/>
  <c r="K34" i="55" s="1"/>
  <c r="K35" i="55" s="1"/>
  <c r="K36" i="55" s="1"/>
  <c r="K37" i="55" s="1"/>
  <c r="K38" i="55" s="1"/>
  <c r="K39" i="55" s="1"/>
  <c r="K40" i="55" s="1"/>
  <c r="E8" i="55"/>
  <c r="L7" i="363"/>
  <c r="G8" i="363"/>
  <c r="E8" i="363"/>
  <c r="L7" i="389"/>
  <c r="E7" i="371"/>
  <c r="H8" i="371"/>
  <c r="L9" i="377"/>
  <c r="K10" i="348"/>
  <c r="K11" i="348" s="1"/>
  <c r="K12" i="348" s="1"/>
  <c r="K13" i="348" s="1"/>
  <c r="K14" i="348" s="1"/>
  <c r="K15" i="348" s="1"/>
  <c r="K10" i="346"/>
  <c r="K11" i="346" s="1"/>
  <c r="K12" i="346" s="1"/>
  <c r="K13" i="346" s="1"/>
  <c r="K14" i="346" s="1"/>
  <c r="K15" i="346" s="1"/>
  <c r="K11" i="302"/>
  <c r="K12" i="302" s="1"/>
  <c r="K13" i="302" s="1"/>
  <c r="K14" i="302" s="1"/>
  <c r="K15" i="302" s="1"/>
  <c r="K16" i="302" s="1"/>
  <c r="K17" i="302" s="1"/>
  <c r="K18" i="302" s="1"/>
  <c r="K19" i="302" s="1"/>
  <c r="J20" i="301"/>
  <c r="J53" i="422" s="1"/>
  <c r="H53" i="422" s="1"/>
  <c r="K11" i="276"/>
  <c r="K12" i="276" s="1"/>
  <c r="K13" i="276" s="1"/>
  <c r="K14" i="276" s="1"/>
  <c r="K15" i="276" s="1"/>
  <c r="K16" i="276" s="1"/>
  <c r="K17" i="276" s="1"/>
  <c r="K18" i="276" s="1"/>
  <c r="K19" i="276" s="1"/>
  <c r="K20" i="276" s="1"/>
  <c r="K21" i="276" s="1"/>
  <c r="K22" i="276" s="1"/>
  <c r="K23" i="276" s="1"/>
  <c r="K24" i="276" s="1"/>
  <c r="K25" i="276" s="1"/>
  <c r="K26" i="276" s="1"/>
  <c r="K27" i="276" s="1"/>
  <c r="G8" i="276"/>
  <c r="L8" i="276"/>
  <c r="G8" i="326"/>
  <c r="L8" i="326"/>
  <c r="J46" i="224"/>
  <c r="J47" i="224" s="1"/>
  <c r="J48" i="224" s="1"/>
  <c r="J49" i="224" s="1"/>
  <c r="J50" i="224" s="1"/>
  <c r="J51" i="224" s="1"/>
  <c r="K12" i="57"/>
  <c r="K13" i="57" s="1"/>
  <c r="K14" i="57" s="1"/>
  <c r="K15" i="57" s="1"/>
  <c r="K16" i="57" s="1"/>
  <c r="K17" i="57" s="1"/>
  <c r="K18" i="57" s="1"/>
  <c r="K19" i="57" s="1"/>
  <c r="K20" i="57" s="1"/>
  <c r="K21" i="57" s="1"/>
  <c r="K22" i="57" s="1"/>
  <c r="K23" i="57" s="1"/>
  <c r="K24" i="57" s="1"/>
  <c r="K25" i="57" s="1"/>
  <c r="K26" i="57" s="1"/>
  <c r="K27" i="57" s="1"/>
  <c r="K28" i="57" s="1"/>
  <c r="K29" i="57" s="1"/>
  <c r="K30" i="57" s="1"/>
  <c r="K31" i="57" s="1"/>
  <c r="K32" i="57" s="1"/>
  <c r="K33" i="57" s="1"/>
  <c r="K34" i="57" s="1"/>
  <c r="K35" i="57" s="1"/>
  <c r="K36" i="57" s="1"/>
  <c r="K37" i="57" s="1"/>
  <c r="K38" i="57" s="1"/>
  <c r="K39" i="57" s="1"/>
  <c r="K40" i="57" s="1"/>
  <c r="K41" i="57" s="1"/>
  <c r="K42" i="57" s="1"/>
  <c r="K43" i="57" s="1"/>
  <c r="K44" i="57" s="1"/>
  <c r="K45" i="57" s="1"/>
  <c r="K46" i="57" s="1"/>
  <c r="K10" i="271"/>
  <c r="K11" i="271" s="1"/>
  <c r="K12" i="271" s="1"/>
  <c r="K13" i="271" s="1"/>
  <c r="K14" i="271" s="1"/>
  <c r="K15" i="271" s="1"/>
  <c r="K16" i="271" s="1"/>
  <c r="K17" i="271" s="1"/>
  <c r="K18" i="271" s="1"/>
  <c r="K19" i="271" s="1"/>
  <c r="K20" i="271" s="1"/>
  <c r="K21" i="271" s="1"/>
  <c r="K22" i="271" s="1"/>
  <c r="K23" i="271" s="1"/>
  <c r="K24" i="271" s="1"/>
  <c r="K25" i="271" s="1"/>
  <c r="K26" i="271" s="1"/>
  <c r="K27" i="271" s="1"/>
  <c r="G8" i="226"/>
  <c r="E9" i="226"/>
  <c r="K11" i="72"/>
  <c r="K12" i="72" s="1"/>
  <c r="K13" i="72" s="1"/>
  <c r="K14" i="72" s="1"/>
  <c r="K15" i="72" s="1"/>
  <c r="K16" i="72" s="1"/>
  <c r="K17" i="72" s="1"/>
  <c r="K10" i="62"/>
  <c r="K11" i="62" s="1"/>
  <c r="K12" i="62" s="1"/>
  <c r="K13" i="62" s="1"/>
  <c r="K14" i="62" s="1"/>
  <c r="K15" i="62" s="1"/>
  <c r="K16" i="62" s="1"/>
  <c r="K17" i="62" s="1"/>
  <c r="K18" i="62" s="1"/>
  <c r="K19" i="62" s="1"/>
  <c r="K20" i="62" s="1"/>
  <c r="K21" i="62" s="1"/>
  <c r="K22" i="62" s="1"/>
  <c r="K23" i="62" s="1"/>
  <c r="K24" i="62" s="1"/>
  <c r="K25" i="62" s="1"/>
  <c r="K26" i="62" s="1"/>
  <c r="K27" i="62" s="1"/>
  <c r="K28" i="62" s="1"/>
  <c r="K29" i="62" s="1"/>
  <c r="K30" i="62" s="1"/>
  <c r="K31" i="62" s="1"/>
  <c r="K32" i="62" s="1"/>
  <c r="K33" i="62" s="1"/>
  <c r="K34" i="62" s="1"/>
  <c r="K35" i="62" s="1"/>
  <c r="K36" i="62" s="1"/>
  <c r="K37" i="62" s="1"/>
  <c r="K38" i="62" s="1"/>
  <c r="K39" i="62" s="1"/>
  <c r="K40" i="62" s="1"/>
  <c r="K41" i="62" s="1"/>
  <c r="K42" i="62" s="1"/>
  <c r="K43" i="62" s="1"/>
  <c r="K44" i="62" s="1"/>
  <c r="K45" i="62" s="1"/>
  <c r="K46" i="62" s="1"/>
  <c r="K47" i="62" s="1"/>
  <c r="K48" i="62" s="1"/>
  <c r="K49" i="62" s="1"/>
  <c r="K50" i="62" s="1"/>
  <c r="G8" i="62"/>
  <c r="L8" i="62"/>
  <c r="L11" i="61"/>
  <c r="E12" i="61"/>
  <c r="E74" i="203"/>
  <c r="L73" i="203"/>
  <c r="K47" i="203"/>
  <c r="K48" i="203" s="1"/>
  <c r="K49" i="203" s="1"/>
  <c r="K50" i="203" s="1"/>
  <c r="K51" i="203" s="1"/>
  <c r="K52" i="203" s="1"/>
  <c r="K53" i="203" s="1"/>
  <c r="K54" i="203" s="1"/>
  <c r="K55" i="203" s="1"/>
  <c r="K56" i="203" s="1"/>
  <c r="K57" i="203" s="1"/>
  <c r="K58" i="203" s="1"/>
  <c r="K59" i="203" s="1"/>
  <c r="K60" i="203" s="1"/>
  <c r="K61" i="203" s="1"/>
  <c r="K62" i="203" s="1"/>
  <c r="K63" i="203" s="1"/>
  <c r="K64" i="203" s="1"/>
  <c r="K65" i="203" s="1"/>
  <c r="I13" i="422"/>
  <c r="H13" i="422" s="1"/>
  <c r="K20" i="309"/>
  <c r="L7" i="326"/>
  <c r="K10" i="282"/>
  <c r="K11" i="282" s="1"/>
  <c r="G10" i="213"/>
  <c r="L10" i="213"/>
  <c r="L10" i="61"/>
  <c r="K11" i="203"/>
  <c r="K12" i="203" s="1"/>
  <c r="K13" i="203" s="1"/>
  <c r="K14" i="203" s="1"/>
  <c r="K15" i="203" s="1"/>
  <c r="K16" i="203" s="1"/>
  <c r="K17" i="203" s="1"/>
  <c r="K18" i="203" s="1"/>
  <c r="K19" i="203" s="1"/>
  <c r="K20" i="203" s="1"/>
  <c r="K21" i="203" s="1"/>
  <c r="K22" i="203" s="1"/>
  <c r="K23" i="203" s="1"/>
  <c r="K24" i="203" s="1"/>
  <c r="K25" i="203" s="1"/>
  <c r="K26" i="203" s="1"/>
  <c r="K27" i="203" s="1"/>
  <c r="K28" i="203" s="1"/>
  <c r="K29" i="203" s="1"/>
  <c r="K30" i="203" s="1"/>
  <c r="K31" i="203" s="1"/>
  <c r="K32" i="203" s="1"/>
  <c r="K33" i="203" s="1"/>
  <c r="K34" i="203" s="1"/>
  <c r="L27" i="333"/>
  <c r="L8" i="80"/>
  <c r="D10" i="307"/>
  <c r="F8" i="307"/>
  <c r="E9" i="300"/>
  <c r="L8" i="300"/>
  <c r="L8" i="226"/>
  <c r="G7" i="226"/>
  <c r="L7" i="226"/>
  <c r="K9" i="202"/>
  <c r="K10" i="202" s="1"/>
  <c r="K11" i="202" s="1"/>
  <c r="K12" i="202" s="1"/>
  <c r="K13" i="202" s="1"/>
  <c r="K14" i="202" s="1"/>
  <c r="K15" i="202" s="1"/>
  <c r="K16" i="202" s="1"/>
  <c r="K17" i="202" s="1"/>
  <c r="K18" i="202" s="1"/>
  <c r="K19" i="202" s="1"/>
  <c r="K20" i="202" s="1"/>
  <c r="K21" i="202" s="1"/>
  <c r="K22" i="202" s="1"/>
  <c r="K23" i="202" s="1"/>
  <c r="K24" i="202" s="1"/>
  <c r="K25" i="202" s="1"/>
  <c r="K26" i="202" s="1"/>
  <c r="K27" i="202" s="1"/>
  <c r="K28" i="202" s="1"/>
  <c r="K29" i="202" s="1"/>
  <c r="K30" i="202" s="1"/>
  <c r="K31" i="202" s="1"/>
  <c r="K32" i="202" s="1"/>
  <c r="K33" i="202" s="1"/>
  <c r="K34" i="202" s="1"/>
  <c r="K35" i="202" s="1"/>
  <c r="L7" i="72"/>
  <c r="E8" i="72"/>
  <c r="K14" i="224"/>
  <c r="K15" i="224" s="1"/>
  <c r="K16" i="224" s="1"/>
  <c r="K17" i="224" s="1"/>
  <c r="K18" i="224" s="1"/>
  <c r="K19" i="224" s="1"/>
  <c r="K20" i="224" s="1"/>
  <c r="K21" i="224" s="1"/>
  <c r="K22" i="224" s="1"/>
  <c r="K23" i="224" s="1"/>
  <c r="K24" i="224" s="1"/>
  <c r="K25" i="224" s="1"/>
  <c r="K26" i="224" s="1"/>
  <c r="K27" i="224" s="1"/>
  <c r="K28" i="224" s="1"/>
  <c r="K29" i="224" s="1"/>
  <c r="K30" i="224" s="1"/>
  <c r="K31" i="224" s="1"/>
  <c r="K32" i="224" s="1"/>
  <c r="K33" i="224" s="1"/>
  <c r="K34" i="224" s="1"/>
  <c r="K35" i="224" s="1"/>
  <c r="K36" i="224" s="1"/>
  <c r="K37" i="224" s="1"/>
  <c r="K38" i="224" s="1"/>
  <c r="K39" i="224" s="1"/>
  <c r="K40" i="224" s="1"/>
  <c r="K41" i="224" s="1"/>
  <c r="K42" i="224" s="1"/>
  <c r="L10" i="62"/>
  <c r="E11" i="62"/>
  <c r="D9" i="57"/>
  <c r="F8" i="57"/>
  <c r="G36" i="54"/>
  <c r="H38" i="54"/>
  <c r="L7" i="66"/>
  <c r="F73" i="203"/>
  <c r="D74" i="203"/>
  <c r="D12" i="203"/>
  <c r="H35" i="54"/>
  <c r="G33" i="54"/>
  <c r="I17" i="422"/>
  <c r="H17" i="422" s="1"/>
  <c r="K24" i="296"/>
  <c r="E11" i="203"/>
  <c r="L10" i="203"/>
  <c r="H40" i="54"/>
  <c r="G38" i="54"/>
  <c r="H8" i="422"/>
  <c r="E20" i="259"/>
  <c r="K11" i="54"/>
  <c r="K12" i="54" s="1"/>
  <c r="K13" i="54" s="1"/>
  <c r="K14" i="54" s="1"/>
  <c r="K15" i="54" s="1"/>
  <c r="K16" i="54" s="1"/>
  <c r="K17" i="54" s="1"/>
  <c r="K18" i="54" s="1"/>
  <c r="K19" i="54" s="1"/>
  <c r="K20" i="54" s="1"/>
  <c r="K21" i="54" s="1"/>
  <c r="K22" i="54" s="1"/>
  <c r="K23" i="54" s="1"/>
  <c r="K24" i="54" s="1"/>
  <c r="K25" i="54" s="1"/>
  <c r="K26" i="54" s="1"/>
  <c r="K27" i="54" s="1"/>
  <c r="K28" i="54" s="1"/>
  <c r="K29" i="54" s="1"/>
  <c r="K30" i="54" s="1"/>
  <c r="K31" i="54" s="1"/>
  <c r="K32" i="54" s="1"/>
  <c r="K33" i="54" s="1"/>
  <c r="K34" i="54" s="1"/>
  <c r="K13" i="364"/>
  <c r="K14" i="364" s="1"/>
  <c r="K15" i="364" s="1"/>
  <c r="K16" i="364" s="1"/>
  <c r="K17" i="364" s="1"/>
  <c r="K18" i="364" s="1"/>
  <c r="K19" i="364" s="1"/>
  <c r="K20" i="364" s="1"/>
  <c r="K21" i="364" s="1"/>
  <c r="K22" i="364" s="1"/>
  <c r="D21" i="297"/>
  <c r="D22" i="297" s="1"/>
  <c r="K19" i="297"/>
  <c r="K20" i="297" s="1"/>
  <c r="K21" i="297" s="1"/>
  <c r="K22" i="297" s="1"/>
  <c r="K23" i="297" s="1"/>
  <c r="G7" i="297"/>
  <c r="E8" i="297"/>
  <c r="L7" i="297"/>
  <c r="G9" i="297"/>
  <c r="K9" i="287"/>
  <c r="K10" i="287" s="1"/>
  <c r="K11" i="287" s="1"/>
  <c r="K12" i="287" s="1"/>
  <c r="K13" i="287" s="1"/>
  <c r="K14" i="287" s="1"/>
  <c r="K15" i="287" s="1"/>
  <c r="K16" i="287" s="1"/>
  <c r="K17" i="287" s="1"/>
  <c r="K18" i="287" s="1"/>
  <c r="K19" i="287" s="1"/>
  <c r="E9" i="260"/>
  <c r="L8" i="260"/>
  <c r="L13" i="10"/>
  <c r="E14" i="10"/>
  <c r="F10" i="268"/>
  <c r="K9" i="401"/>
  <c r="G9" i="414"/>
  <c r="E7" i="364"/>
  <c r="J34" i="154"/>
  <c r="J35" i="154" s="1"/>
  <c r="L8" i="309"/>
  <c r="E9" i="309"/>
  <c r="G9" i="309"/>
  <c r="D23" i="297"/>
  <c r="E12" i="422" s="1"/>
  <c r="K26" i="209"/>
  <c r="K27" i="209" s="1"/>
  <c r="K28" i="209" s="1"/>
  <c r="G8" i="415"/>
  <c r="L7" i="314"/>
  <c r="G8" i="309"/>
  <c r="L7" i="309"/>
  <c r="E9" i="295"/>
  <c r="L8" i="295"/>
  <c r="L7" i="295"/>
  <c r="K24" i="11"/>
  <c r="K25" i="11" s="1"/>
  <c r="K26" i="11" s="1"/>
  <c r="K27" i="11" s="1"/>
  <c r="K28" i="11" s="1"/>
  <c r="K29" i="11" s="1"/>
  <c r="K30" i="11" s="1"/>
  <c r="K31" i="11" s="1"/>
  <c r="K32" i="11" s="1"/>
  <c r="K33" i="11" s="1"/>
  <c r="K34" i="11" s="1"/>
  <c r="K35" i="11" s="1"/>
  <c r="K36" i="11" s="1"/>
  <c r="K37" i="11" s="1"/>
  <c r="K38" i="11" s="1"/>
  <c r="K39" i="11" s="1"/>
  <c r="K40" i="11" s="1"/>
  <c r="K41" i="11" s="1"/>
  <c r="K42" i="11" s="1"/>
  <c r="K43" i="11" s="1"/>
  <c r="K44" i="11" s="1"/>
  <c r="K45" i="11" s="1"/>
  <c r="K46" i="11" s="1"/>
  <c r="K47" i="11" s="1"/>
  <c r="K48" i="11" s="1"/>
  <c r="K49" i="11" s="1"/>
  <c r="K50" i="11" s="1"/>
  <c r="E9" i="11"/>
  <c r="E21" i="11"/>
  <c r="L20" i="11"/>
  <c r="L14" i="259"/>
  <c r="J15" i="259"/>
  <c r="L7" i="260"/>
  <c r="L11" i="259"/>
  <c r="L7" i="209"/>
  <c r="L11" i="10"/>
  <c r="L10" i="10"/>
  <c r="K9" i="259"/>
  <c r="K10" i="259" s="1"/>
  <c r="K11" i="259" s="1"/>
  <c r="K12" i="259" s="1"/>
  <c r="K13" i="259" s="1"/>
  <c r="K14" i="259" s="1"/>
  <c r="K15" i="259" s="1"/>
  <c r="K16" i="259" s="1"/>
  <c r="K17" i="259" s="1"/>
  <c r="K18" i="259" s="1"/>
  <c r="K19" i="259" s="1"/>
  <c r="K20" i="259" s="1"/>
  <c r="K21" i="259" s="1"/>
  <c r="K22" i="259" s="1"/>
  <c r="K23" i="259" s="1"/>
  <c r="K24" i="259" s="1"/>
  <c r="J18" i="209"/>
  <c r="J19" i="209" s="1"/>
  <c r="J20" i="209" s="1"/>
  <c r="J21" i="209" s="1"/>
  <c r="J22" i="209" s="1"/>
  <c r="J23" i="209" s="1"/>
  <c r="J24" i="209" s="1"/>
  <c r="J25" i="209" s="1"/>
  <c r="J26" i="209" s="1"/>
  <c r="J27" i="209" s="1"/>
  <c r="J28" i="209" s="1"/>
  <c r="J5" i="422" s="1"/>
  <c r="L9" i="209"/>
  <c r="E10" i="209"/>
  <c r="L12" i="10"/>
  <c r="I118" i="422"/>
  <c r="H118" i="422" s="1"/>
  <c r="K43" i="425"/>
  <c r="L12" i="259"/>
  <c r="D9" i="10"/>
  <c r="L9" i="260" l="1"/>
  <c r="E10" i="260"/>
  <c r="E9" i="297"/>
  <c r="G10" i="297"/>
  <c r="G8" i="297"/>
  <c r="L8" i="297"/>
  <c r="E12" i="203"/>
  <c r="L11" i="203"/>
  <c r="I25" i="422"/>
  <c r="H25" i="422" s="1"/>
  <c r="K18" i="72"/>
  <c r="K47" i="57"/>
  <c r="I26" i="422"/>
  <c r="I54" i="422"/>
  <c r="H54" i="422" s="1"/>
  <c r="K20" i="302"/>
  <c r="D45" i="203"/>
  <c r="F44" i="203"/>
  <c r="L12" i="213"/>
  <c r="G12" i="213"/>
  <c r="E13" i="213"/>
  <c r="L11" i="224"/>
  <c r="E12" i="224"/>
  <c r="I47" i="422"/>
  <c r="H47" i="422" s="1"/>
  <c r="K30" i="264"/>
  <c r="I66" i="422"/>
  <c r="H66" i="422" s="1"/>
  <c r="K14" i="361"/>
  <c r="E11" i="275"/>
  <c r="L10" i="275"/>
  <c r="L8" i="403"/>
  <c r="G8" i="403"/>
  <c r="G7" i="393"/>
  <c r="L7" i="393"/>
  <c r="E8" i="393"/>
  <c r="L13" i="95"/>
  <c r="G13" i="95"/>
  <c r="E14" i="95"/>
  <c r="L52" i="95"/>
  <c r="G52" i="95"/>
  <c r="E53" i="95"/>
  <c r="L10" i="191"/>
  <c r="E11" i="191"/>
  <c r="G10" i="191"/>
  <c r="E9" i="293"/>
  <c r="L8" i="293"/>
  <c r="G9" i="293"/>
  <c r="G9" i="243"/>
  <c r="L9" i="243"/>
  <c r="G14" i="243"/>
  <c r="E10" i="243"/>
  <c r="G10" i="310"/>
  <c r="L9" i="310"/>
  <c r="E10" i="310"/>
  <c r="D10" i="108"/>
  <c r="F9" i="108"/>
  <c r="E8" i="353"/>
  <c r="L7" i="353"/>
  <c r="L12" i="216"/>
  <c r="G12" i="216"/>
  <c r="E13" i="216"/>
  <c r="E12" i="128"/>
  <c r="G11" i="128"/>
  <c r="L11" i="128"/>
  <c r="E17" i="138"/>
  <c r="G16" i="138"/>
  <c r="L11" i="129"/>
  <c r="J12" i="129"/>
  <c r="E13" i="137"/>
  <c r="L12" i="137"/>
  <c r="G12" i="137"/>
  <c r="I117" i="422"/>
  <c r="H117" i="422" s="1"/>
  <c r="K53" i="119"/>
  <c r="K54" i="119" s="1"/>
  <c r="K55" i="119" s="1"/>
  <c r="F9" i="214"/>
  <c r="D10" i="214"/>
  <c r="G10" i="351"/>
  <c r="E11" i="351"/>
  <c r="L10" i="351"/>
  <c r="I140" i="422"/>
  <c r="H140" i="422" s="1"/>
  <c r="K20" i="285"/>
  <c r="G10" i="169"/>
  <c r="E11" i="169"/>
  <c r="L10" i="169"/>
  <c r="G25" i="305"/>
  <c r="L25" i="305"/>
  <c r="E26" i="305"/>
  <c r="E9" i="362"/>
  <c r="G8" i="362"/>
  <c r="L8" i="362"/>
  <c r="E23" i="175"/>
  <c r="L22" i="175"/>
  <c r="D69" i="175"/>
  <c r="F68" i="175"/>
  <c r="D93" i="175"/>
  <c r="F92" i="175"/>
  <c r="L11" i="336"/>
  <c r="C27" i="336"/>
  <c r="L10" i="325"/>
  <c r="E11" i="325"/>
  <c r="G10" i="325"/>
  <c r="E9" i="199"/>
  <c r="L8" i="199"/>
  <c r="G8" i="199"/>
  <c r="G8" i="410"/>
  <c r="L8" i="410"/>
  <c r="E12" i="175"/>
  <c r="L11" i="175"/>
  <c r="L154" i="175"/>
  <c r="E155" i="175"/>
  <c r="E13" i="296"/>
  <c r="G15" i="296"/>
  <c r="L12" i="296"/>
  <c r="L11" i="132"/>
  <c r="G11" i="132"/>
  <c r="E12" i="132"/>
  <c r="E16" i="57"/>
  <c r="L15" i="57"/>
  <c r="L12" i="80"/>
  <c r="E13" i="80"/>
  <c r="L15" i="268"/>
  <c r="E16" i="268"/>
  <c r="G15" i="268"/>
  <c r="J57" i="175"/>
  <c r="L56" i="175"/>
  <c r="F38" i="132"/>
  <c r="D39" i="132"/>
  <c r="E13" i="386"/>
  <c r="L13" i="386" s="1"/>
  <c r="L12" i="386"/>
  <c r="L64" i="33"/>
  <c r="E65" i="33"/>
  <c r="E17" i="246"/>
  <c r="L16" i="246"/>
  <c r="G14" i="311"/>
  <c r="E13" i="311"/>
  <c r="L12" i="311"/>
  <c r="L107" i="33"/>
  <c r="E108" i="33"/>
  <c r="E16" i="111"/>
  <c r="L15" i="111"/>
  <c r="G16" i="154"/>
  <c r="H16" i="154"/>
  <c r="K16" i="154" s="1"/>
  <c r="K17" i="154" s="1"/>
  <c r="K18" i="154" s="1"/>
  <c r="K19" i="154" s="1"/>
  <c r="K20" i="154" s="1"/>
  <c r="K21" i="154" s="1"/>
  <c r="K22" i="154" s="1"/>
  <c r="K23" i="154" s="1"/>
  <c r="K24" i="154" s="1"/>
  <c r="K25" i="154" s="1"/>
  <c r="K26" i="154" s="1"/>
  <c r="K27" i="154" s="1"/>
  <c r="K28" i="154" s="1"/>
  <c r="K29" i="154" s="1"/>
  <c r="K30" i="154" s="1"/>
  <c r="K31" i="154" s="1"/>
  <c r="K32" i="154" s="1"/>
  <c r="K33" i="154" s="1"/>
  <c r="K34" i="154" s="1"/>
  <c r="K35" i="154" s="1"/>
  <c r="K36" i="154" s="1"/>
  <c r="G15" i="154"/>
  <c r="L15" i="154"/>
  <c r="E16" i="154"/>
  <c r="G19" i="211"/>
  <c r="E20" i="211"/>
  <c r="L19" i="211"/>
  <c r="G14" i="66"/>
  <c r="E15" i="66"/>
  <c r="L14" i="66"/>
  <c r="L13" i="214"/>
  <c r="E14" i="214"/>
  <c r="L19" i="185"/>
  <c r="E20" i="185"/>
  <c r="E16" i="119"/>
  <c r="L15" i="119"/>
  <c r="L13" i="146"/>
  <c r="E14" i="146"/>
  <c r="L8" i="249"/>
  <c r="E9" i="249"/>
  <c r="G8" i="249"/>
  <c r="G8" i="308"/>
  <c r="E9" i="308"/>
  <c r="L8" i="308"/>
  <c r="G9" i="117"/>
  <c r="L8" i="117"/>
  <c r="E9" i="117"/>
  <c r="E8" i="238"/>
  <c r="L7" i="238"/>
  <c r="L10" i="267"/>
  <c r="G12" i="267"/>
  <c r="E11" i="267"/>
  <c r="E8" i="390"/>
  <c r="L7" i="390"/>
  <c r="G8" i="390"/>
  <c r="G21" i="129"/>
  <c r="E21" i="129"/>
  <c r="I121" i="422"/>
  <c r="H121" i="422" s="1"/>
  <c r="K26" i="121"/>
  <c r="L8" i="161"/>
  <c r="E9" i="161"/>
  <c r="G9" i="280"/>
  <c r="L8" i="280"/>
  <c r="E9" i="280"/>
  <c r="L12" i="270"/>
  <c r="E13" i="270"/>
  <c r="L126" i="175"/>
  <c r="E127" i="175"/>
  <c r="I153" i="422"/>
  <c r="H153" i="422" s="1"/>
  <c r="I154" i="422"/>
  <c r="H154" i="422" s="1"/>
  <c r="K40" i="163"/>
  <c r="E9" i="195"/>
  <c r="L8" i="195"/>
  <c r="G8" i="195"/>
  <c r="J12" i="305"/>
  <c r="L11" i="305"/>
  <c r="L53" i="175"/>
  <c r="E9" i="204"/>
  <c r="L8" i="204"/>
  <c r="G8" i="263"/>
  <c r="E9" i="263"/>
  <c r="L8" i="263"/>
  <c r="I185" i="422"/>
  <c r="H185" i="422" s="1"/>
  <c r="K26" i="288"/>
  <c r="E33" i="175"/>
  <c r="L32" i="175"/>
  <c r="G67" i="175"/>
  <c r="L67" i="175"/>
  <c r="E68" i="175"/>
  <c r="F11" i="96"/>
  <c r="D12" i="96"/>
  <c r="E11" i="358"/>
  <c r="L10" i="358"/>
  <c r="E48" i="203"/>
  <c r="L47" i="203"/>
  <c r="L10" i="182"/>
  <c r="E11" i="182"/>
  <c r="I103" i="422"/>
  <c r="H103" i="422" s="1"/>
  <c r="K29" i="240"/>
  <c r="G12" i="368"/>
  <c r="L12" i="368"/>
  <c r="E13" i="368"/>
  <c r="E13" i="269"/>
  <c r="L12" i="269"/>
  <c r="G13" i="269"/>
  <c r="L39" i="132"/>
  <c r="E40" i="132"/>
  <c r="L13" i="254"/>
  <c r="E14" i="254"/>
  <c r="L17" i="289"/>
  <c r="E18" i="289"/>
  <c r="G14" i="285"/>
  <c r="E15" i="285"/>
  <c r="L14" i="285"/>
  <c r="D16" i="268"/>
  <c r="F15" i="268"/>
  <c r="G13" i="170"/>
  <c r="L13" i="170"/>
  <c r="D64" i="33"/>
  <c r="F63" i="33"/>
  <c r="D18" i="296"/>
  <c r="F17" i="296"/>
  <c r="L18" i="143"/>
  <c r="E19" i="143"/>
  <c r="F31" i="422"/>
  <c r="L19" i="257"/>
  <c r="L11" i="425"/>
  <c r="E12" i="425"/>
  <c r="E10" i="11"/>
  <c r="L9" i="11"/>
  <c r="D10" i="57"/>
  <c r="F9" i="57"/>
  <c r="L8" i="72"/>
  <c r="E9" i="72"/>
  <c r="K35" i="54"/>
  <c r="K36" i="54" s="1"/>
  <c r="K37" i="54" s="1"/>
  <c r="K38" i="54" s="1"/>
  <c r="K39" i="54" s="1"/>
  <c r="K40" i="54" s="1"/>
  <c r="K41" i="54" s="1"/>
  <c r="K42" i="54" s="1"/>
  <c r="K43" i="54" s="1"/>
  <c r="K44" i="54" s="1"/>
  <c r="K45" i="54" s="1"/>
  <c r="K46" i="54" s="1"/>
  <c r="K47" i="54" s="1"/>
  <c r="K48" i="54" s="1"/>
  <c r="K49" i="54" s="1"/>
  <c r="K50" i="54" s="1"/>
  <c r="K51" i="54" s="1"/>
  <c r="K52" i="54" s="1"/>
  <c r="K53" i="54" s="1"/>
  <c r="K54" i="54" s="1"/>
  <c r="K55" i="54" s="1"/>
  <c r="K56" i="54" s="1"/>
  <c r="K57" i="54" s="1"/>
  <c r="K58" i="54" s="1"/>
  <c r="K59" i="54" s="1"/>
  <c r="K60" i="54" s="1"/>
  <c r="K61" i="54" s="1"/>
  <c r="K62" i="54" s="1"/>
  <c r="K63" i="54" s="1"/>
  <c r="K64" i="54" s="1"/>
  <c r="K65" i="54" s="1"/>
  <c r="K66" i="54" s="1"/>
  <c r="K67" i="54" s="1"/>
  <c r="K68" i="54" s="1"/>
  <c r="K69" i="54" s="1"/>
  <c r="K70" i="54" s="1"/>
  <c r="E12" i="62"/>
  <c r="L11" i="62"/>
  <c r="L9" i="226"/>
  <c r="G9" i="226"/>
  <c r="E10" i="226"/>
  <c r="I44" i="422"/>
  <c r="H44" i="422" s="1"/>
  <c r="K32" i="217"/>
  <c r="E9" i="389"/>
  <c r="L9" i="389" s="1"/>
  <c r="G9" i="389"/>
  <c r="L8" i="389"/>
  <c r="L7" i="380"/>
  <c r="E8" i="380"/>
  <c r="L8" i="247"/>
  <c r="G10" i="247"/>
  <c r="G11" i="247"/>
  <c r="E9" i="247"/>
  <c r="G8" i="247"/>
  <c r="J16" i="259"/>
  <c r="L15" i="259"/>
  <c r="L21" i="11"/>
  <c r="E22" i="11"/>
  <c r="K29" i="209"/>
  <c r="I5" i="422"/>
  <c r="H5" i="422" s="1"/>
  <c r="G10" i="309"/>
  <c r="E10" i="309"/>
  <c r="L9" i="309"/>
  <c r="I12" i="422"/>
  <c r="H12" i="422" s="1"/>
  <c r="K24" i="297"/>
  <c r="D75" i="203"/>
  <c r="F74" i="203"/>
  <c r="I28" i="422"/>
  <c r="H28" i="422" s="1"/>
  <c r="K36" i="202"/>
  <c r="L74" i="203"/>
  <c r="E75" i="203"/>
  <c r="I63" i="422"/>
  <c r="H63" i="422" s="1"/>
  <c r="K16" i="348"/>
  <c r="L8" i="55"/>
  <c r="E9" i="55"/>
  <c r="H26" i="422"/>
  <c r="I40" i="422"/>
  <c r="H40" i="422" s="1"/>
  <c r="K50" i="80"/>
  <c r="H21" i="422"/>
  <c r="L9" i="223"/>
  <c r="G9" i="223"/>
  <c r="E10" i="223"/>
  <c r="I48" i="422"/>
  <c r="H48" i="422" s="1"/>
  <c r="K27" i="277"/>
  <c r="L9" i="277"/>
  <c r="E10" i="277"/>
  <c r="I62" i="422"/>
  <c r="H62" i="422" s="1"/>
  <c r="K16" i="347"/>
  <c r="K68" i="422"/>
  <c r="K8" i="380"/>
  <c r="L8" i="359"/>
  <c r="E9" i="359"/>
  <c r="I56" i="422"/>
  <c r="H56" i="422" s="1"/>
  <c r="K18" i="328"/>
  <c r="E9" i="347"/>
  <c r="L8" i="347"/>
  <c r="I82" i="422"/>
  <c r="H82" i="422" s="1"/>
  <c r="K22" i="269"/>
  <c r="K23" i="269" s="1"/>
  <c r="L7" i="409"/>
  <c r="K8" i="409"/>
  <c r="L11" i="291"/>
  <c r="E12" i="291"/>
  <c r="G7" i="298"/>
  <c r="E8" i="298"/>
  <c r="L7" i="298"/>
  <c r="E11" i="112"/>
  <c r="L10" i="112"/>
  <c r="G11" i="112"/>
  <c r="E9" i="123"/>
  <c r="L8" i="123"/>
  <c r="I139" i="422"/>
  <c r="H139" i="422" s="1"/>
  <c r="K29" i="254"/>
  <c r="G12" i="288"/>
  <c r="E11" i="288"/>
  <c r="L10" i="288"/>
  <c r="G23" i="170"/>
  <c r="E24" i="170"/>
  <c r="L23" i="170"/>
  <c r="E13" i="340"/>
  <c r="G12" i="340"/>
  <c r="L12" i="340"/>
  <c r="D22" i="175"/>
  <c r="F21" i="175"/>
  <c r="L54" i="175"/>
  <c r="L9" i="121"/>
  <c r="E10" i="121"/>
  <c r="E9" i="304"/>
  <c r="L8" i="304"/>
  <c r="L11" i="369"/>
  <c r="E12" i="369"/>
  <c r="E14" i="118"/>
  <c r="L13" i="118"/>
  <c r="G14" i="118"/>
  <c r="F66" i="422"/>
  <c r="L13" i="361"/>
  <c r="E10" i="180"/>
  <c r="L9" i="180"/>
  <c r="G12" i="284"/>
  <c r="E13" i="284"/>
  <c r="L12" i="284"/>
  <c r="J14" i="104"/>
  <c r="L13" i="104"/>
  <c r="L17" i="245"/>
  <c r="E18" i="245"/>
  <c r="G17" i="245"/>
  <c r="L11" i="163"/>
  <c r="G11" i="163"/>
  <c r="E12" i="163"/>
  <c r="L15" i="307"/>
  <c r="E16" i="307"/>
  <c r="E91" i="175"/>
  <c r="L90" i="175"/>
  <c r="F60" i="422"/>
  <c r="L11" i="373"/>
  <c r="L15" i="328"/>
  <c r="E16" i="328"/>
  <c r="D15" i="106"/>
  <c r="F14" i="106"/>
  <c r="L20" i="256"/>
  <c r="E21" i="256"/>
  <c r="E17" i="202"/>
  <c r="L16" i="202"/>
  <c r="D20" i="364"/>
  <c r="F19" i="364"/>
  <c r="L11" i="423"/>
  <c r="E12" i="423"/>
  <c r="G12" i="423"/>
  <c r="L10" i="427"/>
  <c r="E11" i="427"/>
  <c r="L10" i="209"/>
  <c r="E11" i="209"/>
  <c r="K51" i="11"/>
  <c r="I4" i="422"/>
  <c r="H4" i="422" s="1"/>
  <c r="E10" i="295"/>
  <c r="G9" i="295"/>
  <c r="L9" i="295"/>
  <c r="G7" i="364"/>
  <c r="L7" i="364"/>
  <c r="E8" i="364"/>
  <c r="E15" i="10"/>
  <c r="L14" i="10"/>
  <c r="I10" i="422"/>
  <c r="H10" i="422" s="1"/>
  <c r="K20" i="287"/>
  <c r="F12" i="203"/>
  <c r="D13" i="203"/>
  <c r="F10" i="307"/>
  <c r="D11" i="307"/>
  <c r="E8" i="371"/>
  <c r="L7" i="371"/>
  <c r="E10" i="217"/>
  <c r="L9" i="217"/>
  <c r="E14" i="302"/>
  <c r="L13" i="302"/>
  <c r="E12" i="94"/>
  <c r="G11" i="94"/>
  <c r="L11" i="94"/>
  <c r="F9" i="10"/>
  <c r="D10" i="10"/>
  <c r="I6" i="422"/>
  <c r="K25" i="259"/>
  <c r="E21" i="259"/>
  <c r="L9" i="300"/>
  <c r="E10" i="300"/>
  <c r="L12" i="61"/>
  <c r="E13" i="61"/>
  <c r="I32" i="422"/>
  <c r="H32" i="422" s="1"/>
  <c r="K28" i="271"/>
  <c r="G9" i="363"/>
  <c r="L8" i="363"/>
  <c r="E9" i="363"/>
  <c r="L10" i="81"/>
  <c r="E11" i="81"/>
  <c r="I64" i="422"/>
  <c r="H64" i="422" s="1"/>
  <c r="K14" i="359"/>
  <c r="G9" i="96"/>
  <c r="E10" i="96"/>
  <c r="L9" i="96"/>
  <c r="L8" i="384"/>
  <c r="E9" i="384"/>
  <c r="H8" i="384"/>
  <c r="K8" i="384" s="1"/>
  <c r="K9" i="384" s="1"/>
  <c r="K10" i="384" s="1"/>
  <c r="G10" i="385"/>
  <c r="E10" i="385"/>
  <c r="L9" i="385"/>
  <c r="L8" i="383"/>
  <c r="G8" i="383"/>
  <c r="E9" i="383"/>
  <c r="L9" i="278"/>
  <c r="E10" i="278"/>
  <c r="I57" i="422"/>
  <c r="H57" i="422" s="1"/>
  <c r="K9" i="339"/>
  <c r="L8" i="396"/>
  <c r="E9" i="396"/>
  <c r="I86" i="422"/>
  <c r="H86" i="422" s="1"/>
  <c r="K37" i="256"/>
  <c r="J40" i="256" s="1"/>
  <c r="G8" i="402"/>
  <c r="L8" i="402"/>
  <c r="L10" i="106"/>
  <c r="E11" i="106"/>
  <c r="K7" i="370"/>
  <c r="L7" i="370"/>
  <c r="E8" i="370"/>
  <c r="L11" i="108"/>
  <c r="E12" i="108"/>
  <c r="E10" i="239"/>
  <c r="L9" i="239"/>
  <c r="L9" i="360"/>
  <c r="E10" i="360"/>
  <c r="L10" i="360" s="1"/>
  <c r="L9" i="283"/>
  <c r="E10" i="283"/>
  <c r="J15" i="138"/>
  <c r="L14" i="138"/>
  <c r="G9" i="242"/>
  <c r="E10" i="242"/>
  <c r="L9" i="242"/>
  <c r="E9" i="266"/>
  <c r="L8" i="266"/>
  <c r="G10" i="266"/>
  <c r="L7" i="420"/>
  <c r="K8" i="420"/>
  <c r="L8" i="355"/>
  <c r="E9" i="355"/>
  <c r="L10" i="303"/>
  <c r="G13" i="303"/>
  <c r="E11" i="303"/>
  <c r="L8" i="329"/>
  <c r="E9" i="329"/>
  <c r="E11" i="174"/>
  <c r="L10" i="174"/>
  <c r="L13" i="342"/>
  <c r="E14" i="342"/>
  <c r="L14" i="342" s="1"/>
  <c r="K15" i="246"/>
  <c r="K16" i="246" s="1"/>
  <c r="K17" i="246" s="1"/>
  <c r="K18" i="246" s="1"/>
  <c r="K19" i="246" s="1"/>
  <c r="K20" i="246" s="1"/>
  <c r="K21" i="246" s="1"/>
  <c r="K22" i="246" s="1"/>
  <c r="K23" i="246" s="1"/>
  <c r="K24" i="246" s="1"/>
  <c r="L55" i="175"/>
  <c r="D8" i="174"/>
  <c r="F7" i="174"/>
  <c r="L8" i="404"/>
  <c r="E9" i="404"/>
  <c r="L9" i="404" s="1"/>
  <c r="F49" i="175"/>
  <c r="D50" i="175"/>
  <c r="G11" i="333"/>
  <c r="E11" i="333"/>
  <c r="L10" i="333"/>
  <c r="E10" i="102"/>
  <c r="L9" i="102"/>
  <c r="E16" i="305"/>
  <c r="E13" i="255"/>
  <c r="L12" i="255"/>
  <c r="G12" i="255"/>
  <c r="G13" i="273"/>
  <c r="L12" i="273"/>
  <c r="E13" i="273"/>
  <c r="L14" i="33"/>
  <c r="E15" i="33"/>
  <c r="E18" i="301"/>
  <c r="L17" i="301"/>
  <c r="G9" i="321"/>
  <c r="E10" i="321"/>
  <c r="L9" i="321"/>
  <c r="L12" i="287"/>
  <c r="E13" i="287"/>
  <c r="L14" i="271"/>
  <c r="E15" i="271"/>
  <c r="G16" i="271"/>
  <c r="G10" i="54"/>
  <c r="E10" i="54"/>
  <c r="L9" i="54"/>
  <c r="G10" i="317"/>
  <c r="L10" i="317"/>
  <c r="E11" i="317"/>
  <c r="E12" i="365"/>
  <c r="L11" i="365"/>
  <c r="L12" i="276"/>
  <c r="G12" i="276"/>
  <c r="E13" i="276"/>
  <c r="L15" i="240"/>
  <c r="E16" i="240"/>
  <c r="E17" i="327"/>
  <c r="G16" i="327"/>
  <c r="L16" i="327"/>
  <c r="L13" i="252"/>
  <c r="E14" i="252"/>
  <c r="E17" i="258"/>
  <c r="L16" i="258"/>
  <c r="L18" i="264"/>
  <c r="E19" i="264"/>
  <c r="G19" i="264"/>
  <c r="D20" i="33"/>
  <c r="F19" i="33"/>
  <c r="H12" i="428"/>
  <c r="E9" i="428"/>
  <c r="H10" i="428"/>
  <c r="K10" i="428" s="1"/>
  <c r="K11" i="428" s="1"/>
  <c r="L8" i="428"/>
  <c r="G9" i="428"/>
  <c r="H11" i="428"/>
  <c r="G10" i="428"/>
  <c r="F120" i="422"/>
  <c r="L21" i="426"/>
  <c r="G11" i="317" l="1"/>
  <c r="E12" i="317"/>
  <c r="L11" i="317"/>
  <c r="E13" i="108"/>
  <c r="L12" i="108"/>
  <c r="L9" i="396"/>
  <c r="E10" i="396"/>
  <c r="E25" i="170"/>
  <c r="G24" i="170"/>
  <c r="L24" i="170"/>
  <c r="G8" i="298"/>
  <c r="L8" i="298"/>
  <c r="E9" i="298"/>
  <c r="E15" i="254"/>
  <c r="L14" i="254"/>
  <c r="G68" i="175"/>
  <c r="G70" i="175"/>
  <c r="G74" i="175"/>
  <c r="G69" i="175"/>
  <c r="G73" i="175"/>
  <c r="L68" i="175"/>
  <c r="G75" i="175"/>
  <c r="E69" i="175"/>
  <c r="H69" i="175"/>
  <c r="K69" i="175" s="1"/>
  <c r="K70" i="175" s="1"/>
  <c r="K71" i="175" s="1"/>
  <c r="K72" i="175" s="1"/>
  <c r="K73" i="175" s="1"/>
  <c r="K74" i="175" s="1"/>
  <c r="K75" i="175" s="1"/>
  <c r="K76" i="175" s="1"/>
  <c r="G71" i="175"/>
  <c r="G72" i="175"/>
  <c r="E15" i="146"/>
  <c r="L14" i="146"/>
  <c r="G20" i="211"/>
  <c r="L20" i="211"/>
  <c r="E21" i="211"/>
  <c r="E17" i="111"/>
  <c r="L16" i="111"/>
  <c r="G15" i="311"/>
  <c r="G16" i="311"/>
  <c r="G17" i="311"/>
  <c r="G18" i="311"/>
  <c r="E14" i="311"/>
  <c r="G21" i="311"/>
  <c r="G22" i="311"/>
  <c r="G19" i="311"/>
  <c r="G20" i="311"/>
  <c r="L13" i="311"/>
  <c r="L65" i="33"/>
  <c r="E66" i="33"/>
  <c r="D40" i="132"/>
  <c r="F39" i="132"/>
  <c r="G11" i="325"/>
  <c r="E12" i="325"/>
  <c r="L11" i="325"/>
  <c r="L9" i="362"/>
  <c r="G9" i="362"/>
  <c r="E10" i="362"/>
  <c r="F10" i="214"/>
  <c r="D11" i="214"/>
  <c r="G13" i="216"/>
  <c r="L13" i="216"/>
  <c r="E14" i="216"/>
  <c r="L8" i="353"/>
  <c r="E9" i="353"/>
  <c r="G10" i="293"/>
  <c r="L9" i="293"/>
  <c r="E10" i="293"/>
  <c r="E54" i="95"/>
  <c r="L53" i="95"/>
  <c r="G53" i="95"/>
  <c r="E12" i="275"/>
  <c r="L11" i="275"/>
  <c r="E11" i="260"/>
  <c r="L10" i="260"/>
  <c r="G22" i="264"/>
  <c r="G29" i="264"/>
  <c r="G26" i="264"/>
  <c r="G23" i="264"/>
  <c r="E20" i="264"/>
  <c r="G28" i="264"/>
  <c r="G27" i="264"/>
  <c r="L19" i="264"/>
  <c r="G24" i="264"/>
  <c r="G25" i="264"/>
  <c r="D9" i="174"/>
  <c r="F8" i="174"/>
  <c r="E11" i="278"/>
  <c r="L10" i="278"/>
  <c r="L13" i="61"/>
  <c r="E14" i="61"/>
  <c r="E18" i="202"/>
  <c r="L17" i="202"/>
  <c r="D76" i="203"/>
  <c r="F75" i="203"/>
  <c r="E23" i="11"/>
  <c r="L22" i="11"/>
  <c r="G15" i="285"/>
  <c r="L15" i="285"/>
  <c r="E16" i="285"/>
  <c r="E12" i="182"/>
  <c r="L11" i="182"/>
  <c r="L33" i="175"/>
  <c r="E34" i="175"/>
  <c r="E10" i="161"/>
  <c r="L9" i="161"/>
  <c r="G10" i="161"/>
  <c r="E12" i="106"/>
  <c r="L11" i="106"/>
  <c r="D11" i="10"/>
  <c r="F10" i="10"/>
  <c r="L16" i="328"/>
  <c r="E17" i="328"/>
  <c r="E10" i="359"/>
  <c r="L9" i="359"/>
  <c r="G9" i="247"/>
  <c r="E10" i="247"/>
  <c r="L9" i="247"/>
  <c r="G10" i="226"/>
  <c r="E11" i="226"/>
  <c r="L10" i="226"/>
  <c r="L12" i="62"/>
  <c r="E13" i="62"/>
  <c r="L12" i="425"/>
  <c r="E13" i="425"/>
  <c r="L19" i="143"/>
  <c r="E20" i="143"/>
  <c r="L11" i="358"/>
  <c r="E12" i="358"/>
  <c r="G9" i="195"/>
  <c r="L9" i="195"/>
  <c r="E10" i="195"/>
  <c r="L127" i="175"/>
  <c r="E128" i="175"/>
  <c r="L9" i="280"/>
  <c r="E10" i="280"/>
  <c r="G10" i="280"/>
  <c r="E22" i="129"/>
  <c r="G22" i="129"/>
  <c r="L8" i="390"/>
  <c r="E9" i="390"/>
  <c r="L9" i="390" s="1"/>
  <c r="G9" i="390"/>
  <c r="H15" i="66"/>
  <c r="K15" i="66" s="1"/>
  <c r="K16" i="66" s="1"/>
  <c r="K17" i="66" s="1"/>
  <c r="K18" i="66" s="1"/>
  <c r="K19" i="66" s="1"/>
  <c r="K20" i="66" s="1"/>
  <c r="K21" i="66" s="1"/>
  <c r="K22" i="66" s="1"/>
  <c r="K23" i="66" s="1"/>
  <c r="K24" i="66" s="1"/>
  <c r="K25" i="66" s="1"/>
  <c r="K26" i="66" s="1"/>
  <c r="K27" i="66" s="1"/>
  <c r="K28" i="66" s="1"/>
  <c r="K29" i="66" s="1"/>
  <c r="L15" i="66"/>
  <c r="E16" i="66"/>
  <c r="G15" i="66"/>
  <c r="E109" i="33"/>
  <c r="L108" i="33"/>
  <c r="G16" i="268"/>
  <c r="L16" i="268"/>
  <c r="E17" i="268"/>
  <c r="G16" i="296"/>
  <c r="L13" i="296"/>
  <c r="E14" i="296"/>
  <c r="L12" i="175"/>
  <c r="E13" i="175"/>
  <c r="L13" i="175" s="1"/>
  <c r="D94" i="175"/>
  <c r="F93" i="175"/>
  <c r="L23" i="175"/>
  <c r="E24" i="175"/>
  <c r="G26" i="305"/>
  <c r="L26" i="305"/>
  <c r="E27" i="305"/>
  <c r="E12" i="169"/>
  <c r="G11" i="169"/>
  <c r="L11" i="169"/>
  <c r="E13" i="224"/>
  <c r="L12" i="224"/>
  <c r="L14" i="252"/>
  <c r="E15" i="252"/>
  <c r="L10" i="321"/>
  <c r="G10" i="321"/>
  <c r="E11" i="321"/>
  <c r="L9" i="329"/>
  <c r="E10" i="329"/>
  <c r="L9" i="266"/>
  <c r="E10" i="266"/>
  <c r="G11" i="266"/>
  <c r="E15" i="302"/>
  <c r="L14" i="302"/>
  <c r="F13" i="203"/>
  <c r="D14" i="203"/>
  <c r="L11" i="427"/>
  <c r="E12" i="427"/>
  <c r="D16" i="106"/>
  <c r="F15" i="106"/>
  <c r="J15" i="104"/>
  <c r="L14" i="104"/>
  <c r="E11" i="309"/>
  <c r="G11" i="309"/>
  <c r="L10" i="309"/>
  <c r="F18" i="296"/>
  <c r="D19" i="296"/>
  <c r="L9" i="263"/>
  <c r="G9" i="263"/>
  <c r="E10" i="263"/>
  <c r="L20" i="185"/>
  <c r="E21" i="185"/>
  <c r="E13" i="132"/>
  <c r="L12" i="132"/>
  <c r="L13" i="287"/>
  <c r="E14" i="287"/>
  <c r="E10" i="355"/>
  <c r="L9" i="355"/>
  <c r="G10" i="96"/>
  <c r="E11" i="96"/>
  <c r="L10" i="96"/>
  <c r="L21" i="256"/>
  <c r="E22" i="256"/>
  <c r="G18" i="245"/>
  <c r="E19" i="245"/>
  <c r="L18" i="245"/>
  <c r="D21" i="33"/>
  <c r="F20" i="33"/>
  <c r="L13" i="273"/>
  <c r="G14" i="273"/>
  <c r="E14" i="273"/>
  <c r="L11" i="303"/>
  <c r="E12" i="303"/>
  <c r="G14" i="303"/>
  <c r="E11" i="242"/>
  <c r="L10" i="242"/>
  <c r="G10" i="242"/>
  <c r="E11" i="283"/>
  <c r="L10" i="283"/>
  <c r="L8" i="370"/>
  <c r="K8" i="370"/>
  <c r="K9" i="370"/>
  <c r="L9" i="384"/>
  <c r="H9" i="384"/>
  <c r="E11" i="300"/>
  <c r="L10" i="300"/>
  <c r="E13" i="94"/>
  <c r="G12" i="94"/>
  <c r="L12" i="94"/>
  <c r="E11" i="217"/>
  <c r="L10" i="217"/>
  <c r="F11" i="307"/>
  <c r="D12" i="307"/>
  <c r="G8" i="364"/>
  <c r="L8" i="364"/>
  <c r="E9" i="364"/>
  <c r="E12" i="209"/>
  <c r="L11" i="209"/>
  <c r="F20" i="364"/>
  <c r="D21" i="364"/>
  <c r="F21" i="364" s="1"/>
  <c r="L91" i="175"/>
  <c r="E92" i="175"/>
  <c r="G13" i="284"/>
  <c r="L13" i="284"/>
  <c r="E14" i="284"/>
  <c r="G15" i="118"/>
  <c r="L14" i="118"/>
  <c r="E15" i="118"/>
  <c r="E10" i="304"/>
  <c r="L9" i="304"/>
  <c r="G13" i="340"/>
  <c r="L13" i="340"/>
  <c r="E14" i="340"/>
  <c r="G12" i="112"/>
  <c r="L11" i="112"/>
  <c r="E12" i="112"/>
  <c r="L12" i="291"/>
  <c r="E13" i="291"/>
  <c r="E10" i="347"/>
  <c r="L9" i="347"/>
  <c r="E10" i="55"/>
  <c r="L9" i="55"/>
  <c r="F68" i="422"/>
  <c r="L8" i="380"/>
  <c r="F10" i="57"/>
  <c r="D11" i="57"/>
  <c r="D65" i="33"/>
  <c r="F64" i="33"/>
  <c r="D17" i="268"/>
  <c r="F16" i="268"/>
  <c r="E19" i="289"/>
  <c r="L18" i="289"/>
  <c r="E41" i="132"/>
  <c r="L40" i="132"/>
  <c r="G14" i="269"/>
  <c r="E14" i="269"/>
  <c r="L13" i="269"/>
  <c r="F12" i="96"/>
  <c r="D13" i="96"/>
  <c r="J13" i="305"/>
  <c r="L12" i="305"/>
  <c r="L11" i="267"/>
  <c r="G13" i="267"/>
  <c r="E12" i="267"/>
  <c r="E9" i="238"/>
  <c r="L8" i="238"/>
  <c r="E10" i="249"/>
  <c r="G12" i="249"/>
  <c r="G14" i="249"/>
  <c r="G16" i="249"/>
  <c r="G18" i="249"/>
  <c r="G20" i="249"/>
  <c r="G23" i="249"/>
  <c r="G10" i="249"/>
  <c r="L9" i="249"/>
  <c r="G11" i="249"/>
  <c r="G19" i="249"/>
  <c r="G9" i="249"/>
  <c r="G17" i="249"/>
  <c r="G15" i="249"/>
  <c r="G22" i="249"/>
  <c r="G13" i="249"/>
  <c r="G21" i="249"/>
  <c r="L14" i="214"/>
  <c r="E15" i="214"/>
  <c r="E17" i="154"/>
  <c r="G17" i="154"/>
  <c r="L16" i="154"/>
  <c r="E156" i="175"/>
  <c r="L155" i="175"/>
  <c r="G9" i="199"/>
  <c r="L9" i="199"/>
  <c r="E10" i="199"/>
  <c r="G11" i="351"/>
  <c r="L11" i="351"/>
  <c r="E12" i="351"/>
  <c r="L13" i="137"/>
  <c r="E14" i="137"/>
  <c r="G12" i="128"/>
  <c r="E13" i="128"/>
  <c r="L12" i="128"/>
  <c r="F10" i="108"/>
  <c r="D11" i="108"/>
  <c r="G15" i="243"/>
  <c r="L10" i="243"/>
  <c r="E11" i="243"/>
  <c r="G10" i="243"/>
  <c r="G11" i="191"/>
  <c r="E12" i="191"/>
  <c r="L11" i="191"/>
  <c r="L8" i="393"/>
  <c r="E9" i="393"/>
  <c r="L9" i="393" s="1"/>
  <c r="L17" i="327"/>
  <c r="G17" i="327"/>
  <c r="E18" i="327"/>
  <c r="G11" i="54"/>
  <c r="L10" i="54"/>
  <c r="E11" i="54"/>
  <c r="L15" i="33"/>
  <c r="E16" i="33"/>
  <c r="L10" i="11"/>
  <c r="E11" i="11"/>
  <c r="L16" i="240"/>
  <c r="E17" i="240"/>
  <c r="G12" i="333"/>
  <c r="L11" i="333"/>
  <c r="E12" i="333"/>
  <c r="J16" i="138"/>
  <c r="L15" i="138"/>
  <c r="E12" i="81"/>
  <c r="L11" i="81"/>
  <c r="E22" i="259"/>
  <c r="L8" i="371"/>
  <c r="E9" i="371"/>
  <c r="E16" i="10"/>
  <c r="L15" i="10"/>
  <c r="G12" i="163"/>
  <c r="E13" i="163"/>
  <c r="L12" i="163"/>
  <c r="E11" i="180"/>
  <c r="L10" i="180"/>
  <c r="K12" i="428"/>
  <c r="K13" i="428" s="1"/>
  <c r="K14" i="428" s="1"/>
  <c r="K15" i="428" s="1"/>
  <c r="K16" i="428" s="1"/>
  <c r="K17" i="428" s="1"/>
  <c r="K18" i="428" s="1"/>
  <c r="K19" i="428" s="1"/>
  <c r="K20" i="428" s="1"/>
  <c r="K21" i="428" s="1"/>
  <c r="K22" i="428" s="1"/>
  <c r="K23" i="428" s="1"/>
  <c r="K24" i="428" s="1"/>
  <c r="K25" i="428" s="1"/>
  <c r="K26" i="428" s="1"/>
  <c r="K27" i="428" s="1"/>
  <c r="E10" i="428"/>
  <c r="L9" i="428"/>
  <c r="E18" i="258"/>
  <c r="L17" i="258"/>
  <c r="E14" i="276"/>
  <c r="L13" i="276"/>
  <c r="G13" i="276"/>
  <c r="E13" i="365"/>
  <c r="L12" i="365"/>
  <c r="L15" i="271"/>
  <c r="E16" i="271"/>
  <c r="G17" i="271"/>
  <c r="L18" i="301"/>
  <c r="E19" i="301"/>
  <c r="L13" i="255"/>
  <c r="G13" i="255"/>
  <c r="L10" i="102"/>
  <c r="E11" i="102"/>
  <c r="F50" i="175"/>
  <c r="D51" i="175"/>
  <c r="E12" i="174"/>
  <c r="L11" i="174"/>
  <c r="L10" i="239"/>
  <c r="E11" i="239"/>
  <c r="E10" i="383"/>
  <c r="L9" i="383"/>
  <c r="G9" i="383"/>
  <c r="G11" i="385"/>
  <c r="L10" i="385"/>
  <c r="E11" i="385"/>
  <c r="L11" i="385" s="1"/>
  <c r="E10" i="363"/>
  <c r="G10" i="363"/>
  <c r="L9" i="363"/>
  <c r="E11" i="295"/>
  <c r="L10" i="295"/>
  <c r="G10" i="295"/>
  <c r="E13" i="423"/>
  <c r="G13" i="423"/>
  <c r="L12" i="423"/>
  <c r="E17" i="307"/>
  <c r="L16" i="307"/>
  <c r="L12" i="369"/>
  <c r="E13" i="369"/>
  <c r="E11" i="121"/>
  <c r="L10" i="121"/>
  <c r="F22" i="175"/>
  <c r="D23" i="175"/>
  <c r="L11" i="288"/>
  <c r="E12" i="288"/>
  <c r="L9" i="123"/>
  <c r="E10" i="123"/>
  <c r="I68" i="422"/>
  <c r="H68" i="422" s="1"/>
  <c r="K9" i="380"/>
  <c r="L10" i="277"/>
  <c r="E11" i="277"/>
  <c r="G10" i="223"/>
  <c r="L10" i="223"/>
  <c r="E11" i="223"/>
  <c r="E76" i="203"/>
  <c r="L75" i="203"/>
  <c r="J17" i="259"/>
  <c r="L16" i="259"/>
  <c r="L9" i="72"/>
  <c r="E10" i="72"/>
  <c r="L13" i="368"/>
  <c r="G13" i="368"/>
  <c r="E14" i="368"/>
  <c r="L48" i="203"/>
  <c r="E49" i="203"/>
  <c r="E10" i="204"/>
  <c r="L9" i="204"/>
  <c r="E14" i="270"/>
  <c r="L13" i="270"/>
  <c r="G10" i="117"/>
  <c r="E10" i="117"/>
  <c r="L9" i="117"/>
  <c r="G9" i="308"/>
  <c r="E10" i="308"/>
  <c r="L9" i="308"/>
  <c r="L16" i="119"/>
  <c r="E17" i="119"/>
  <c r="E18" i="246"/>
  <c r="L17" i="246"/>
  <c r="J58" i="175"/>
  <c r="L58" i="175" s="1"/>
  <c r="L57" i="175"/>
  <c r="E14" i="80"/>
  <c r="L13" i="80"/>
  <c r="L16" i="57"/>
  <c r="E17" i="57"/>
  <c r="D70" i="175"/>
  <c r="F69" i="175"/>
  <c r="L12" i="129"/>
  <c r="J13" i="129"/>
  <c r="E18" i="138"/>
  <c r="G17" i="138"/>
  <c r="G11" i="310"/>
  <c r="L10" i="310"/>
  <c r="E11" i="310"/>
  <c r="E15" i="95"/>
  <c r="G14" i="95"/>
  <c r="L14" i="95"/>
  <c r="G13" i="213"/>
  <c r="E14" i="213"/>
  <c r="L13" i="213"/>
  <c r="F45" i="203"/>
  <c r="D46" i="203"/>
  <c r="L12" i="203"/>
  <c r="E13" i="203"/>
  <c r="G11" i="297"/>
  <c r="E10" i="297"/>
  <c r="L9" i="297"/>
  <c r="G10" i="308" l="1"/>
  <c r="E11" i="308"/>
  <c r="L10" i="308"/>
  <c r="E12" i="102"/>
  <c r="L11" i="102"/>
  <c r="D71" i="175"/>
  <c r="F70" i="175"/>
  <c r="L10" i="204"/>
  <c r="E11" i="204"/>
  <c r="E12" i="295"/>
  <c r="L11" i="295"/>
  <c r="G11" i="295"/>
  <c r="E11" i="199"/>
  <c r="G10" i="199"/>
  <c r="L10" i="199"/>
  <c r="L15" i="214"/>
  <c r="E16" i="214"/>
  <c r="E42" i="132"/>
  <c r="L41" i="132"/>
  <c r="E11" i="304"/>
  <c r="L10" i="304"/>
  <c r="D13" i="307"/>
  <c r="F12" i="307"/>
  <c r="E12" i="300"/>
  <c r="L11" i="300"/>
  <c r="L19" i="245"/>
  <c r="E20" i="245"/>
  <c r="G19" i="245"/>
  <c r="E14" i="132"/>
  <c r="L13" i="132"/>
  <c r="J16" i="104"/>
  <c r="L15" i="104"/>
  <c r="E16" i="302"/>
  <c r="L15" i="302"/>
  <c r="E11" i="329"/>
  <c r="L10" i="329"/>
  <c r="E14" i="224"/>
  <c r="L13" i="224"/>
  <c r="E28" i="305"/>
  <c r="G27" i="305"/>
  <c r="L27" i="305"/>
  <c r="L17" i="268"/>
  <c r="E18" i="268"/>
  <c r="G17" i="268"/>
  <c r="E110" i="33"/>
  <c r="L109" i="33"/>
  <c r="G10" i="195"/>
  <c r="L10" i="195"/>
  <c r="E11" i="195"/>
  <c r="L16" i="285"/>
  <c r="E17" i="285"/>
  <c r="G16" i="285"/>
  <c r="E19" i="202"/>
  <c r="L18" i="202"/>
  <c r="E13" i="275"/>
  <c r="L12" i="275"/>
  <c r="L17" i="259"/>
  <c r="J18" i="259"/>
  <c r="E13" i="174"/>
  <c r="L12" i="174"/>
  <c r="J17" i="138"/>
  <c r="L16" i="138"/>
  <c r="E14" i="128"/>
  <c r="G13" i="128"/>
  <c r="L13" i="128"/>
  <c r="G12" i="351"/>
  <c r="L12" i="351"/>
  <c r="E13" i="351"/>
  <c r="L12" i="267"/>
  <c r="G14" i="267"/>
  <c r="E13" i="267"/>
  <c r="J14" i="305"/>
  <c r="L13" i="305"/>
  <c r="E15" i="269"/>
  <c r="G15" i="269"/>
  <c r="L14" i="269"/>
  <c r="G13" i="112"/>
  <c r="L12" i="112"/>
  <c r="E13" i="112"/>
  <c r="L15" i="118"/>
  <c r="G16" i="118"/>
  <c r="E16" i="118"/>
  <c r="G9" i="364"/>
  <c r="E10" i="364"/>
  <c r="L9" i="364"/>
  <c r="E12" i="96"/>
  <c r="L11" i="96"/>
  <c r="G11" i="96"/>
  <c r="L14" i="287"/>
  <c r="E15" i="287"/>
  <c r="L21" i="185"/>
  <c r="E22" i="185"/>
  <c r="D15" i="203"/>
  <c r="F14" i="203"/>
  <c r="L15" i="252"/>
  <c r="E16" i="252"/>
  <c r="E15" i="296"/>
  <c r="G17" i="296"/>
  <c r="L14" i="296"/>
  <c r="E21" i="143"/>
  <c r="L20" i="143"/>
  <c r="E14" i="62"/>
  <c r="L13" i="62"/>
  <c r="E15" i="61"/>
  <c r="L14" i="61"/>
  <c r="L14" i="216"/>
  <c r="G14" i="216"/>
  <c r="E15" i="216"/>
  <c r="F40" i="132"/>
  <c r="D41" i="132"/>
  <c r="E15" i="311"/>
  <c r="L14" i="311"/>
  <c r="E16" i="254"/>
  <c r="L15" i="254"/>
  <c r="L18" i="246"/>
  <c r="E19" i="246"/>
  <c r="E13" i="191"/>
  <c r="L12" i="191"/>
  <c r="G12" i="191"/>
  <c r="E10" i="238"/>
  <c r="L9" i="238"/>
  <c r="F17" i="268"/>
  <c r="D18" i="268"/>
  <c r="L10" i="55"/>
  <c r="E11" i="55"/>
  <c r="G14" i="340"/>
  <c r="L14" i="340"/>
  <c r="E15" i="340"/>
  <c r="G14" i="284"/>
  <c r="L14" i="284"/>
  <c r="E15" i="284"/>
  <c r="L12" i="209"/>
  <c r="E13" i="209"/>
  <c r="E13" i="303"/>
  <c r="G15" i="303"/>
  <c r="L12" i="303"/>
  <c r="E11" i="355"/>
  <c r="L10" i="355"/>
  <c r="E11" i="280"/>
  <c r="L10" i="280"/>
  <c r="G11" i="280"/>
  <c r="G11" i="226"/>
  <c r="E12" i="226"/>
  <c r="L11" i="226"/>
  <c r="L12" i="106"/>
  <c r="E13" i="106"/>
  <c r="E35" i="175"/>
  <c r="L34" i="175"/>
  <c r="E24" i="11"/>
  <c r="L23" i="11"/>
  <c r="E12" i="278"/>
  <c r="L11" i="278"/>
  <c r="E21" i="264"/>
  <c r="L20" i="264"/>
  <c r="G11" i="293"/>
  <c r="L10" i="293"/>
  <c r="E11" i="293"/>
  <c r="F11" i="214"/>
  <c r="D12" i="214"/>
  <c r="G21" i="211"/>
  <c r="L21" i="211"/>
  <c r="E22" i="211"/>
  <c r="E16" i="146"/>
  <c r="L16" i="146" s="1"/>
  <c r="L15" i="146"/>
  <c r="G76" i="175"/>
  <c r="E70" i="175"/>
  <c r="L69" i="175"/>
  <c r="L13" i="129"/>
  <c r="J14" i="129"/>
  <c r="E18" i="119"/>
  <c r="L17" i="119"/>
  <c r="E50" i="203"/>
  <c r="L49" i="203"/>
  <c r="E13" i="288"/>
  <c r="L12" i="288"/>
  <c r="G10" i="383"/>
  <c r="E11" i="383"/>
  <c r="G14" i="276"/>
  <c r="L14" i="276"/>
  <c r="E15" i="276"/>
  <c r="E23" i="259"/>
  <c r="L16" i="33"/>
  <c r="E17" i="33"/>
  <c r="L14" i="213"/>
  <c r="E15" i="213"/>
  <c r="G14" i="213"/>
  <c r="E15" i="270"/>
  <c r="L14" i="270"/>
  <c r="L10" i="72"/>
  <c r="E11" i="72"/>
  <c r="L11" i="121"/>
  <c r="E12" i="121"/>
  <c r="L17" i="307"/>
  <c r="E18" i="307"/>
  <c r="L11" i="239"/>
  <c r="G12" i="239"/>
  <c r="E12" i="239"/>
  <c r="D52" i="175"/>
  <c r="F51" i="175"/>
  <c r="L13" i="365"/>
  <c r="E14" i="365"/>
  <c r="E14" i="163"/>
  <c r="L13" i="163"/>
  <c r="G13" i="163"/>
  <c r="F65" i="422"/>
  <c r="L9" i="371"/>
  <c r="G13" i="333"/>
  <c r="H14" i="333" s="1"/>
  <c r="K14" i="333" s="1"/>
  <c r="K15" i="333" s="1"/>
  <c r="L12" i="333"/>
  <c r="E13" i="333"/>
  <c r="L18" i="327"/>
  <c r="E19" i="327"/>
  <c r="G18" i="327"/>
  <c r="F11" i="108"/>
  <c r="D12" i="108"/>
  <c r="E11" i="249"/>
  <c r="L10" i="249"/>
  <c r="D14" i="96"/>
  <c r="F13" i="96"/>
  <c r="E20" i="289"/>
  <c r="L19" i="289"/>
  <c r="D66" i="33"/>
  <c r="F65" i="33"/>
  <c r="L10" i="347"/>
  <c r="E11" i="347"/>
  <c r="G13" i="94"/>
  <c r="E14" i="94"/>
  <c r="L13" i="94"/>
  <c r="G11" i="242"/>
  <c r="L11" i="242"/>
  <c r="E12" i="242"/>
  <c r="E15" i="273"/>
  <c r="L14" i="273"/>
  <c r="G15" i="273"/>
  <c r="F21" i="33"/>
  <c r="D22" i="33"/>
  <c r="L22" i="256"/>
  <c r="E23" i="256"/>
  <c r="F19" i="296"/>
  <c r="D20" i="296"/>
  <c r="G12" i="309"/>
  <c r="L11" i="309"/>
  <c r="E12" i="309"/>
  <c r="D17" i="106"/>
  <c r="F16" i="106"/>
  <c r="L10" i="266"/>
  <c r="E11" i="266"/>
  <c r="G12" i="266"/>
  <c r="E12" i="321"/>
  <c r="L11" i="321"/>
  <c r="G11" i="321"/>
  <c r="F94" i="175"/>
  <c r="D95" i="175"/>
  <c r="L16" i="66"/>
  <c r="E17" i="66"/>
  <c r="G16" i="66"/>
  <c r="G23" i="129"/>
  <c r="E23" i="129"/>
  <c r="E129" i="175"/>
  <c r="L128" i="175"/>
  <c r="E11" i="359"/>
  <c r="L10" i="359"/>
  <c r="D12" i="10"/>
  <c r="F11" i="10"/>
  <c r="F76" i="203"/>
  <c r="D77" i="203"/>
  <c r="D10" i="174"/>
  <c r="F9" i="174"/>
  <c r="E12" i="260"/>
  <c r="L11" i="260"/>
  <c r="E11" i="362"/>
  <c r="G10" i="362"/>
  <c r="L10" i="362"/>
  <c r="G12" i="325"/>
  <c r="E13" i="325"/>
  <c r="L12" i="325"/>
  <c r="L66" i="33"/>
  <c r="E67" i="33"/>
  <c r="L9" i="298"/>
  <c r="G9" i="298"/>
  <c r="E10" i="298"/>
  <c r="E13" i="317"/>
  <c r="L12" i="317"/>
  <c r="G12" i="317"/>
  <c r="E15" i="80"/>
  <c r="L14" i="80"/>
  <c r="G11" i="223"/>
  <c r="L11" i="223"/>
  <c r="E12" i="223"/>
  <c r="L19" i="301"/>
  <c r="E20" i="301"/>
  <c r="L11" i="180"/>
  <c r="E12" i="180"/>
  <c r="E157" i="175"/>
  <c r="L156" i="175"/>
  <c r="L10" i="396"/>
  <c r="E11" i="396"/>
  <c r="L11" i="396" s="1"/>
  <c r="L13" i="203"/>
  <c r="E14" i="203"/>
  <c r="L17" i="57"/>
  <c r="E18" i="57"/>
  <c r="E14" i="423"/>
  <c r="G14" i="423"/>
  <c r="L13" i="423"/>
  <c r="E11" i="428"/>
  <c r="L10" i="428"/>
  <c r="L16" i="10"/>
  <c r="E17" i="10"/>
  <c r="L17" i="240"/>
  <c r="E18" i="240"/>
  <c r="E16" i="95"/>
  <c r="L15" i="95"/>
  <c r="G15" i="95"/>
  <c r="G12" i="297"/>
  <c r="L10" i="297"/>
  <c r="E11" i="297"/>
  <c r="F46" i="203"/>
  <c r="D47" i="203"/>
  <c r="L11" i="310"/>
  <c r="G12" i="310"/>
  <c r="E12" i="310"/>
  <c r="G18" i="138"/>
  <c r="E19" i="138"/>
  <c r="L10" i="117"/>
  <c r="E11" i="117"/>
  <c r="G11" i="117"/>
  <c r="L14" i="368"/>
  <c r="E15" i="368"/>
  <c r="G14" i="368"/>
  <c r="E77" i="203"/>
  <c r="L76" i="203"/>
  <c r="L11" i="277"/>
  <c r="E12" i="277"/>
  <c r="E11" i="123"/>
  <c r="L10" i="123"/>
  <c r="F23" i="175"/>
  <c r="D24" i="175"/>
  <c r="L13" i="369"/>
  <c r="E14" i="369"/>
  <c r="E11" i="363"/>
  <c r="G11" i="363"/>
  <c r="L10" i="363"/>
  <c r="L16" i="271"/>
  <c r="G18" i="271"/>
  <c r="E17" i="271"/>
  <c r="L18" i="258"/>
  <c r="E19" i="258"/>
  <c r="E13" i="81"/>
  <c r="L12" i="81"/>
  <c r="E12" i="11"/>
  <c r="L12" i="11" s="1"/>
  <c r="L11" i="11"/>
  <c r="G12" i="54"/>
  <c r="E12" i="54"/>
  <c r="L11" i="54"/>
  <c r="G16" i="243"/>
  <c r="E12" i="243"/>
  <c r="G11" i="243"/>
  <c r="L11" i="243"/>
  <c r="G14" i="137"/>
  <c r="L14" i="137"/>
  <c r="E15" i="137"/>
  <c r="G18" i="154"/>
  <c r="E18" i="154"/>
  <c r="L17" i="154"/>
  <c r="F11" i="57"/>
  <c r="D12" i="57"/>
  <c r="L13" i="291"/>
  <c r="E14" i="291"/>
  <c r="L92" i="175"/>
  <c r="E93" i="175"/>
  <c r="L11" i="217"/>
  <c r="E12" i="217"/>
  <c r="L11" i="283"/>
  <c r="E12" i="283"/>
  <c r="E11" i="263"/>
  <c r="L10" i="263"/>
  <c r="G10" i="263"/>
  <c r="E13" i="427"/>
  <c r="L12" i="427"/>
  <c r="E13" i="169"/>
  <c r="L12" i="169"/>
  <c r="G12" i="169"/>
  <c r="E25" i="175"/>
  <c r="L25" i="175" s="1"/>
  <c r="L24" i="175"/>
  <c r="E13" i="358"/>
  <c r="L12" i="358"/>
  <c r="G12" i="358"/>
  <c r="E14" i="425"/>
  <c r="L13" i="425"/>
  <c r="G12" i="247"/>
  <c r="E11" i="247"/>
  <c r="L10" i="247"/>
  <c r="G13" i="247"/>
  <c r="F56" i="422"/>
  <c r="L17" i="328"/>
  <c r="E11" i="161"/>
  <c r="G11" i="161"/>
  <c r="L10" i="161"/>
  <c r="L12" i="182"/>
  <c r="E13" i="182"/>
  <c r="L54" i="95"/>
  <c r="E55" i="95"/>
  <c r="G54" i="95"/>
  <c r="L9" i="353"/>
  <c r="E10" i="353"/>
  <c r="L17" i="111"/>
  <c r="E18" i="111"/>
  <c r="E26" i="170"/>
  <c r="G25" i="170"/>
  <c r="L25" i="170"/>
  <c r="E14" i="108"/>
  <c r="L13" i="108"/>
  <c r="L18" i="111" l="1"/>
  <c r="E19" i="111"/>
  <c r="L11" i="247"/>
  <c r="E12" i="247"/>
  <c r="L18" i="154"/>
  <c r="E19" i="154"/>
  <c r="G19" i="154"/>
  <c r="L14" i="369"/>
  <c r="E15" i="369"/>
  <c r="G19" i="138"/>
  <c r="E20" i="138"/>
  <c r="E12" i="297"/>
  <c r="L11" i="297"/>
  <c r="G13" i="297"/>
  <c r="L17" i="10"/>
  <c r="E18" i="10"/>
  <c r="D96" i="175"/>
  <c r="F95" i="175"/>
  <c r="L10" i="353"/>
  <c r="E11" i="353"/>
  <c r="F176" i="422"/>
  <c r="L13" i="358"/>
  <c r="G13" i="358"/>
  <c r="G15" i="137"/>
  <c r="L15" i="137"/>
  <c r="E16" i="137"/>
  <c r="L12" i="54"/>
  <c r="G13" i="54"/>
  <c r="E13" i="54"/>
  <c r="L17" i="271"/>
  <c r="E18" i="271"/>
  <c r="G19" i="271"/>
  <c r="D25" i="175"/>
  <c r="F25" i="175" s="1"/>
  <c r="F24" i="175"/>
  <c r="E13" i="277"/>
  <c r="L12" i="277"/>
  <c r="L11" i="117"/>
  <c r="E12" i="117"/>
  <c r="G12" i="117"/>
  <c r="D48" i="203"/>
  <c r="F47" i="203"/>
  <c r="L18" i="240"/>
  <c r="E19" i="240"/>
  <c r="G15" i="423"/>
  <c r="L14" i="423"/>
  <c r="E15" i="423"/>
  <c r="L157" i="175"/>
  <c r="E158" i="175"/>
  <c r="L158" i="175" s="1"/>
  <c r="L13" i="317"/>
  <c r="E14" i="317"/>
  <c r="G13" i="317"/>
  <c r="L67" i="33"/>
  <c r="E68" i="33"/>
  <c r="F77" i="203"/>
  <c r="D78" i="203"/>
  <c r="E18" i="66"/>
  <c r="G18" i="66"/>
  <c r="G17" i="66"/>
  <c r="L17" i="66"/>
  <c r="L11" i="266"/>
  <c r="E12" i="266"/>
  <c r="G13" i="266"/>
  <c r="E13" i="309"/>
  <c r="L12" i="309"/>
  <c r="G13" i="309"/>
  <c r="E13" i="242"/>
  <c r="L12" i="242"/>
  <c r="G12" i="242"/>
  <c r="G14" i="94"/>
  <c r="E15" i="94"/>
  <c r="L14" i="94"/>
  <c r="D13" i="108"/>
  <c r="F12" i="108"/>
  <c r="L14" i="163"/>
  <c r="G14" i="163"/>
  <c r="E15" i="163"/>
  <c r="D53" i="175"/>
  <c r="F52" i="175"/>
  <c r="L18" i="307"/>
  <c r="E19" i="307"/>
  <c r="E12" i="72"/>
  <c r="L11" i="72"/>
  <c r="F12" i="214"/>
  <c r="D13" i="214"/>
  <c r="D14" i="214" s="1"/>
  <c r="D15" i="214" s="1"/>
  <c r="D16" i="214" s="1"/>
  <c r="D17" i="214" s="1"/>
  <c r="D18" i="214" s="1"/>
  <c r="D19" i="214" s="1"/>
  <c r="D20" i="214" s="1"/>
  <c r="D21" i="214" s="1"/>
  <c r="D22" i="214" s="1"/>
  <c r="D23" i="214" s="1"/>
  <c r="D24" i="214" s="1"/>
  <c r="D25" i="214" s="1"/>
  <c r="D26" i="214" s="1"/>
  <c r="D27" i="214" s="1"/>
  <c r="D28" i="214" s="1"/>
  <c r="D29" i="214" s="1"/>
  <c r="D30" i="214" s="1"/>
  <c r="D31" i="214" s="1"/>
  <c r="D32" i="214" s="1"/>
  <c r="D33" i="214" s="1"/>
  <c r="D34" i="214" s="1"/>
  <c r="D35" i="214" s="1"/>
  <c r="D36" i="214" s="1"/>
  <c r="D37" i="214" s="1"/>
  <c r="D38" i="214" s="1"/>
  <c r="D39" i="214" s="1"/>
  <c r="D40" i="214" s="1"/>
  <c r="D41" i="214" s="1"/>
  <c r="D42" i="214" s="1"/>
  <c r="D43" i="214" s="1"/>
  <c r="D44" i="214" s="1"/>
  <c r="D45" i="214" s="1"/>
  <c r="D46" i="214" s="1"/>
  <c r="D47" i="214" s="1"/>
  <c r="D48" i="214" s="1"/>
  <c r="E138" i="422" s="1"/>
  <c r="E13" i="278"/>
  <c r="L12" i="278"/>
  <c r="L35" i="175"/>
  <c r="E36" i="175"/>
  <c r="E13" i="226"/>
  <c r="G12" i="226"/>
  <c r="L12" i="226"/>
  <c r="G12" i="280"/>
  <c r="L11" i="280"/>
  <c r="E12" i="280"/>
  <c r="E16" i="340"/>
  <c r="G15" i="340"/>
  <c r="L15" i="340"/>
  <c r="E11" i="238"/>
  <c r="L10" i="238"/>
  <c r="E20" i="246"/>
  <c r="L19" i="246"/>
  <c r="E16" i="216"/>
  <c r="G15" i="216"/>
  <c r="L15" i="216"/>
  <c r="L15" i="61"/>
  <c r="E16" i="61"/>
  <c r="L21" i="143"/>
  <c r="E22" i="143"/>
  <c r="L16" i="252"/>
  <c r="E17" i="252"/>
  <c r="L22" i="185"/>
  <c r="E23" i="185"/>
  <c r="G10" i="364"/>
  <c r="L10" i="364"/>
  <c r="E11" i="364"/>
  <c r="J15" i="305"/>
  <c r="L14" i="305"/>
  <c r="L13" i="351"/>
  <c r="E14" i="351"/>
  <c r="G13" i="351"/>
  <c r="L12" i="300"/>
  <c r="E13" i="300"/>
  <c r="L11" i="304"/>
  <c r="E12" i="304"/>
  <c r="L12" i="102"/>
  <c r="E13" i="102"/>
  <c r="E20" i="258"/>
  <c r="L19" i="258"/>
  <c r="E27" i="170"/>
  <c r="G26" i="170"/>
  <c r="L26" i="170"/>
  <c r="E14" i="182"/>
  <c r="L13" i="182"/>
  <c r="E12" i="161"/>
  <c r="L11" i="161"/>
  <c r="G12" i="161"/>
  <c r="L14" i="425"/>
  <c r="E15" i="425"/>
  <c r="E14" i="169"/>
  <c r="L13" i="169"/>
  <c r="G13" i="169"/>
  <c r="L12" i="217"/>
  <c r="E13" i="217"/>
  <c r="L14" i="291"/>
  <c r="E15" i="291"/>
  <c r="G19" i="243"/>
  <c r="H23" i="243"/>
  <c r="E13" i="243"/>
  <c r="G23" i="243"/>
  <c r="G17" i="243"/>
  <c r="G22" i="243"/>
  <c r="L12" i="243"/>
  <c r="H22" i="243"/>
  <c r="G27" i="243"/>
  <c r="H21" i="243"/>
  <c r="H19" i="243"/>
  <c r="K19" i="243" s="1"/>
  <c r="G25" i="243"/>
  <c r="G24" i="243"/>
  <c r="G20" i="243"/>
  <c r="G26" i="243"/>
  <c r="G21" i="243"/>
  <c r="H20" i="243"/>
  <c r="G18" i="243"/>
  <c r="H24" i="243"/>
  <c r="L13" i="81"/>
  <c r="E14" i="81"/>
  <c r="F67" i="422"/>
  <c r="L11" i="363"/>
  <c r="G15" i="368"/>
  <c r="L15" i="368"/>
  <c r="E16" i="368"/>
  <c r="G13" i="310"/>
  <c r="E13" i="310"/>
  <c r="L12" i="310"/>
  <c r="L11" i="428"/>
  <c r="E12" i="428"/>
  <c r="L18" i="57"/>
  <c r="E19" i="57"/>
  <c r="E13" i="180"/>
  <c r="L12" i="180"/>
  <c r="E13" i="223"/>
  <c r="L12" i="223"/>
  <c r="G12" i="223"/>
  <c r="E16" i="80"/>
  <c r="L15" i="80"/>
  <c r="E11" i="298"/>
  <c r="G10" i="298"/>
  <c r="L10" i="298"/>
  <c r="E13" i="260"/>
  <c r="L12" i="260"/>
  <c r="L11" i="359"/>
  <c r="E12" i="359"/>
  <c r="E24" i="129"/>
  <c r="G24" i="129"/>
  <c r="L23" i="256"/>
  <c r="E24" i="256"/>
  <c r="F66" i="33"/>
  <c r="D67" i="33"/>
  <c r="F14" i="96"/>
  <c r="D15" i="96"/>
  <c r="L13" i="333"/>
  <c r="E14" i="333"/>
  <c r="L14" i="333" s="1"/>
  <c r="G14" i="333"/>
  <c r="L14" i="365"/>
  <c r="E15" i="365"/>
  <c r="G13" i="239"/>
  <c r="E13" i="239"/>
  <c r="L12" i="239"/>
  <c r="G15" i="213"/>
  <c r="L15" i="213"/>
  <c r="E16" i="213"/>
  <c r="E14" i="288"/>
  <c r="L13" i="288"/>
  <c r="L18" i="119"/>
  <c r="E19" i="119"/>
  <c r="E71" i="175"/>
  <c r="L70" i="175"/>
  <c r="L22" i="211"/>
  <c r="E23" i="211"/>
  <c r="G22" i="211"/>
  <c r="E14" i="106"/>
  <c r="L13" i="106"/>
  <c r="G15" i="284"/>
  <c r="L15" i="284"/>
  <c r="E16" i="284"/>
  <c r="D19" i="268"/>
  <c r="F18" i="268"/>
  <c r="L15" i="311"/>
  <c r="E16" i="311"/>
  <c r="G14" i="112"/>
  <c r="L13" i="112"/>
  <c r="E14" i="112"/>
  <c r="E14" i="267"/>
  <c r="L13" i="267"/>
  <c r="G15" i="267"/>
  <c r="L14" i="128"/>
  <c r="G14" i="128"/>
  <c r="E15" i="128"/>
  <c r="E14" i="174"/>
  <c r="L13" i="174"/>
  <c r="E14" i="275"/>
  <c r="L13" i="275"/>
  <c r="G17" i="285"/>
  <c r="L17" i="285"/>
  <c r="E18" i="285"/>
  <c r="G18" i="268"/>
  <c r="E19" i="268"/>
  <c r="L18" i="268"/>
  <c r="G28" i="305"/>
  <c r="L28" i="305"/>
  <c r="F172" i="422"/>
  <c r="E12" i="329"/>
  <c r="L11" i="329"/>
  <c r="L16" i="104"/>
  <c r="J17" i="104"/>
  <c r="L20" i="245"/>
  <c r="E21" i="245"/>
  <c r="G20" i="245"/>
  <c r="E13" i="121"/>
  <c r="L12" i="121"/>
  <c r="E24" i="259"/>
  <c r="F70" i="422"/>
  <c r="G11" i="383"/>
  <c r="J15" i="129"/>
  <c r="L14" i="129"/>
  <c r="L11" i="293"/>
  <c r="E12" i="293"/>
  <c r="G13" i="293"/>
  <c r="E22" i="264"/>
  <c r="L21" i="264"/>
  <c r="E25" i="11"/>
  <c r="L24" i="11"/>
  <c r="G16" i="303"/>
  <c r="E14" i="303"/>
  <c r="L13" i="303"/>
  <c r="D42" i="132"/>
  <c r="F41" i="132"/>
  <c r="L14" i="62"/>
  <c r="E15" i="62"/>
  <c r="E16" i="287"/>
  <c r="L15" i="287"/>
  <c r="E13" i="96"/>
  <c r="L12" i="96"/>
  <c r="G12" i="96"/>
  <c r="L16" i="118"/>
  <c r="E17" i="118"/>
  <c r="G17" i="118"/>
  <c r="L15" i="269"/>
  <c r="E16" i="269"/>
  <c r="G16" i="269"/>
  <c r="J19" i="259"/>
  <c r="L18" i="259"/>
  <c r="F13" i="307"/>
  <c r="D14" i="307"/>
  <c r="L42" i="132"/>
  <c r="E43" i="132"/>
  <c r="E13" i="295"/>
  <c r="L12" i="295"/>
  <c r="G12" i="295"/>
  <c r="D72" i="175"/>
  <c r="F71" i="175"/>
  <c r="L11" i="308"/>
  <c r="G11" i="308"/>
  <c r="E12" i="308"/>
  <c r="L14" i="108"/>
  <c r="E15" i="108"/>
  <c r="G11" i="263"/>
  <c r="L11" i="263"/>
  <c r="E12" i="263"/>
  <c r="G12" i="321"/>
  <c r="L12" i="321"/>
  <c r="E13" i="321"/>
  <c r="E12" i="347"/>
  <c r="L11" i="347"/>
  <c r="E56" i="95"/>
  <c r="G60" i="95"/>
  <c r="G62" i="95"/>
  <c r="G64" i="95"/>
  <c r="H65" i="95"/>
  <c r="K65" i="95" s="1"/>
  <c r="K66" i="95" s="1"/>
  <c r="K67" i="95" s="1"/>
  <c r="G55" i="95"/>
  <c r="G63" i="95"/>
  <c r="G65" i="95"/>
  <c r="G56" i="95"/>
  <c r="G59" i="95"/>
  <c r="G61" i="95"/>
  <c r="G66" i="95"/>
  <c r="G68" i="95"/>
  <c r="L55" i="95"/>
  <c r="G58" i="95"/>
  <c r="G57" i="95"/>
  <c r="E14" i="427"/>
  <c r="L13" i="427"/>
  <c r="L12" i="283"/>
  <c r="E13" i="283"/>
  <c r="L93" i="175"/>
  <c r="E94" i="175"/>
  <c r="D13" i="57"/>
  <c r="F12" i="57"/>
  <c r="L11" i="123"/>
  <c r="E12" i="123"/>
  <c r="L77" i="203"/>
  <c r="E78" i="203"/>
  <c r="G16" i="95"/>
  <c r="E17" i="95"/>
  <c r="L16" i="95"/>
  <c r="E15" i="203"/>
  <c r="L14" i="203"/>
  <c r="F53" i="422"/>
  <c r="L20" i="301"/>
  <c r="G13" i="325"/>
  <c r="E14" i="325"/>
  <c r="L13" i="325"/>
  <c r="E12" i="362"/>
  <c r="G11" i="362"/>
  <c r="L11" i="362"/>
  <c r="F10" i="174"/>
  <c r="D11" i="174"/>
  <c r="F12" i="10"/>
  <c r="D13" i="10"/>
  <c r="L129" i="175"/>
  <c r="E130" i="175"/>
  <c r="D18" i="106"/>
  <c r="F17" i="106"/>
  <c r="F20" i="296"/>
  <c r="D21" i="296"/>
  <c r="F22" i="33"/>
  <c r="D23" i="33"/>
  <c r="D24" i="33" s="1"/>
  <c r="D25" i="33" s="1"/>
  <c r="D26" i="33" s="1"/>
  <c r="D27" i="33" s="1"/>
  <c r="D28" i="33" s="1"/>
  <c r="D29" i="33" s="1"/>
  <c r="D30" i="33" s="1"/>
  <c r="D31" i="33" s="1"/>
  <c r="D32" i="33" s="1"/>
  <c r="D33" i="33" s="1"/>
  <c r="D34" i="33" s="1"/>
  <c r="D35" i="33" s="1"/>
  <c r="D36" i="33" s="1"/>
  <c r="D37" i="33" s="1"/>
  <c r="D38" i="33" s="1"/>
  <c r="D39" i="33" s="1"/>
  <c r="D40" i="33" s="1"/>
  <c r="D41" i="33" s="1"/>
  <c r="D42" i="33" s="1"/>
  <c r="D43" i="33" s="1"/>
  <c r="D44" i="33" s="1"/>
  <c r="G16" i="273"/>
  <c r="E16" i="273"/>
  <c r="L15" i="273"/>
  <c r="E21" i="289"/>
  <c r="L20" i="289"/>
  <c r="L11" i="249"/>
  <c r="E12" i="249"/>
  <c r="F109" i="422"/>
  <c r="G19" i="327"/>
  <c r="L19" i="327"/>
  <c r="L15" i="270"/>
  <c r="E16" i="270"/>
  <c r="L16" i="270" s="1"/>
  <c r="E18" i="33"/>
  <c r="L17" i="33"/>
  <c r="G15" i="276"/>
  <c r="L15" i="276"/>
  <c r="E16" i="276"/>
  <c r="E51" i="203"/>
  <c r="L50" i="203"/>
  <c r="E12" i="355"/>
  <c r="L11" i="355"/>
  <c r="L13" i="209"/>
  <c r="E14" i="209"/>
  <c r="E12" i="55"/>
  <c r="L11" i="55"/>
  <c r="E14" i="191"/>
  <c r="L13" i="191"/>
  <c r="G13" i="191"/>
  <c r="L16" i="254"/>
  <c r="E17" i="254"/>
  <c r="G18" i="296"/>
  <c r="L15" i="296"/>
  <c r="E16" i="296"/>
  <c r="D16" i="203"/>
  <c r="D17" i="203" s="1"/>
  <c r="D18" i="203" s="1"/>
  <c r="D19" i="203" s="1"/>
  <c r="D20" i="203" s="1"/>
  <c r="D21" i="203" s="1"/>
  <c r="D22" i="203" s="1"/>
  <c r="D23" i="203" s="1"/>
  <c r="D24" i="203" s="1"/>
  <c r="D25" i="203" s="1"/>
  <c r="D26" i="203" s="1"/>
  <c r="D27" i="203" s="1"/>
  <c r="D28" i="203" s="1"/>
  <c r="D29" i="203" s="1"/>
  <c r="D30" i="203" s="1"/>
  <c r="D31" i="203" s="1"/>
  <c r="D32" i="203" s="1"/>
  <c r="D33" i="203" s="1"/>
  <c r="D34" i="203" s="1"/>
  <c r="F15" i="203"/>
  <c r="J18" i="138"/>
  <c r="L17" i="138"/>
  <c r="L19" i="202"/>
  <c r="E20" i="202"/>
  <c r="G11" i="195"/>
  <c r="E12" i="195"/>
  <c r="L11" i="195"/>
  <c r="E111" i="33"/>
  <c r="L110" i="33"/>
  <c r="L14" i="224"/>
  <c r="E15" i="224"/>
  <c r="E17" i="302"/>
  <c r="L16" i="302"/>
  <c r="L14" i="132"/>
  <c r="E15" i="132"/>
  <c r="L16" i="214"/>
  <c r="E17" i="214"/>
  <c r="G11" i="199"/>
  <c r="L11" i="199"/>
  <c r="E12" i="199"/>
  <c r="L11" i="204"/>
  <c r="E12" i="204"/>
  <c r="E18" i="254" l="1"/>
  <c r="L17" i="254"/>
  <c r="L51" i="203"/>
  <c r="E52" i="203"/>
  <c r="L16" i="273"/>
  <c r="E17" i="273"/>
  <c r="G17" i="273"/>
  <c r="D22" i="296"/>
  <c r="D23" i="296" s="1"/>
  <c r="E17" i="422" s="1"/>
  <c r="F21" i="296"/>
  <c r="E131" i="175"/>
  <c r="L130" i="175"/>
  <c r="D12" i="174"/>
  <c r="F11" i="174"/>
  <c r="L12" i="362"/>
  <c r="E13" i="362"/>
  <c r="G12" i="362"/>
  <c r="D14" i="57"/>
  <c r="F13" i="57"/>
  <c r="L12" i="347"/>
  <c r="E13" i="347"/>
  <c r="G12" i="263"/>
  <c r="L12" i="263"/>
  <c r="E13" i="263"/>
  <c r="G13" i="295"/>
  <c r="L13" i="295"/>
  <c r="E14" i="295"/>
  <c r="L16" i="269"/>
  <c r="E17" i="269"/>
  <c r="G17" i="269"/>
  <c r="E23" i="264"/>
  <c r="L22" i="264"/>
  <c r="F6" i="422"/>
  <c r="L15" i="128"/>
  <c r="G15" i="128"/>
  <c r="E16" i="128"/>
  <c r="D20" i="268"/>
  <c r="F19" i="268"/>
  <c r="D68" i="33"/>
  <c r="F67" i="33"/>
  <c r="L13" i="180"/>
  <c r="E14" i="180"/>
  <c r="L16" i="368"/>
  <c r="E17" i="368"/>
  <c r="G16" i="368"/>
  <c r="L13" i="217"/>
  <c r="E14" i="217"/>
  <c r="L14" i="169"/>
  <c r="G14" i="169"/>
  <c r="E15" i="169"/>
  <c r="L20" i="258"/>
  <c r="E21" i="258"/>
  <c r="E15" i="351"/>
  <c r="G14" i="351"/>
  <c r="L14" i="351"/>
  <c r="G11" i="364"/>
  <c r="E12" i="364"/>
  <c r="L11" i="364"/>
  <c r="E17" i="340"/>
  <c r="G16" i="340"/>
  <c r="L16" i="340"/>
  <c r="L13" i="309"/>
  <c r="E14" i="309"/>
  <c r="G14" i="309"/>
  <c r="D79" i="203"/>
  <c r="F78" i="203"/>
  <c r="L19" i="240"/>
  <c r="E20" i="240"/>
  <c r="L13" i="277"/>
  <c r="E14" i="277"/>
  <c r="E19" i="271"/>
  <c r="G20" i="271"/>
  <c r="L18" i="271"/>
  <c r="G20" i="138"/>
  <c r="E21" i="138"/>
  <c r="E13" i="247"/>
  <c r="G14" i="247"/>
  <c r="L12" i="247"/>
  <c r="G15" i="247"/>
  <c r="L15" i="224"/>
  <c r="E16" i="224"/>
  <c r="G17" i="95"/>
  <c r="L17" i="95"/>
  <c r="E18" i="95"/>
  <c r="E13" i="123"/>
  <c r="L12" i="123"/>
  <c r="L94" i="175"/>
  <c r="E95" i="175"/>
  <c r="G13" i="321"/>
  <c r="L13" i="321"/>
  <c r="E14" i="321"/>
  <c r="E13" i="308"/>
  <c r="L12" i="308"/>
  <c r="G12" i="308"/>
  <c r="D73" i="175"/>
  <c r="F72" i="175"/>
  <c r="L43" i="132"/>
  <c r="E44" i="132"/>
  <c r="L16" i="287"/>
  <c r="E17" i="287"/>
  <c r="F42" i="132"/>
  <c r="D43" i="132"/>
  <c r="D44" i="132" s="1"/>
  <c r="D45" i="132" s="1"/>
  <c r="D46" i="132" s="1"/>
  <c r="D47" i="132" s="1"/>
  <c r="D48" i="132" s="1"/>
  <c r="D49" i="132" s="1"/>
  <c r="D50" i="132" s="1"/>
  <c r="D51" i="132" s="1"/>
  <c r="D52" i="132" s="1"/>
  <c r="D53" i="132" s="1"/>
  <c r="D54" i="132" s="1"/>
  <c r="D55" i="132" s="1"/>
  <c r="D56" i="132" s="1"/>
  <c r="D57" i="132" s="1"/>
  <c r="D58" i="132" s="1"/>
  <c r="D59" i="132" s="1"/>
  <c r="D60" i="132" s="1"/>
  <c r="D61" i="132" s="1"/>
  <c r="D62" i="132" s="1"/>
  <c r="D63" i="132" s="1"/>
  <c r="D64" i="132" s="1"/>
  <c r="D65" i="132" s="1"/>
  <c r="D66" i="132" s="1"/>
  <c r="D67" i="132" s="1"/>
  <c r="D68" i="132" s="1"/>
  <c r="D69" i="132" s="1"/>
  <c r="D70" i="132" s="1"/>
  <c r="D71" i="132" s="1"/>
  <c r="D72" i="132" s="1"/>
  <c r="D73" i="132" s="1"/>
  <c r="J16" i="129"/>
  <c r="L15" i="129"/>
  <c r="L21" i="245"/>
  <c r="E22" i="245"/>
  <c r="G21" i="245"/>
  <c r="L18" i="285"/>
  <c r="E19" i="285"/>
  <c r="G18" i="285"/>
  <c r="E15" i="275"/>
  <c r="L14" i="275"/>
  <c r="L14" i="267"/>
  <c r="E15" i="267"/>
  <c r="G16" i="267"/>
  <c r="L16" i="311"/>
  <c r="E17" i="311"/>
  <c r="L16" i="284"/>
  <c r="H17" i="284"/>
  <c r="K17" i="284" s="1"/>
  <c r="K18" i="284" s="1"/>
  <c r="K19" i="284" s="1"/>
  <c r="K20" i="284" s="1"/>
  <c r="K21" i="284" s="1"/>
  <c r="K22" i="284" s="1"/>
  <c r="E17" i="284"/>
  <c r="E15" i="106"/>
  <c r="L14" i="106"/>
  <c r="L15" i="365"/>
  <c r="E16" i="365"/>
  <c r="E12" i="298"/>
  <c r="G11" i="298"/>
  <c r="L11" i="298"/>
  <c r="L19" i="57"/>
  <c r="E20" i="57"/>
  <c r="L14" i="81"/>
  <c r="E15" i="81"/>
  <c r="E16" i="425"/>
  <c r="L15" i="425"/>
  <c r="G13" i="161"/>
  <c r="L12" i="161"/>
  <c r="E13" i="161"/>
  <c r="L13" i="102"/>
  <c r="E14" i="102"/>
  <c r="E14" i="300"/>
  <c r="L13" i="300"/>
  <c r="E18" i="252"/>
  <c r="L17" i="252"/>
  <c r="L16" i="61"/>
  <c r="E17" i="61"/>
  <c r="L16" i="216"/>
  <c r="G16" i="216"/>
  <c r="E17" i="216"/>
  <c r="E12" i="238"/>
  <c r="L11" i="238"/>
  <c r="E13" i="280"/>
  <c r="G13" i="280"/>
  <c r="L12" i="280"/>
  <c r="G15" i="94"/>
  <c r="E16" i="94"/>
  <c r="L15" i="94"/>
  <c r="L13" i="242"/>
  <c r="G13" i="242"/>
  <c r="E14" i="242"/>
  <c r="G14" i="317"/>
  <c r="E15" i="317"/>
  <c r="L14" i="317"/>
  <c r="L15" i="423"/>
  <c r="E16" i="423"/>
  <c r="G16" i="423"/>
  <c r="G13" i="117"/>
  <c r="E13" i="117"/>
  <c r="L12" i="117"/>
  <c r="G16" i="137"/>
  <c r="E17" i="137"/>
  <c r="L16" i="137"/>
  <c r="E16" i="132"/>
  <c r="L15" i="132"/>
  <c r="L14" i="191"/>
  <c r="G14" i="191"/>
  <c r="E15" i="191"/>
  <c r="E13" i="204"/>
  <c r="L12" i="204"/>
  <c r="L18" i="33"/>
  <c r="E19" i="33"/>
  <c r="J19" i="138"/>
  <c r="L18" i="138"/>
  <c r="F141" i="422"/>
  <c r="L12" i="355"/>
  <c r="L21" i="289"/>
  <c r="E22" i="289"/>
  <c r="F13" i="10"/>
  <c r="D14" i="10"/>
  <c r="G14" i="325"/>
  <c r="L14" i="325"/>
  <c r="E15" i="325"/>
  <c r="E15" i="427"/>
  <c r="L14" i="427"/>
  <c r="L56" i="95"/>
  <c r="E57" i="95"/>
  <c r="G67" i="95"/>
  <c r="J20" i="259"/>
  <c r="L19" i="259"/>
  <c r="L15" i="62"/>
  <c r="E16" i="62"/>
  <c r="E26" i="11"/>
  <c r="L25" i="11"/>
  <c r="G20" i="293"/>
  <c r="G15" i="293"/>
  <c r="G23" i="293"/>
  <c r="G14" i="293"/>
  <c r="G26" i="293"/>
  <c r="G21" i="293"/>
  <c r="E13" i="293"/>
  <c r="G19" i="293"/>
  <c r="G22" i="293"/>
  <c r="G25" i="293"/>
  <c r="G24" i="293"/>
  <c r="L12" i="293"/>
  <c r="G18" i="293"/>
  <c r="L12" i="329"/>
  <c r="E13" i="329"/>
  <c r="G15" i="112"/>
  <c r="L14" i="112"/>
  <c r="E15" i="112"/>
  <c r="E72" i="175"/>
  <c r="L71" i="175"/>
  <c r="L14" i="288"/>
  <c r="E15" i="288"/>
  <c r="F15" i="96"/>
  <c r="D16" i="96"/>
  <c r="L24" i="256"/>
  <c r="E25" i="256"/>
  <c r="L25" i="256" s="1"/>
  <c r="G25" i="129"/>
  <c r="E25" i="129"/>
  <c r="E14" i="260"/>
  <c r="L13" i="260"/>
  <c r="G13" i="223"/>
  <c r="E14" i="223"/>
  <c r="L13" i="223"/>
  <c r="G14" i="310"/>
  <c r="L13" i="310"/>
  <c r="E14" i="310"/>
  <c r="E16" i="291"/>
  <c r="L15" i="291"/>
  <c r="E28" i="170"/>
  <c r="G27" i="170"/>
  <c r="L27" i="170"/>
  <c r="G13" i="226"/>
  <c r="E14" i="226"/>
  <c r="L13" i="226"/>
  <c r="E14" i="278"/>
  <c r="L13" i="278"/>
  <c r="E13" i="72"/>
  <c r="L12" i="72"/>
  <c r="D54" i="175"/>
  <c r="F53" i="175"/>
  <c r="E13" i="266"/>
  <c r="L12" i="266"/>
  <c r="E69" i="33"/>
  <c r="L68" i="33"/>
  <c r="E14" i="54"/>
  <c r="G14" i="54"/>
  <c r="L13" i="54"/>
  <c r="D97" i="175"/>
  <c r="F96" i="175"/>
  <c r="L19" i="154"/>
  <c r="E20" i="154"/>
  <c r="G20" i="154"/>
  <c r="E20" i="111"/>
  <c r="L19" i="111"/>
  <c r="E13" i="195"/>
  <c r="G12" i="195"/>
  <c r="L12" i="195"/>
  <c r="L16" i="296"/>
  <c r="E17" i="296"/>
  <c r="G19" i="296"/>
  <c r="L16" i="276"/>
  <c r="G16" i="276"/>
  <c r="E17" i="276"/>
  <c r="E18" i="214"/>
  <c r="L17" i="214"/>
  <c r="L12" i="55"/>
  <c r="E13" i="55"/>
  <c r="G12" i="199"/>
  <c r="E13" i="199"/>
  <c r="L12" i="199"/>
  <c r="E18" i="302"/>
  <c r="L17" i="302"/>
  <c r="L111" i="33"/>
  <c r="E112" i="33"/>
  <c r="L20" i="202"/>
  <c r="E21" i="202"/>
  <c r="L14" i="209"/>
  <c r="E15" i="209"/>
  <c r="E13" i="249"/>
  <c r="L12" i="249"/>
  <c r="D19" i="106"/>
  <c r="F18" i="106"/>
  <c r="E16" i="203"/>
  <c r="L15" i="203"/>
  <c r="L78" i="203"/>
  <c r="E79" i="203"/>
  <c r="E14" i="283"/>
  <c r="L13" i="283"/>
  <c r="E16" i="108"/>
  <c r="L15" i="108"/>
  <c r="F14" i="307"/>
  <c r="D15" i="307"/>
  <c r="G18" i="118"/>
  <c r="L17" i="118"/>
  <c r="E18" i="118"/>
  <c r="G13" i="96"/>
  <c r="E14" i="96"/>
  <c r="L13" i="96"/>
  <c r="E15" i="303"/>
  <c r="G17" i="303"/>
  <c r="L14" i="303"/>
  <c r="E14" i="121"/>
  <c r="L13" i="121"/>
  <c r="L17" i="104"/>
  <c r="J18" i="104"/>
  <c r="E20" i="268"/>
  <c r="L19" i="268"/>
  <c r="G19" i="268"/>
  <c r="E15" i="174"/>
  <c r="L14" i="174"/>
  <c r="L23" i="211"/>
  <c r="E24" i="211"/>
  <c r="G23" i="211"/>
  <c r="E20" i="119"/>
  <c r="L19" i="119"/>
  <c r="G16" i="213"/>
  <c r="L16" i="213"/>
  <c r="E17" i="213"/>
  <c r="E14" i="239"/>
  <c r="G14" i="239"/>
  <c r="L13" i="239"/>
  <c r="E13" i="359"/>
  <c r="L12" i="359"/>
  <c r="E17" i="80"/>
  <c r="L16" i="80"/>
  <c r="L12" i="428"/>
  <c r="E13" i="428"/>
  <c r="K20" i="243"/>
  <c r="K21" i="243" s="1"/>
  <c r="K22" i="243" s="1"/>
  <c r="K23" i="243" s="1"/>
  <c r="K24" i="243" s="1"/>
  <c r="K25" i="243" s="1"/>
  <c r="K26" i="243" s="1"/>
  <c r="K27" i="243" s="1"/>
  <c r="K28" i="243" s="1"/>
  <c r="L13" i="243"/>
  <c r="E14" i="243"/>
  <c r="E15" i="182"/>
  <c r="L14" i="182"/>
  <c r="L12" i="304"/>
  <c r="E13" i="304"/>
  <c r="J16" i="305"/>
  <c r="L15" i="305"/>
  <c r="L23" i="185"/>
  <c r="E24" i="185"/>
  <c r="L22" i="143"/>
  <c r="E23" i="143"/>
  <c r="L20" i="246"/>
  <c r="E21" i="246"/>
  <c r="E37" i="175"/>
  <c r="L36" i="175"/>
  <c r="L19" i="307"/>
  <c r="E20" i="307"/>
  <c r="G15" i="163"/>
  <c r="L15" i="163"/>
  <c r="E16" i="163"/>
  <c r="D14" i="108"/>
  <c r="F13" i="108"/>
  <c r="E19" i="66"/>
  <c r="G19" i="66"/>
  <c r="L18" i="66"/>
  <c r="D49" i="203"/>
  <c r="F48" i="203"/>
  <c r="E12" i="353"/>
  <c r="L11" i="353"/>
  <c r="E19" i="10"/>
  <c r="L18" i="10"/>
  <c r="L12" i="297"/>
  <c r="G14" i="297"/>
  <c r="E13" i="297"/>
  <c r="L15" i="369"/>
  <c r="E16" i="369"/>
  <c r="E20" i="10" l="1"/>
  <c r="L19" i="10"/>
  <c r="J17" i="305"/>
  <c r="L16" i="305"/>
  <c r="E15" i="283"/>
  <c r="L14" i="283"/>
  <c r="G17" i="276"/>
  <c r="L17" i="276"/>
  <c r="E18" i="276"/>
  <c r="L69" i="33"/>
  <c r="E70" i="33"/>
  <c r="E17" i="291"/>
  <c r="L16" i="291"/>
  <c r="L15" i="288"/>
  <c r="E16" i="288"/>
  <c r="E16" i="427"/>
  <c r="L15" i="427"/>
  <c r="G15" i="191"/>
  <c r="E16" i="191"/>
  <c r="L15" i="191"/>
  <c r="E16" i="275"/>
  <c r="L15" i="275"/>
  <c r="D50" i="203"/>
  <c r="F49" i="203"/>
  <c r="L37" i="175"/>
  <c r="E38" i="175"/>
  <c r="G18" i="303"/>
  <c r="E16" i="303"/>
  <c r="L15" i="303"/>
  <c r="L13" i="249"/>
  <c r="E14" i="249"/>
  <c r="E14" i="55"/>
  <c r="L13" i="55"/>
  <c r="L20" i="154"/>
  <c r="E21" i="154"/>
  <c r="G21" i="154"/>
  <c r="E15" i="278"/>
  <c r="L14" i="278"/>
  <c r="E16" i="112"/>
  <c r="L15" i="112"/>
  <c r="G16" i="112"/>
  <c r="L14" i="300"/>
  <c r="E15" i="300"/>
  <c r="L15" i="81"/>
  <c r="E16" i="81"/>
  <c r="L13" i="304"/>
  <c r="E14" i="304"/>
  <c r="E15" i="243"/>
  <c r="L14" i="243"/>
  <c r="F64" i="422"/>
  <c r="L13" i="359"/>
  <c r="E18" i="213"/>
  <c r="L17" i="213"/>
  <c r="G17" i="213"/>
  <c r="E21" i="119"/>
  <c r="L20" i="119"/>
  <c r="E21" i="268"/>
  <c r="G20" i="268"/>
  <c r="L20" i="268"/>
  <c r="L14" i="121"/>
  <c r="E15" i="121"/>
  <c r="E80" i="203"/>
  <c r="L79" i="203"/>
  <c r="E16" i="209"/>
  <c r="L15" i="209"/>
  <c r="L112" i="33"/>
  <c r="E113" i="33"/>
  <c r="G15" i="310"/>
  <c r="E15" i="310"/>
  <c r="L14" i="310"/>
  <c r="E15" i="223"/>
  <c r="G14" i="223"/>
  <c r="L14" i="223"/>
  <c r="E26" i="129"/>
  <c r="G26" i="129"/>
  <c r="E58" i="95"/>
  <c r="L57" i="95"/>
  <c r="E16" i="325"/>
  <c r="L15" i="325"/>
  <c r="G15" i="325"/>
  <c r="E14" i="117"/>
  <c r="G14" i="117"/>
  <c r="L13" i="117"/>
  <c r="E15" i="242"/>
  <c r="L14" i="242"/>
  <c r="G14" i="242"/>
  <c r="G16" i="94"/>
  <c r="E17" i="94"/>
  <c r="L16" i="94"/>
  <c r="G14" i="280"/>
  <c r="L13" i="280"/>
  <c r="E14" i="280"/>
  <c r="E15" i="102"/>
  <c r="L14" i="102"/>
  <c r="E16" i="267"/>
  <c r="H23" i="267"/>
  <c r="L15" i="267"/>
  <c r="H22" i="267"/>
  <c r="K22" i="267" s="1"/>
  <c r="K23" i="267" s="1"/>
  <c r="K24" i="267" s="1"/>
  <c r="G17" i="267"/>
  <c r="G18" i="267"/>
  <c r="G22" i="267"/>
  <c r="H25" i="267"/>
  <c r="E23" i="245"/>
  <c r="G22" i="245"/>
  <c r="L22" i="245"/>
  <c r="E136" i="422"/>
  <c r="D74" i="132"/>
  <c r="D75" i="132" s="1"/>
  <c r="D76" i="132" s="1"/>
  <c r="D77" i="132" s="1"/>
  <c r="D78" i="132" s="1"/>
  <c r="D79" i="132" s="1"/>
  <c r="D80" i="132" s="1"/>
  <c r="D81" i="132" s="1"/>
  <c r="D82" i="132" s="1"/>
  <c r="D83" i="132" s="1"/>
  <c r="D84" i="132" s="1"/>
  <c r="D85" i="132" s="1"/>
  <c r="D86" i="132" s="1"/>
  <c r="D87" i="132" s="1"/>
  <c r="D88" i="132" s="1"/>
  <c r="E45" i="132"/>
  <c r="L44" i="132"/>
  <c r="L19" i="271"/>
  <c r="E20" i="271"/>
  <c r="G21" i="271"/>
  <c r="G15" i="309"/>
  <c r="L14" i="309"/>
  <c r="E15" i="309"/>
  <c r="L17" i="340"/>
  <c r="E18" i="340"/>
  <c r="L14" i="217"/>
  <c r="E15" i="217"/>
  <c r="D69" i="33"/>
  <c r="F68" i="33"/>
  <c r="G13" i="263"/>
  <c r="L13" i="263"/>
  <c r="E14" i="263"/>
  <c r="G13" i="362"/>
  <c r="L13" i="362"/>
  <c r="E14" i="428"/>
  <c r="L13" i="428"/>
  <c r="E17" i="203"/>
  <c r="L16" i="203"/>
  <c r="L18" i="302"/>
  <c r="E19" i="302"/>
  <c r="E15" i="260"/>
  <c r="L14" i="260"/>
  <c r="E17" i="62"/>
  <c r="L16" i="62"/>
  <c r="D15" i="10"/>
  <c r="F14" i="10"/>
  <c r="L19" i="33"/>
  <c r="E20" i="33"/>
  <c r="E17" i="423"/>
  <c r="G17" i="423"/>
  <c r="L16" i="423"/>
  <c r="G17" i="216"/>
  <c r="L17" i="216"/>
  <c r="E18" i="216"/>
  <c r="L14" i="321"/>
  <c r="G14" i="321"/>
  <c r="E15" i="321"/>
  <c r="G21" i="138"/>
  <c r="E22" i="138"/>
  <c r="E21" i="240"/>
  <c r="L20" i="240"/>
  <c r="G17" i="340"/>
  <c r="H18" i="340"/>
  <c r="K18" i="340" s="1"/>
  <c r="K19" i="340" s="1"/>
  <c r="K20" i="340" s="1"/>
  <c r="K21" i="340" s="1"/>
  <c r="K22" i="340" s="1"/>
  <c r="K23" i="340" s="1"/>
  <c r="K24" i="340" s="1"/>
  <c r="K25" i="340" s="1"/>
  <c r="G21" i="340"/>
  <c r="G18" i="340"/>
  <c r="G20" i="340"/>
  <c r="G19" i="340"/>
  <c r="E22" i="258"/>
  <c r="L21" i="258"/>
  <c r="G17" i="368"/>
  <c r="L17" i="368"/>
  <c r="E18" i="368"/>
  <c r="L16" i="128"/>
  <c r="G16" i="128"/>
  <c r="E17" i="128"/>
  <c r="L17" i="269"/>
  <c r="E18" i="269"/>
  <c r="G18" i="269"/>
  <c r="L13" i="347"/>
  <c r="E14" i="347"/>
  <c r="D13" i="174"/>
  <c r="F12" i="174"/>
  <c r="L52" i="203"/>
  <c r="E53" i="203"/>
  <c r="F14" i="108"/>
  <c r="D15" i="108"/>
  <c r="L20" i="307"/>
  <c r="E21" i="307"/>
  <c r="L21" i="246"/>
  <c r="E22" i="246"/>
  <c r="L24" i="185"/>
  <c r="E25" i="185"/>
  <c r="L16" i="369"/>
  <c r="E17" i="369"/>
  <c r="L12" i="353"/>
  <c r="E13" i="353"/>
  <c r="G16" i="163"/>
  <c r="L16" i="163"/>
  <c r="E17" i="163"/>
  <c r="E16" i="174"/>
  <c r="L15" i="174"/>
  <c r="L18" i="104"/>
  <c r="J19" i="104"/>
  <c r="L14" i="96"/>
  <c r="E15" i="96"/>
  <c r="G14" i="96"/>
  <c r="E17" i="108"/>
  <c r="L16" i="108"/>
  <c r="F19" i="106"/>
  <c r="D20" i="106"/>
  <c r="L13" i="199"/>
  <c r="E14" i="199"/>
  <c r="G13" i="199"/>
  <c r="E21" i="111"/>
  <c r="L20" i="111"/>
  <c r="E15" i="54"/>
  <c r="L14" i="54"/>
  <c r="F127" i="422"/>
  <c r="L13" i="266"/>
  <c r="E14" i="72"/>
  <c r="L13" i="72"/>
  <c r="L14" i="226"/>
  <c r="G14" i="226"/>
  <c r="E15" i="226"/>
  <c r="E29" i="170"/>
  <c r="G28" i="170"/>
  <c r="L28" i="170"/>
  <c r="F16" i="96"/>
  <c r="D17" i="96"/>
  <c r="F52" i="422"/>
  <c r="L22" i="289"/>
  <c r="G17" i="137"/>
  <c r="L17" i="137"/>
  <c r="E18" i="137"/>
  <c r="L18" i="252"/>
  <c r="E19" i="252"/>
  <c r="L20" i="57"/>
  <c r="E21" i="57"/>
  <c r="E13" i="298"/>
  <c r="L12" i="298"/>
  <c r="G12" i="298"/>
  <c r="E16" i="106"/>
  <c r="L15" i="106"/>
  <c r="E18" i="311"/>
  <c r="L17" i="311"/>
  <c r="F140" i="422"/>
  <c r="L19" i="285"/>
  <c r="G19" i="285"/>
  <c r="L13" i="123"/>
  <c r="E14" i="123"/>
  <c r="L16" i="224"/>
  <c r="E17" i="224"/>
  <c r="L14" i="277"/>
  <c r="E15" i="277"/>
  <c r="G15" i="169"/>
  <c r="E16" i="169"/>
  <c r="L15" i="169"/>
  <c r="L14" i="180"/>
  <c r="E15" i="180"/>
  <c r="E24" i="264"/>
  <c r="L23" i="264"/>
  <c r="E15" i="295"/>
  <c r="L14" i="295"/>
  <c r="G14" i="295"/>
  <c r="L131" i="175"/>
  <c r="E132" i="175"/>
  <c r="L17" i="273"/>
  <c r="E18" i="273"/>
  <c r="G18" i="273"/>
  <c r="G15" i="297"/>
  <c r="E14" i="297"/>
  <c r="L13" i="297"/>
  <c r="L15" i="182"/>
  <c r="E16" i="182"/>
  <c r="L14" i="239"/>
  <c r="E15" i="239"/>
  <c r="G15" i="239"/>
  <c r="G19" i="118"/>
  <c r="L18" i="118"/>
  <c r="E19" i="118"/>
  <c r="E18" i="296"/>
  <c r="G20" i="296"/>
  <c r="L17" i="296"/>
  <c r="E14" i="195"/>
  <c r="L13" i="195"/>
  <c r="G13" i="195"/>
  <c r="F54" i="175"/>
  <c r="D55" i="175"/>
  <c r="E17" i="132"/>
  <c r="L16" i="132"/>
  <c r="L16" i="129"/>
  <c r="J17" i="129"/>
  <c r="D74" i="175"/>
  <c r="F73" i="175"/>
  <c r="G20" i="66"/>
  <c r="L19" i="66"/>
  <c r="E20" i="66"/>
  <c r="L23" i="143"/>
  <c r="E24" i="143"/>
  <c r="L17" i="80"/>
  <c r="E18" i="80"/>
  <c r="L24" i="211"/>
  <c r="E25" i="211"/>
  <c r="F15" i="307"/>
  <c r="D16" i="307"/>
  <c r="L21" i="202"/>
  <c r="E22" i="202"/>
  <c r="E19" i="214"/>
  <c r="L18" i="214"/>
  <c r="D98" i="175"/>
  <c r="F97" i="175"/>
  <c r="L72" i="175"/>
  <c r="E73" i="175"/>
  <c r="L13" i="329"/>
  <c r="E14" i="329"/>
  <c r="L14" i="329" s="1"/>
  <c r="L13" i="293"/>
  <c r="E14" i="293"/>
  <c r="E27" i="11"/>
  <c r="L26" i="11"/>
  <c r="J21" i="259"/>
  <c r="L20" i="259"/>
  <c r="J20" i="138"/>
  <c r="L19" i="138"/>
  <c r="F168" i="422"/>
  <c r="L13" i="204"/>
  <c r="L15" i="317"/>
  <c r="E16" i="317"/>
  <c r="G15" i="317"/>
  <c r="E13" i="238"/>
  <c r="L12" i="238"/>
  <c r="L17" i="61"/>
  <c r="E18" i="61"/>
  <c r="E14" i="161"/>
  <c r="L13" i="161"/>
  <c r="G14" i="161"/>
  <c r="L16" i="425"/>
  <c r="E17" i="425"/>
  <c r="E17" i="365"/>
  <c r="L16" i="365"/>
  <c r="E18" i="284"/>
  <c r="L17" i="284"/>
  <c r="E18" i="287"/>
  <c r="L17" i="287"/>
  <c r="E14" i="308"/>
  <c r="G13" i="308"/>
  <c r="H14" i="308" s="1"/>
  <c r="L13" i="308"/>
  <c r="L95" i="175"/>
  <c r="E96" i="175"/>
  <c r="E19" i="95"/>
  <c r="L18" i="95"/>
  <c r="G18" i="95"/>
  <c r="E14" i="247"/>
  <c r="L13" i="247"/>
  <c r="D80" i="203"/>
  <c r="F79" i="203"/>
  <c r="E13" i="364"/>
  <c r="L12" i="364"/>
  <c r="G12" i="364"/>
  <c r="E16" i="351"/>
  <c r="L15" i="351"/>
  <c r="G15" i="351"/>
  <c r="F20" i="268"/>
  <c r="D21" i="268"/>
  <c r="F14" i="57"/>
  <c r="D15" i="57"/>
  <c r="E19" i="254"/>
  <c r="L18" i="254"/>
  <c r="G22" i="138" l="1"/>
  <c r="E23" i="138"/>
  <c r="L17" i="62"/>
  <c r="E18" i="62"/>
  <c r="E15" i="428"/>
  <c r="L14" i="428"/>
  <c r="E16" i="217"/>
  <c r="L15" i="217"/>
  <c r="L15" i="309"/>
  <c r="E16" i="309"/>
  <c r="G16" i="309"/>
  <c r="L20" i="271"/>
  <c r="E21" i="271"/>
  <c r="G22" i="271"/>
  <c r="E24" i="245"/>
  <c r="G23" i="245"/>
  <c r="L23" i="245"/>
  <c r="L16" i="267"/>
  <c r="E17" i="267"/>
  <c r="H16" i="223"/>
  <c r="K16" i="223" s="1"/>
  <c r="K17" i="223" s="1"/>
  <c r="K18" i="223" s="1"/>
  <c r="K19" i="223" s="1"/>
  <c r="K20" i="223" s="1"/>
  <c r="K21" i="223" s="1"/>
  <c r="K22" i="223" s="1"/>
  <c r="K23" i="223" s="1"/>
  <c r="K24" i="223" s="1"/>
  <c r="K25" i="223" s="1"/>
  <c r="K26" i="223" s="1"/>
  <c r="K27" i="223" s="1"/>
  <c r="K28" i="223" s="1"/>
  <c r="G15" i="223"/>
  <c r="G16" i="223"/>
  <c r="L16" i="209"/>
  <c r="E17" i="209"/>
  <c r="G18" i="213"/>
  <c r="L18" i="213"/>
  <c r="E19" i="213"/>
  <c r="L15" i="243"/>
  <c r="E16" i="243"/>
  <c r="E15" i="55"/>
  <c r="L14" i="55"/>
  <c r="G19" i="303"/>
  <c r="E17" i="303"/>
  <c r="L16" i="303"/>
  <c r="E17" i="427"/>
  <c r="L16" i="427"/>
  <c r="E18" i="291"/>
  <c r="L17" i="291"/>
  <c r="F80" i="203"/>
  <c r="D81" i="203"/>
  <c r="L18" i="287"/>
  <c r="E19" i="287"/>
  <c r="J21" i="138"/>
  <c r="L20" i="138"/>
  <c r="G15" i="295"/>
  <c r="E16" i="295"/>
  <c r="L15" i="295"/>
  <c r="E17" i="106"/>
  <c r="L16" i="106"/>
  <c r="G18" i="137"/>
  <c r="L18" i="137"/>
  <c r="E19" i="137"/>
  <c r="D21" i="106"/>
  <c r="F20" i="106"/>
  <c r="L17" i="369"/>
  <c r="E18" i="369"/>
  <c r="D16" i="108"/>
  <c r="F15" i="108"/>
  <c r="F15" i="57"/>
  <c r="D16" i="57"/>
  <c r="E20" i="95"/>
  <c r="L19" i="95"/>
  <c r="G19" i="95"/>
  <c r="K90" i="422"/>
  <c r="K14" i="308"/>
  <c r="E18" i="425"/>
  <c r="L17" i="425"/>
  <c r="L14" i="161"/>
  <c r="G15" i="161"/>
  <c r="E15" i="161"/>
  <c r="F125" i="422"/>
  <c r="L13" i="238"/>
  <c r="E15" i="293"/>
  <c r="L14" i="293"/>
  <c r="L73" i="175"/>
  <c r="E74" i="175"/>
  <c r="D17" i="307"/>
  <c r="F16" i="307"/>
  <c r="E19" i="80"/>
  <c r="L18" i="80"/>
  <c r="G21" i="66"/>
  <c r="E21" i="66"/>
  <c r="L20" i="66"/>
  <c r="D75" i="175"/>
  <c r="F74" i="175"/>
  <c r="L17" i="132"/>
  <c r="E18" i="132"/>
  <c r="E19" i="296"/>
  <c r="G21" i="296"/>
  <c r="L18" i="296"/>
  <c r="F17" i="96"/>
  <c r="D18" i="96"/>
  <c r="E30" i="170"/>
  <c r="G29" i="170"/>
  <c r="L29" i="170"/>
  <c r="G15" i="96"/>
  <c r="E16" i="96"/>
  <c r="L15" i="96"/>
  <c r="D14" i="174"/>
  <c r="F13" i="174"/>
  <c r="L18" i="269"/>
  <c r="E19" i="269"/>
  <c r="G19" i="269"/>
  <c r="L18" i="216"/>
  <c r="G18" i="216"/>
  <c r="E19" i="216"/>
  <c r="K25" i="267"/>
  <c r="K26" i="267" s="1"/>
  <c r="K27" i="267" s="1"/>
  <c r="K28" i="267" s="1"/>
  <c r="E17" i="325"/>
  <c r="L16" i="325"/>
  <c r="G16" i="325"/>
  <c r="E16" i="223"/>
  <c r="L15" i="223"/>
  <c r="E114" i="33"/>
  <c r="L113" i="33"/>
  <c r="E22" i="119"/>
  <c r="L21" i="119"/>
  <c r="L14" i="304"/>
  <c r="E15" i="304"/>
  <c r="E16" i="300"/>
  <c r="L15" i="300"/>
  <c r="G17" i="112"/>
  <c r="E17" i="112"/>
  <c r="L16" i="112"/>
  <c r="E22" i="154"/>
  <c r="G22" i="154"/>
  <c r="L21" i="154"/>
  <c r="E15" i="249"/>
  <c r="L14" i="249"/>
  <c r="D51" i="203"/>
  <c r="F50" i="203"/>
  <c r="G16" i="191"/>
  <c r="E17" i="191"/>
  <c r="L16" i="191"/>
  <c r="E17" i="288"/>
  <c r="L16" i="288"/>
  <c r="L70" i="33"/>
  <c r="E71" i="33"/>
  <c r="L19" i="254"/>
  <c r="E20" i="254"/>
  <c r="F8" i="422"/>
  <c r="L17" i="365"/>
  <c r="E28" i="11"/>
  <c r="L27" i="11"/>
  <c r="E17" i="182"/>
  <c r="L16" i="182"/>
  <c r="E133" i="175"/>
  <c r="L132" i="175"/>
  <c r="E16" i="277"/>
  <c r="L15" i="277"/>
  <c r="E15" i="123"/>
  <c r="L14" i="123"/>
  <c r="L21" i="57"/>
  <c r="E22" i="57"/>
  <c r="L21" i="111"/>
  <c r="E22" i="111"/>
  <c r="E23" i="246"/>
  <c r="L23" i="246" s="1"/>
  <c r="L22" i="246"/>
  <c r="L13" i="364"/>
  <c r="G13" i="364"/>
  <c r="E14" i="364"/>
  <c r="L14" i="247"/>
  <c r="E15" i="247"/>
  <c r="G17" i="247"/>
  <c r="G16" i="247"/>
  <c r="E97" i="175"/>
  <c r="L96" i="175"/>
  <c r="F90" i="422"/>
  <c r="L14" i="308"/>
  <c r="L18" i="284"/>
  <c r="E19" i="284"/>
  <c r="E19" i="61"/>
  <c r="L18" i="61"/>
  <c r="J22" i="259"/>
  <c r="L21" i="259"/>
  <c r="E20" i="214"/>
  <c r="L19" i="214"/>
  <c r="J18" i="129"/>
  <c r="L17" i="129"/>
  <c r="F55" i="175"/>
  <c r="D56" i="175"/>
  <c r="E15" i="195"/>
  <c r="G14" i="195"/>
  <c r="L14" i="195"/>
  <c r="E20" i="118"/>
  <c r="G20" i="118"/>
  <c r="L19" i="118"/>
  <c r="L15" i="239"/>
  <c r="G16" i="239"/>
  <c r="E16" i="239"/>
  <c r="L18" i="273"/>
  <c r="E19" i="273"/>
  <c r="G19" i="273"/>
  <c r="L24" i="264"/>
  <c r="E25" i="264"/>
  <c r="L16" i="169"/>
  <c r="E17" i="169"/>
  <c r="G16" i="169"/>
  <c r="E18" i="224"/>
  <c r="L17" i="224"/>
  <c r="L18" i="311"/>
  <c r="E19" i="311"/>
  <c r="L19" i="252"/>
  <c r="E20" i="252"/>
  <c r="G15" i="226"/>
  <c r="E16" i="226"/>
  <c r="L15" i="226"/>
  <c r="E15" i="72"/>
  <c r="L14" i="72"/>
  <c r="L15" i="54"/>
  <c r="E16" i="54"/>
  <c r="G14" i="199"/>
  <c r="L14" i="199"/>
  <c r="E15" i="199"/>
  <c r="L16" i="174"/>
  <c r="E17" i="174"/>
  <c r="L13" i="353"/>
  <c r="E14" i="353"/>
  <c r="L25" i="185"/>
  <c r="E26" i="185"/>
  <c r="F39" i="422"/>
  <c r="L21" i="307"/>
  <c r="L53" i="203"/>
  <c r="E54" i="203"/>
  <c r="E15" i="347"/>
  <c r="L14" i="347"/>
  <c r="E19" i="368"/>
  <c r="G18" i="368"/>
  <c r="L18" i="368"/>
  <c r="L22" i="258"/>
  <c r="E23" i="258"/>
  <c r="L21" i="240"/>
  <c r="E22" i="240"/>
  <c r="L15" i="321"/>
  <c r="E16" i="321"/>
  <c r="G15" i="321"/>
  <c r="L17" i="423"/>
  <c r="G18" i="423"/>
  <c r="E18" i="423"/>
  <c r="F15" i="10"/>
  <c r="D16" i="10"/>
  <c r="E16" i="260"/>
  <c r="L15" i="260"/>
  <c r="L17" i="203"/>
  <c r="E18" i="203"/>
  <c r="L18" i="340"/>
  <c r="E19" i="340"/>
  <c r="L15" i="102"/>
  <c r="E16" i="102"/>
  <c r="G15" i="117"/>
  <c r="E15" i="117"/>
  <c r="L14" i="117"/>
  <c r="G27" i="129"/>
  <c r="E27" i="129"/>
  <c r="L80" i="203"/>
  <c r="E81" i="203"/>
  <c r="E39" i="175"/>
  <c r="L38" i="175"/>
  <c r="F98" i="175"/>
  <c r="D99" i="175"/>
  <c r="D22" i="268"/>
  <c r="F21" i="268"/>
  <c r="F142" i="422"/>
  <c r="L16" i="351"/>
  <c r="G16" i="351"/>
  <c r="G17" i="317"/>
  <c r="G16" i="317"/>
  <c r="L16" i="317"/>
  <c r="E17" i="317"/>
  <c r="L22" i="202"/>
  <c r="E23" i="202"/>
  <c r="F81" i="422"/>
  <c r="L25" i="211"/>
  <c r="L24" i="143"/>
  <c r="E25" i="143"/>
  <c r="G16" i="297"/>
  <c r="E15" i="297"/>
  <c r="L14" i="297"/>
  <c r="F27" i="422"/>
  <c r="L15" i="180"/>
  <c r="L13" i="298"/>
  <c r="E14" i="298"/>
  <c r="G13" i="298"/>
  <c r="L17" i="108"/>
  <c r="E18" i="108"/>
  <c r="L19" i="104"/>
  <c r="J20" i="104"/>
  <c r="L17" i="163"/>
  <c r="E18" i="163"/>
  <c r="G17" i="163"/>
  <c r="L17" i="128"/>
  <c r="G17" i="128"/>
  <c r="E18" i="128"/>
  <c r="L20" i="33"/>
  <c r="E21" i="33"/>
  <c r="F54" i="422"/>
  <c r="L19" i="302"/>
  <c r="L14" i="263"/>
  <c r="E15" i="263"/>
  <c r="G14" i="263"/>
  <c r="D70" i="33"/>
  <c r="F69" i="33"/>
  <c r="E46" i="132"/>
  <c r="L45" i="132"/>
  <c r="G15" i="280"/>
  <c r="L14" i="280"/>
  <c r="E15" i="280"/>
  <c r="G17" i="94"/>
  <c r="E18" i="94"/>
  <c r="L17" i="94"/>
  <c r="G15" i="242"/>
  <c r="E16" i="242"/>
  <c r="L15" i="242"/>
  <c r="E59" i="95"/>
  <c r="L58" i="95"/>
  <c r="L15" i="310"/>
  <c r="E16" i="310"/>
  <c r="G16" i="310"/>
  <c r="L15" i="121"/>
  <c r="E16" i="121"/>
  <c r="G21" i="268"/>
  <c r="L21" i="268"/>
  <c r="E22" i="268"/>
  <c r="L16" i="81"/>
  <c r="E17" i="81"/>
  <c r="E16" i="278"/>
  <c r="L15" i="278"/>
  <c r="E17" i="275"/>
  <c r="L16" i="275"/>
  <c r="G19" i="276"/>
  <c r="G18" i="276"/>
  <c r="L18" i="276"/>
  <c r="E19" i="276"/>
  <c r="L15" i="283"/>
  <c r="E16" i="283"/>
  <c r="L20" i="10"/>
  <c r="E21" i="10"/>
  <c r="E47" i="132" l="1"/>
  <c r="L46" i="132"/>
  <c r="J21" i="104"/>
  <c r="L20" i="104"/>
  <c r="E24" i="202"/>
  <c r="L23" i="202"/>
  <c r="L54" i="203"/>
  <c r="E55" i="203"/>
  <c r="E27" i="185"/>
  <c r="L26" i="185"/>
  <c r="E18" i="174"/>
  <c r="L17" i="174"/>
  <c r="L15" i="72"/>
  <c r="E16" i="72"/>
  <c r="L20" i="252"/>
  <c r="E21" i="252"/>
  <c r="L19" i="273"/>
  <c r="G20" i="273"/>
  <c r="E20" i="273"/>
  <c r="L20" i="214"/>
  <c r="E21" i="214"/>
  <c r="L19" i="61"/>
  <c r="E20" i="61"/>
  <c r="E23" i="111"/>
  <c r="L22" i="111"/>
  <c r="E21" i="254"/>
  <c r="L20" i="254"/>
  <c r="L15" i="249"/>
  <c r="E16" i="249"/>
  <c r="E17" i="300"/>
  <c r="L16" i="300"/>
  <c r="E23" i="119"/>
  <c r="L22" i="119"/>
  <c r="L16" i="223"/>
  <c r="E17" i="223"/>
  <c r="I128" i="422"/>
  <c r="H128" i="422" s="1"/>
  <c r="K29" i="267"/>
  <c r="D15" i="174"/>
  <c r="F14" i="174"/>
  <c r="E19" i="132"/>
  <c r="L18" i="132"/>
  <c r="E20" i="80"/>
  <c r="L19" i="80"/>
  <c r="J22" i="138"/>
  <c r="L21" i="138"/>
  <c r="E18" i="427"/>
  <c r="L17" i="427"/>
  <c r="G19" i="213"/>
  <c r="L19" i="213"/>
  <c r="E20" i="213"/>
  <c r="E18" i="267"/>
  <c r="L17" i="267"/>
  <c r="L24" i="245"/>
  <c r="E25" i="245"/>
  <c r="G24" i="245"/>
  <c r="E17" i="217"/>
  <c r="L16" i="217"/>
  <c r="E23" i="268"/>
  <c r="G22" i="268"/>
  <c r="L22" i="268"/>
  <c r="L15" i="280"/>
  <c r="G16" i="280"/>
  <c r="E16" i="280"/>
  <c r="L16" i="278"/>
  <c r="E17" i="278"/>
  <c r="L23" i="258"/>
  <c r="E24" i="258"/>
  <c r="L19" i="284"/>
  <c r="E20" i="284"/>
  <c r="E16" i="247"/>
  <c r="L15" i="247"/>
  <c r="L15" i="123"/>
  <c r="E16" i="123"/>
  <c r="L133" i="175"/>
  <c r="E134" i="175"/>
  <c r="E29" i="11"/>
  <c r="L28" i="11"/>
  <c r="E18" i="288"/>
  <c r="L17" i="288"/>
  <c r="L17" i="112"/>
  <c r="G18" i="112"/>
  <c r="E18" i="112"/>
  <c r="L15" i="304"/>
  <c r="E16" i="304"/>
  <c r="E20" i="216"/>
  <c r="G19" i="216"/>
  <c r="L19" i="216"/>
  <c r="E20" i="269"/>
  <c r="G20" i="269"/>
  <c r="L19" i="269"/>
  <c r="G22" i="66"/>
  <c r="L21" i="66"/>
  <c r="E22" i="66"/>
  <c r="E16" i="161"/>
  <c r="G16" i="161"/>
  <c r="L15" i="161"/>
  <c r="L18" i="425"/>
  <c r="E19" i="425"/>
  <c r="G16" i="295"/>
  <c r="E17" i="295"/>
  <c r="L16" i="295"/>
  <c r="F10" i="422"/>
  <c r="L19" i="287"/>
  <c r="E16" i="55"/>
  <c r="L15" i="55"/>
  <c r="L16" i="309"/>
  <c r="E17" i="309"/>
  <c r="G17" i="309"/>
  <c r="G23" i="138"/>
  <c r="E24" i="138"/>
  <c r="L21" i="33"/>
  <c r="E22" i="33"/>
  <c r="E60" i="95"/>
  <c r="L59" i="95"/>
  <c r="L18" i="423"/>
  <c r="G19" i="423"/>
  <c r="E19" i="423"/>
  <c r="E19" i="224"/>
  <c r="L18" i="224"/>
  <c r="L21" i="10"/>
  <c r="H22" i="10"/>
  <c r="K22" i="10" s="1"/>
  <c r="K23" i="10" s="1"/>
  <c r="H23" i="10"/>
  <c r="H24" i="10"/>
  <c r="E22" i="10"/>
  <c r="L19" i="276"/>
  <c r="E20" i="276"/>
  <c r="G20" i="276"/>
  <c r="E18" i="81"/>
  <c r="L17" i="81"/>
  <c r="L16" i="310"/>
  <c r="G17" i="310"/>
  <c r="G18" i="94"/>
  <c r="E19" i="94"/>
  <c r="L18" i="94"/>
  <c r="F70" i="33"/>
  <c r="D71" i="33"/>
  <c r="E19" i="128"/>
  <c r="G18" i="128"/>
  <c r="L18" i="128"/>
  <c r="G18" i="163"/>
  <c r="L18" i="163"/>
  <c r="E19" i="163"/>
  <c r="E19" i="108"/>
  <c r="L18" i="108"/>
  <c r="E16" i="297"/>
  <c r="G17" i="297"/>
  <c r="L15" i="297"/>
  <c r="H18" i="317"/>
  <c r="K18" i="317" s="1"/>
  <c r="K19" i="317" s="1"/>
  <c r="K20" i="317" s="1"/>
  <c r="E18" i="317"/>
  <c r="L17" i="317"/>
  <c r="F22" i="268"/>
  <c r="D23" i="268"/>
  <c r="L39" i="175"/>
  <c r="E40" i="175"/>
  <c r="E28" i="129"/>
  <c r="G28" i="129"/>
  <c r="E17" i="260"/>
  <c r="L16" i="260"/>
  <c r="L14" i="353"/>
  <c r="E15" i="353"/>
  <c r="H16" i="199"/>
  <c r="K16" i="199" s="1"/>
  <c r="K17" i="199" s="1"/>
  <c r="K18" i="199" s="1"/>
  <c r="K19" i="199" s="1"/>
  <c r="K20" i="199" s="1"/>
  <c r="K21" i="199" s="1"/>
  <c r="K22" i="199" s="1"/>
  <c r="K23" i="199" s="1"/>
  <c r="K24" i="199" s="1"/>
  <c r="K25" i="199" s="1"/>
  <c r="K26" i="199" s="1"/>
  <c r="K27" i="199" s="1"/>
  <c r="K28" i="199" s="1"/>
  <c r="K29" i="199" s="1"/>
  <c r="K30" i="199" s="1"/>
  <c r="K31" i="199" s="1"/>
  <c r="K32" i="199" s="1"/>
  <c r="K33" i="199" s="1"/>
  <c r="K34" i="199" s="1"/>
  <c r="K35" i="199" s="1"/>
  <c r="L15" i="199"/>
  <c r="E16" i="199"/>
  <c r="G15" i="199"/>
  <c r="E17" i="226"/>
  <c r="L16" i="226"/>
  <c r="E20" i="311"/>
  <c r="L19" i="311"/>
  <c r="L16" i="239"/>
  <c r="E17" i="239"/>
  <c r="G17" i="239"/>
  <c r="G15" i="195"/>
  <c r="E16" i="195"/>
  <c r="L15" i="195"/>
  <c r="J19" i="129"/>
  <c r="L18" i="129"/>
  <c r="J23" i="259"/>
  <c r="L22" i="259"/>
  <c r="L97" i="175"/>
  <c r="E98" i="175"/>
  <c r="L22" i="57"/>
  <c r="E23" i="57"/>
  <c r="L71" i="33"/>
  <c r="E72" i="33"/>
  <c r="D52" i="203"/>
  <c r="F51" i="203"/>
  <c r="L114" i="33"/>
  <c r="E115" i="33"/>
  <c r="G16" i="96"/>
  <c r="E17" i="96"/>
  <c r="L16" i="96"/>
  <c r="H31" i="170"/>
  <c r="K31" i="170" s="1"/>
  <c r="K32" i="170" s="1"/>
  <c r="K33" i="170" s="1"/>
  <c r="K34" i="170" s="1"/>
  <c r="K35" i="170" s="1"/>
  <c r="K36" i="170" s="1"/>
  <c r="K37" i="170" s="1"/>
  <c r="K38" i="170" s="1"/>
  <c r="K39" i="170" s="1"/>
  <c r="K40" i="170" s="1"/>
  <c r="K41" i="170" s="1"/>
  <c r="I161" i="422" s="1"/>
  <c r="H161" i="422" s="1"/>
  <c r="G30" i="170"/>
  <c r="E31" i="170"/>
  <c r="L30" i="170"/>
  <c r="D18" i="307"/>
  <c r="F17" i="307"/>
  <c r="E16" i="293"/>
  <c r="L15" i="293"/>
  <c r="I90" i="422"/>
  <c r="H90" i="422" s="1"/>
  <c r="K15" i="308"/>
  <c r="G20" i="95"/>
  <c r="L20" i="95"/>
  <c r="E21" i="95"/>
  <c r="F16" i="108"/>
  <c r="D17" i="108"/>
  <c r="D22" i="106"/>
  <c r="F21" i="106"/>
  <c r="E19" i="291"/>
  <c r="L18" i="291"/>
  <c r="G20" i="303"/>
  <c r="E18" i="303"/>
  <c r="L17" i="303"/>
  <c r="L16" i="243"/>
  <c r="E17" i="243"/>
  <c r="E22" i="271"/>
  <c r="G23" i="271"/>
  <c r="L21" i="271"/>
  <c r="E16" i="428"/>
  <c r="L15" i="428"/>
  <c r="L16" i="283"/>
  <c r="E17" i="283"/>
  <c r="G15" i="263"/>
  <c r="L15" i="263"/>
  <c r="E16" i="263"/>
  <c r="L25" i="143"/>
  <c r="E26" i="143"/>
  <c r="F129" i="422"/>
  <c r="L14" i="298"/>
  <c r="G14" i="298"/>
  <c r="H15" i="298" s="1"/>
  <c r="K15" i="298" s="1"/>
  <c r="L15" i="117"/>
  <c r="G16" i="117"/>
  <c r="E16" i="117"/>
  <c r="E20" i="340"/>
  <c r="L19" i="340"/>
  <c r="E17" i="321"/>
  <c r="L16" i="321"/>
  <c r="G16" i="321"/>
  <c r="L19" i="368"/>
  <c r="E20" i="368"/>
  <c r="G19" i="368"/>
  <c r="E17" i="54"/>
  <c r="L16" i="54"/>
  <c r="E26" i="264"/>
  <c r="L25" i="264"/>
  <c r="E18" i="275"/>
  <c r="L17" i="275"/>
  <c r="L16" i="121"/>
  <c r="E17" i="121"/>
  <c r="L16" i="242"/>
  <c r="E17" i="242"/>
  <c r="G16" i="242"/>
  <c r="F99" i="175"/>
  <c r="D100" i="175"/>
  <c r="L81" i="203"/>
  <c r="E82" i="203"/>
  <c r="E17" i="102"/>
  <c r="L16" i="102"/>
  <c r="L18" i="203"/>
  <c r="E19" i="203"/>
  <c r="F16" i="10"/>
  <c r="D17" i="10"/>
  <c r="E23" i="240"/>
  <c r="L22" i="240"/>
  <c r="F62" i="422"/>
  <c r="L15" i="347"/>
  <c r="G17" i="226"/>
  <c r="H17" i="226"/>
  <c r="K17" i="226" s="1"/>
  <c r="K18" i="226" s="1"/>
  <c r="K19" i="226" s="1"/>
  <c r="K20" i="226" s="1"/>
  <c r="K21" i="226" s="1"/>
  <c r="I29" i="422" s="1"/>
  <c r="H29" i="422" s="1"/>
  <c r="G16" i="226"/>
  <c r="G17" i="169"/>
  <c r="L17" i="169"/>
  <c r="E18" i="169"/>
  <c r="L20" i="118"/>
  <c r="E21" i="118"/>
  <c r="G21" i="118"/>
  <c r="D57" i="175"/>
  <c r="F56" i="175"/>
  <c r="E15" i="364"/>
  <c r="G14" i="364"/>
  <c r="L14" i="364"/>
  <c r="L16" i="277"/>
  <c r="E17" i="277"/>
  <c r="L17" i="182"/>
  <c r="E18" i="182"/>
  <c r="G17" i="191"/>
  <c r="L17" i="191"/>
  <c r="E18" i="191"/>
  <c r="G23" i="154"/>
  <c r="L22" i="154"/>
  <c r="E23" i="154"/>
  <c r="G17" i="325"/>
  <c r="L17" i="325"/>
  <c r="E18" i="325"/>
  <c r="F18" i="96"/>
  <c r="D19" i="96"/>
  <c r="E20" i="296"/>
  <c r="G22" i="296"/>
  <c r="L19" i="296"/>
  <c r="D76" i="175"/>
  <c r="F76" i="175" s="1"/>
  <c r="F75" i="175"/>
  <c r="E75" i="175"/>
  <c r="L74" i="175"/>
  <c r="F16" i="57"/>
  <c r="D17" i="57"/>
  <c r="L18" i="369"/>
  <c r="E19" i="369"/>
  <c r="G19" i="137"/>
  <c r="L19" i="137"/>
  <c r="E20" i="137"/>
  <c r="L17" i="106"/>
  <c r="E18" i="106"/>
  <c r="F81" i="203"/>
  <c r="D82" i="203"/>
  <c r="L17" i="209"/>
  <c r="E18" i="209"/>
  <c r="I45" i="422"/>
  <c r="H45" i="422" s="1"/>
  <c r="K29" i="223"/>
  <c r="L18" i="62"/>
  <c r="E19" i="62"/>
  <c r="E56" i="203" l="1"/>
  <c r="L55" i="203"/>
  <c r="L23" i="154"/>
  <c r="E24" i="154"/>
  <c r="G24" i="154"/>
  <c r="G15" i="364"/>
  <c r="L15" i="364"/>
  <c r="E16" i="364"/>
  <c r="F17" i="10"/>
  <c r="D18" i="10"/>
  <c r="E18" i="54"/>
  <c r="L17" i="54"/>
  <c r="D18" i="108"/>
  <c r="F17" i="108"/>
  <c r="E32" i="170"/>
  <c r="L31" i="170"/>
  <c r="L23" i="57"/>
  <c r="E24" i="57"/>
  <c r="E17" i="304"/>
  <c r="L16" i="304"/>
  <c r="E30" i="11"/>
  <c r="L29" i="11"/>
  <c r="L21" i="252"/>
  <c r="E22" i="252"/>
  <c r="D83" i="203"/>
  <c r="F82" i="203"/>
  <c r="G20" i="137"/>
  <c r="E21" i="137"/>
  <c r="L20" i="137"/>
  <c r="E76" i="175"/>
  <c r="L76" i="175" s="1"/>
  <c r="L75" i="175"/>
  <c r="G18" i="325"/>
  <c r="L18" i="325"/>
  <c r="E19" i="325"/>
  <c r="L17" i="102"/>
  <c r="E18" i="102"/>
  <c r="E18" i="121"/>
  <c r="L17" i="121"/>
  <c r="L16" i="117"/>
  <c r="G17" i="117"/>
  <c r="E17" i="117"/>
  <c r="E17" i="263"/>
  <c r="G16" i="263"/>
  <c r="L16" i="263"/>
  <c r="E20" i="291"/>
  <c r="L19" i="291"/>
  <c r="F52" i="203"/>
  <c r="D53" i="203"/>
  <c r="J24" i="259"/>
  <c r="L23" i="259"/>
  <c r="G16" i="195"/>
  <c r="E17" i="195"/>
  <c r="L16" i="195"/>
  <c r="L17" i="226"/>
  <c r="E18" i="226"/>
  <c r="E18" i="260"/>
  <c r="L17" i="260"/>
  <c r="E41" i="175"/>
  <c r="L41" i="175" s="1"/>
  <c r="L40" i="175"/>
  <c r="L19" i="163"/>
  <c r="G19" i="163"/>
  <c r="E20" i="163"/>
  <c r="E21" i="276"/>
  <c r="G21" i="276"/>
  <c r="L20" i="276"/>
  <c r="E20" i="224"/>
  <c r="L19" i="224"/>
  <c r="G24" i="138"/>
  <c r="E25" i="138"/>
  <c r="E18" i="309"/>
  <c r="G18" i="309"/>
  <c r="L17" i="309"/>
  <c r="L134" i="175"/>
  <c r="E135" i="175"/>
  <c r="L24" i="258"/>
  <c r="E25" i="258"/>
  <c r="L16" i="280"/>
  <c r="G17" i="280"/>
  <c r="E17" i="280"/>
  <c r="L18" i="267"/>
  <c r="E19" i="267"/>
  <c r="E18" i="223"/>
  <c r="L17" i="223"/>
  <c r="L20" i="61"/>
  <c r="E21" i="61"/>
  <c r="G21" i="273"/>
  <c r="L20" i="273"/>
  <c r="E21" i="273"/>
  <c r="L21" i="273" s="1"/>
  <c r="E19" i="174"/>
  <c r="L18" i="174"/>
  <c r="L21" i="104"/>
  <c r="J22" i="104"/>
  <c r="L19" i="369"/>
  <c r="E20" i="369"/>
  <c r="G22" i="118"/>
  <c r="E22" i="118"/>
  <c r="L21" i="118"/>
  <c r="F100" i="175"/>
  <c r="D101" i="175"/>
  <c r="E19" i="275"/>
  <c r="L18" i="275"/>
  <c r="E21" i="340"/>
  <c r="L20" i="340"/>
  <c r="L17" i="283"/>
  <c r="E18" i="283"/>
  <c r="G17" i="96"/>
  <c r="L17" i="96"/>
  <c r="E18" i="96"/>
  <c r="G29" i="129"/>
  <c r="E29" i="129"/>
  <c r="L19" i="108"/>
  <c r="E20" i="108"/>
  <c r="L16" i="55"/>
  <c r="E17" i="55"/>
  <c r="G21" i="269"/>
  <c r="E21" i="269"/>
  <c r="L20" i="269"/>
  <c r="L17" i="217"/>
  <c r="E18" i="217"/>
  <c r="J23" i="138"/>
  <c r="L22" i="138"/>
  <c r="E20" i="132"/>
  <c r="L19" i="132"/>
  <c r="L23" i="119"/>
  <c r="E24" i="119"/>
  <c r="L23" i="111"/>
  <c r="E24" i="111"/>
  <c r="F17" i="57"/>
  <c r="D18" i="57"/>
  <c r="G23" i="296"/>
  <c r="L20" i="296"/>
  <c r="E21" i="296"/>
  <c r="E19" i="182"/>
  <c r="L18" i="182"/>
  <c r="D58" i="175"/>
  <c r="F58" i="175" s="1"/>
  <c r="F57" i="175"/>
  <c r="L18" i="169"/>
  <c r="E19" i="169"/>
  <c r="G18" i="169"/>
  <c r="L19" i="203"/>
  <c r="E20" i="203"/>
  <c r="L82" i="203"/>
  <c r="E83" i="203"/>
  <c r="E27" i="264"/>
  <c r="L26" i="264"/>
  <c r="L20" i="368"/>
  <c r="E21" i="368"/>
  <c r="G20" i="368"/>
  <c r="F108" i="422"/>
  <c r="G17" i="321"/>
  <c r="L17" i="321"/>
  <c r="L22" i="271"/>
  <c r="E23" i="271"/>
  <c r="G24" i="271"/>
  <c r="G21" i="303"/>
  <c r="E19" i="303"/>
  <c r="L18" i="303"/>
  <c r="G21" i="95"/>
  <c r="L21" i="95"/>
  <c r="E22" i="95"/>
  <c r="D19" i="307"/>
  <c r="F18" i="307"/>
  <c r="E116" i="33"/>
  <c r="L115" i="33"/>
  <c r="L72" i="33"/>
  <c r="E73" i="33"/>
  <c r="E99" i="175"/>
  <c r="L98" i="175"/>
  <c r="E16" i="353"/>
  <c r="L15" i="353"/>
  <c r="L18" i="317"/>
  <c r="E19" i="317"/>
  <c r="L16" i="297"/>
  <c r="E17" i="297"/>
  <c r="G18" i="297"/>
  <c r="G19" i="128"/>
  <c r="L19" i="128"/>
  <c r="E20" i="128"/>
  <c r="G19" i="94"/>
  <c r="E20" i="94"/>
  <c r="L19" i="94"/>
  <c r="K24" i="10"/>
  <c r="K25" i="10" s="1"/>
  <c r="K26" i="10" s="1"/>
  <c r="K27" i="10" s="1"/>
  <c r="K28" i="10" s="1"/>
  <c r="K29" i="10" s="1"/>
  <c r="K30" i="10" s="1"/>
  <c r="K31" i="10" s="1"/>
  <c r="K32" i="10" s="1"/>
  <c r="K33" i="10" s="1"/>
  <c r="K34" i="10" s="1"/>
  <c r="L19" i="423"/>
  <c r="G20" i="423"/>
  <c r="E20" i="423"/>
  <c r="E61" i="95"/>
  <c r="L60" i="95"/>
  <c r="E20" i="425"/>
  <c r="L19" i="425"/>
  <c r="E17" i="161"/>
  <c r="G17" i="161"/>
  <c r="L16" i="161"/>
  <c r="G19" i="112"/>
  <c r="L18" i="112"/>
  <c r="E19" i="112"/>
  <c r="L18" i="288"/>
  <c r="E19" i="288"/>
  <c r="G18" i="247"/>
  <c r="L16" i="247"/>
  <c r="E17" i="247"/>
  <c r="G19" i="247"/>
  <c r="E24" i="268"/>
  <c r="G23" i="268"/>
  <c r="L23" i="268"/>
  <c r="G25" i="245"/>
  <c r="L25" i="245"/>
  <c r="E26" i="245"/>
  <c r="G20" i="213"/>
  <c r="L20" i="213"/>
  <c r="E21" i="213"/>
  <c r="E19" i="427"/>
  <c r="L18" i="427"/>
  <c r="E21" i="80"/>
  <c r="L20" i="80"/>
  <c r="F15" i="174"/>
  <c r="D16" i="174"/>
  <c r="L17" i="300"/>
  <c r="E18" i="300"/>
  <c r="L21" i="254"/>
  <c r="E22" i="254"/>
  <c r="L16" i="72"/>
  <c r="E17" i="72"/>
  <c r="L17" i="277"/>
  <c r="E18" i="277"/>
  <c r="E17" i="293"/>
  <c r="L16" i="293"/>
  <c r="G18" i="239"/>
  <c r="L17" i="239"/>
  <c r="E18" i="239"/>
  <c r="G17" i="295"/>
  <c r="E18" i="295"/>
  <c r="L17" i="295"/>
  <c r="L19" i="62"/>
  <c r="E20" i="62"/>
  <c r="L18" i="209"/>
  <c r="E19" i="209"/>
  <c r="L18" i="106"/>
  <c r="E19" i="106"/>
  <c r="D20" i="96"/>
  <c r="F19" i="96"/>
  <c r="G18" i="191"/>
  <c r="L18" i="191"/>
  <c r="E19" i="191"/>
  <c r="E24" i="240"/>
  <c r="L23" i="240"/>
  <c r="E18" i="242"/>
  <c r="L17" i="242"/>
  <c r="G17" i="242"/>
  <c r="L26" i="143"/>
  <c r="E27" i="143"/>
  <c r="E17" i="428"/>
  <c r="L16" i="428"/>
  <c r="E18" i="243"/>
  <c r="L17" i="243"/>
  <c r="F22" i="106"/>
  <c r="D23" i="106"/>
  <c r="L19" i="129"/>
  <c r="J20" i="129"/>
  <c r="L20" i="311"/>
  <c r="E21" i="311"/>
  <c r="L16" i="199"/>
  <c r="E17" i="199"/>
  <c r="D24" i="268"/>
  <c r="F23" i="268"/>
  <c r="I106" i="422"/>
  <c r="H106" i="422" s="1"/>
  <c r="K21" i="317"/>
  <c r="F71" i="33"/>
  <c r="D72" i="33"/>
  <c r="L18" i="81"/>
  <c r="E19" i="81"/>
  <c r="E23" i="10"/>
  <c r="L22" i="10"/>
  <c r="L22" i="33"/>
  <c r="E23" i="33"/>
  <c r="L22" i="66"/>
  <c r="E23" i="66"/>
  <c r="G23" i="66"/>
  <c r="L20" i="216"/>
  <c r="G20" i="216"/>
  <c r="E21" i="216"/>
  <c r="E17" i="123"/>
  <c r="L16" i="123"/>
  <c r="E21" i="284"/>
  <c r="L21" i="284" s="1"/>
  <c r="L20" i="284"/>
  <c r="E18" i="278"/>
  <c r="L17" i="278"/>
  <c r="E17" i="249"/>
  <c r="L16" i="249"/>
  <c r="L21" i="214"/>
  <c r="E22" i="214"/>
  <c r="L27" i="185"/>
  <c r="E28" i="185"/>
  <c r="E25" i="202"/>
  <c r="L24" i="202"/>
  <c r="L47" i="132"/>
  <c r="E48" i="132"/>
  <c r="L17" i="249" l="1"/>
  <c r="E18" i="249"/>
  <c r="E24" i="10"/>
  <c r="L23" i="10"/>
  <c r="L22" i="214"/>
  <c r="E23" i="214"/>
  <c r="L23" i="33"/>
  <c r="E24" i="33"/>
  <c r="E20" i="81"/>
  <c r="L19" i="81"/>
  <c r="L17" i="199"/>
  <c r="E18" i="199"/>
  <c r="J21" i="129"/>
  <c r="L20" i="129"/>
  <c r="E28" i="143"/>
  <c r="L27" i="143"/>
  <c r="L18" i="242"/>
  <c r="G20" i="242"/>
  <c r="E19" i="242"/>
  <c r="G21" i="242"/>
  <c r="G23" i="242"/>
  <c r="H24" i="242" s="1"/>
  <c r="G18" i="242"/>
  <c r="G19" i="242"/>
  <c r="H19" i="242"/>
  <c r="K19" i="242" s="1"/>
  <c r="K20" i="242" s="1"/>
  <c r="K21" i="242" s="1"/>
  <c r="K22" i="242" s="1"/>
  <c r="K23" i="242" s="1"/>
  <c r="K24" i="242" s="1"/>
  <c r="K25" i="242" s="1"/>
  <c r="G22" i="242"/>
  <c r="E20" i="106"/>
  <c r="L19" i="106"/>
  <c r="E21" i="62"/>
  <c r="L20" i="62"/>
  <c r="F25" i="422"/>
  <c r="L17" i="72"/>
  <c r="F34" i="422"/>
  <c r="L18" i="300"/>
  <c r="L21" i="213"/>
  <c r="E22" i="213"/>
  <c r="G21" i="213"/>
  <c r="L24" i="268"/>
  <c r="E25" i="268"/>
  <c r="G24" i="268"/>
  <c r="L17" i="161"/>
  <c r="E18" i="161"/>
  <c r="G18" i="161"/>
  <c r="L61" i="95"/>
  <c r="E62" i="95"/>
  <c r="K35" i="10"/>
  <c r="I3" i="422"/>
  <c r="H3" i="422" s="1"/>
  <c r="E21" i="128"/>
  <c r="L20" i="128"/>
  <c r="G20" i="128"/>
  <c r="L17" i="297"/>
  <c r="G19" i="297"/>
  <c r="E18" i="297"/>
  <c r="L73" i="33"/>
  <c r="E74" i="33"/>
  <c r="E20" i="169"/>
  <c r="L19" i="169"/>
  <c r="G19" i="169"/>
  <c r="L20" i="132"/>
  <c r="E21" i="132"/>
  <c r="E18" i="55"/>
  <c r="L17" i="55"/>
  <c r="F101" i="175"/>
  <c r="D102" i="175"/>
  <c r="H20" i="280"/>
  <c r="K20" i="280" s="1"/>
  <c r="K21" i="280" s="1"/>
  <c r="G18" i="280"/>
  <c r="L17" i="280"/>
  <c r="G20" i="280"/>
  <c r="E18" i="280"/>
  <c r="G19" i="280"/>
  <c r="H21" i="280"/>
  <c r="E19" i="260"/>
  <c r="L18" i="260"/>
  <c r="G17" i="195"/>
  <c r="E18" i="195"/>
  <c r="L17" i="195"/>
  <c r="D54" i="203"/>
  <c r="F53" i="203"/>
  <c r="L18" i="102"/>
  <c r="E19" i="102"/>
  <c r="G21" i="137"/>
  <c r="E22" i="137"/>
  <c r="L21" i="137"/>
  <c r="L22" i="252"/>
  <c r="E23" i="252"/>
  <c r="L16" i="364"/>
  <c r="E17" i="364"/>
  <c r="G16" i="364"/>
  <c r="E25" i="154"/>
  <c r="L24" i="154"/>
  <c r="G25" i="154"/>
  <c r="L28" i="185"/>
  <c r="E29" i="185"/>
  <c r="E26" i="202"/>
  <c r="L25" i="202"/>
  <c r="L18" i="278"/>
  <c r="E19" i="278"/>
  <c r="L17" i="123"/>
  <c r="E18" i="123"/>
  <c r="E19" i="243"/>
  <c r="L18" i="243"/>
  <c r="L18" i="239"/>
  <c r="E19" i="239"/>
  <c r="G19" i="239"/>
  <c r="E18" i="293"/>
  <c r="L17" i="293"/>
  <c r="E22" i="80"/>
  <c r="L21" i="80"/>
  <c r="E20" i="288"/>
  <c r="L19" i="288"/>
  <c r="G21" i="423"/>
  <c r="E21" i="423"/>
  <c r="L20" i="423"/>
  <c r="F130" i="422"/>
  <c r="L16" i="353"/>
  <c r="D20" i="307"/>
  <c r="F19" i="307"/>
  <c r="L23" i="271"/>
  <c r="E24" i="271"/>
  <c r="G25" i="271"/>
  <c r="E21" i="203"/>
  <c r="L20" i="203"/>
  <c r="L19" i="182"/>
  <c r="E20" i="182"/>
  <c r="F18" i="57"/>
  <c r="D19" i="57"/>
  <c r="L24" i="119"/>
  <c r="E25" i="119"/>
  <c r="G30" i="129"/>
  <c r="E30" i="129"/>
  <c r="L21" i="340"/>
  <c r="E22" i="340"/>
  <c r="L20" i="369"/>
  <c r="E21" i="369"/>
  <c r="L18" i="223"/>
  <c r="E19" i="223"/>
  <c r="L135" i="175"/>
  <c r="E136" i="175"/>
  <c r="G19" i="309"/>
  <c r="E19" i="309"/>
  <c r="L18" i="309"/>
  <c r="G22" i="276"/>
  <c r="L21" i="276"/>
  <c r="E22" i="276"/>
  <c r="E19" i="226"/>
  <c r="L18" i="226"/>
  <c r="L17" i="304"/>
  <c r="E18" i="304"/>
  <c r="E33" i="170"/>
  <c r="L32" i="170"/>
  <c r="L18" i="54"/>
  <c r="E19" i="54"/>
  <c r="L48" i="132"/>
  <c r="E49" i="132"/>
  <c r="G21" i="216"/>
  <c r="L21" i="216"/>
  <c r="E22" i="216"/>
  <c r="L23" i="66"/>
  <c r="E24" i="66"/>
  <c r="G24" i="66"/>
  <c r="F72" i="33"/>
  <c r="D73" i="33"/>
  <c r="E22" i="311"/>
  <c r="L21" i="311"/>
  <c r="D24" i="106"/>
  <c r="F23" i="106"/>
  <c r="E25" i="240"/>
  <c r="L24" i="240"/>
  <c r="L19" i="209"/>
  <c r="E20" i="209"/>
  <c r="L18" i="277"/>
  <c r="E19" i="277"/>
  <c r="L22" i="254"/>
  <c r="E23" i="254"/>
  <c r="D17" i="174"/>
  <c r="F16" i="174"/>
  <c r="E18" i="247"/>
  <c r="L17" i="247"/>
  <c r="E21" i="425"/>
  <c r="L20" i="425"/>
  <c r="G20" i="94"/>
  <c r="H21" i="94" s="1"/>
  <c r="K21" i="94" s="1"/>
  <c r="K22" i="94" s="1"/>
  <c r="K23" i="94" s="1"/>
  <c r="K24" i="94" s="1"/>
  <c r="K25" i="94" s="1"/>
  <c r="K26" i="94" s="1"/>
  <c r="K27" i="94" s="1"/>
  <c r="I74" i="422" s="1"/>
  <c r="H74" i="422" s="1"/>
  <c r="E21" i="94"/>
  <c r="L20" i="94"/>
  <c r="L19" i="317"/>
  <c r="E20" i="317"/>
  <c r="E23" i="95"/>
  <c r="G22" i="95"/>
  <c r="L22" i="95"/>
  <c r="E20" i="303"/>
  <c r="G22" i="303"/>
  <c r="L19" i="303"/>
  <c r="E28" i="264"/>
  <c r="L27" i="264"/>
  <c r="L21" i="296"/>
  <c r="E22" i="296"/>
  <c r="J24" i="138"/>
  <c r="L23" i="138"/>
  <c r="F82" i="422"/>
  <c r="G22" i="269"/>
  <c r="L21" i="269"/>
  <c r="E22" i="269"/>
  <c r="L22" i="269" s="1"/>
  <c r="E21" i="108"/>
  <c r="L20" i="108"/>
  <c r="F105" i="422"/>
  <c r="L18" i="283"/>
  <c r="L19" i="174"/>
  <c r="E20" i="174"/>
  <c r="L21" i="61"/>
  <c r="E22" i="61"/>
  <c r="L19" i="267"/>
  <c r="E20" i="267"/>
  <c r="G25" i="138"/>
  <c r="E26" i="138"/>
  <c r="E21" i="224"/>
  <c r="L20" i="224"/>
  <c r="G20" i="163"/>
  <c r="E21" i="163"/>
  <c r="L20" i="163"/>
  <c r="G17" i="263"/>
  <c r="L17" i="263"/>
  <c r="E18" i="263"/>
  <c r="G19" i="325"/>
  <c r="E20" i="325"/>
  <c r="L19" i="325"/>
  <c r="L24" i="57"/>
  <c r="E25" i="57"/>
  <c r="D19" i="10"/>
  <c r="F18" i="10"/>
  <c r="D25" i="268"/>
  <c r="F24" i="268"/>
  <c r="E18" i="428"/>
  <c r="L17" i="428"/>
  <c r="H21" i="191"/>
  <c r="K21" i="191" s="1"/>
  <c r="G19" i="191"/>
  <c r="H22" i="191"/>
  <c r="L19" i="191"/>
  <c r="H23" i="191"/>
  <c r="G20" i="191"/>
  <c r="G21" i="191"/>
  <c r="G22" i="191"/>
  <c r="H24" i="191" s="1"/>
  <c r="E20" i="191"/>
  <c r="F20" i="96"/>
  <c r="D21" i="96"/>
  <c r="G18" i="295"/>
  <c r="L18" i="295"/>
  <c r="E19" i="295"/>
  <c r="E20" i="427"/>
  <c r="L19" i="427"/>
  <c r="G26" i="245"/>
  <c r="L26" i="245"/>
  <c r="E27" i="245"/>
  <c r="G20" i="112"/>
  <c r="L19" i="112"/>
  <c r="E20" i="112"/>
  <c r="L99" i="175"/>
  <c r="E100" i="175"/>
  <c r="E117" i="33"/>
  <c r="L116" i="33"/>
  <c r="F154" i="422"/>
  <c r="G21" i="368"/>
  <c r="L21" i="368"/>
  <c r="L83" i="203"/>
  <c r="E84" i="203"/>
  <c r="L24" i="111"/>
  <c r="E25" i="111"/>
  <c r="E19" i="217"/>
  <c r="L18" i="217"/>
  <c r="L18" i="96"/>
  <c r="G18" i="96"/>
  <c r="E19" i="96"/>
  <c r="E20" i="275"/>
  <c r="L19" i="275"/>
  <c r="E23" i="118"/>
  <c r="G23" i="118"/>
  <c r="L22" i="118"/>
  <c r="L22" i="104"/>
  <c r="J23" i="104"/>
  <c r="F46" i="422"/>
  <c r="L25" i="258"/>
  <c r="J6" i="422"/>
  <c r="H6" i="422" s="1"/>
  <c r="L24" i="259"/>
  <c r="E21" i="291"/>
  <c r="L21" i="291" s="1"/>
  <c r="L20" i="291"/>
  <c r="G18" i="117"/>
  <c r="E18" i="117"/>
  <c r="L17" i="117"/>
  <c r="E19" i="121"/>
  <c r="L18" i="121"/>
  <c r="D84" i="203"/>
  <c r="F83" i="203"/>
  <c r="E31" i="11"/>
  <c r="L30" i="11"/>
  <c r="D19" i="108"/>
  <c r="F18" i="108"/>
  <c r="E57" i="203"/>
  <c r="L56" i="203"/>
  <c r="E58" i="203" l="1"/>
  <c r="L57" i="203"/>
  <c r="L19" i="277"/>
  <c r="E20" i="277"/>
  <c r="G24" i="276"/>
  <c r="G26" i="276"/>
  <c r="L22" i="276"/>
  <c r="G23" i="276"/>
  <c r="E23" i="276"/>
  <c r="G25" i="276"/>
  <c r="L20" i="288"/>
  <c r="E21" i="288"/>
  <c r="G26" i="154"/>
  <c r="L25" i="154"/>
  <c r="E26" i="154"/>
  <c r="L18" i="55"/>
  <c r="E19" i="55"/>
  <c r="E19" i="199"/>
  <c r="L18" i="199"/>
  <c r="G21" i="112"/>
  <c r="E21" i="112"/>
  <c r="L20" i="112"/>
  <c r="L21" i="224"/>
  <c r="E22" i="224"/>
  <c r="E21" i="174"/>
  <c r="L20" i="174"/>
  <c r="L22" i="296"/>
  <c r="E23" i="296"/>
  <c r="L21" i="425"/>
  <c r="E22" i="425"/>
  <c r="D18" i="174"/>
  <c r="F17" i="174"/>
  <c r="L25" i="240"/>
  <c r="E26" i="240"/>
  <c r="F55" i="422"/>
  <c r="L22" i="311"/>
  <c r="G29" i="66"/>
  <c r="H32" i="66"/>
  <c r="E25" i="66"/>
  <c r="H33" i="66"/>
  <c r="H30" i="66"/>
  <c r="K30" i="66" s="1"/>
  <c r="G33" i="66"/>
  <c r="G30" i="66"/>
  <c r="H35" i="66"/>
  <c r="H34" i="66"/>
  <c r="H31" i="66"/>
  <c r="G28" i="66"/>
  <c r="G31" i="66"/>
  <c r="L24" i="66"/>
  <c r="G32" i="66"/>
  <c r="E26" i="119"/>
  <c r="L25" i="119"/>
  <c r="E21" i="182"/>
  <c r="L20" i="182"/>
  <c r="F20" i="307"/>
  <c r="D21" i="307"/>
  <c r="E22" i="423"/>
  <c r="L21" i="423"/>
  <c r="G22" i="423"/>
  <c r="L19" i="243"/>
  <c r="E20" i="243"/>
  <c r="L19" i="102"/>
  <c r="E20" i="102"/>
  <c r="E20" i="260"/>
  <c r="L19" i="260"/>
  <c r="F102" i="175"/>
  <c r="D103" i="175"/>
  <c r="E22" i="132"/>
  <c r="L21" i="132"/>
  <c r="G20" i="169"/>
  <c r="E21" i="169"/>
  <c r="L20" i="169"/>
  <c r="G21" i="128"/>
  <c r="L21" i="128"/>
  <c r="E22" i="128"/>
  <c r="G22" i="213"/>
  <c r="L22" i="213"/>
  <c r="E23" i="213"/>
  <c r="L19" i="242"/>
  <c r="E20" i="242"/>
  <c r="L28" i="143"/>
  <c r="E29" i="143"/>
  <c r="L24" i="10"/>
  <c r="E25" i="10"/>
  <c r="L19" i="121"/>
  <c r="E20" i="121"/>
  <c r="L27" i="245"/>
  <c r="E28" i="245"/>
  <c r="G27" i="245"/>
  <c r="F21" i="96"/>
  <c r="D22" i="96"/>
  <c r="E19" i="428"/>
  <c r="L18" i="428"/>
  <c r="E21" i="325"/>
  <c r="L20" i="325"/>
  <c r="G20" i="325"/>
  <c r="J25" i="138"/>
  <c r="L24" i="138"/>
  <c r="L19" i="54"/>
  <c r="E20" i="54"/>
  <c r="F13" i="422"/>
  <c r="L19" i="309"/>
  <c r="E23" i="340"/>
  <c r="L22" i="340"/>
  <c r="L21" i="203"/>
  <c r="E22" i="203"/>
  <c r="E19" i="293"/>
  <c r="L18" i="293"/>
  <c r="E30" i="185"/>
  <c r="L29" i="185"/>
  <c r="L23" i="252"/>
  <c r="E24" i="252"/>
  <c r="F30" i="422" s="1"/>
  <c r="D55" i="203"/>
  <c r="F54" i="203"/>
  <c r="L18" i="280"/>
  <c r="E19" i="280"/>
  <c r="I104" i="422"/>
  <c r="H104" i="422" s="1"/>
  <c r="K26" i="242"/>
  <c r="L19" i="96"/>
  <c r="E20" i="96"/>
  <c r="G19" i="96"/>
  <c r="L19" i="295"/>
  <c r="E20" i="295"/>
  <c r="G19" i="295"/>
  <c r="L25" i="57"/>
  <c r="E26" i="57"/>
  <c r="L20" i="267"/>
  <c r="E21" i="267"/>
  <c r="D20" i="108"/>
  <c r="F19" i="108"/>
  <c r="F84" i="203"/>
  <c r="D85" i="203"/>
  <c r="F85" i="203" s="1"/>
  <c r="G19" i="117"/>
  <c r="E19" i="117"/>
  <c r="L18" i="117"/>
  <c r="J78" i="422"/>
  <c r="H78" i="422" s="1"/>
  <c r="L23" i="104"/>
  <c r="G24" i="118"/>
  <c r="L23" i="118"/>
  <c r="E24" i="118"/>
  <c r="L25" i="111"/>
  <c r="E26" i="111"/>
  <c r="E118" i="33"/>
  <c r="L117" i="33"/>
  <c r="L20" i="191"/>
  <c r="E21" i="191"/>
  <c r="K22" i="191"/>
  <c r="K23" i="191" s="1"/>
  <c r="K24" i="191" s="1"/>
  <c r="K25" i="191" s="1"/>
  <c r="K26" i="191" s="1"/>
  <c r="K27" i="191" s="1"/>
  <c r="K28" i="191" s="1"/>
  <c r="K29" i="191" s="1"/>
  <c r="K30" i="191" s="1"/>
  <c r="K31" i="191" s="1"/>
  <c r="K32" i="191" s="1"/>
  <c r="K33" i="191" s="1"/>
  <c r="F25" i="268"/>
  <c r="D26" i="268"/>
  <c r="F26" i="268" s="1"/>
  <c r="G18" i="263"/>
  <c r="L18" i="263"/>
  <c r="E19" i="263"/>
  <c r="G21" i="163"/>
  <c r="L21" i="163"/>
  <c r="E22" i="163"/>
  <c r="E22" i="108"/>
  <c r="L21" i="108"/>
  <c r="E24" i="95"/>
  <c r="L23" i="95"/>
  <c r="G23" i="95"/>
  <c r="E22" i="94"/>
  <c r="L21" i="94"/>
  <c r="L23" i="254"/>
  <c r="E24" i="254"/>
  <c r="E21" i="209"/>
  <c r="L20" i="209"/>
  <c r="F73" i="33"/>
  <c r="D74" i="33"/>
  <c r="L49" i="132"/>
  <c r="E50" i="132"/>
  <c r="E137" i="175"/>
  <c r="L136" i="175"/>
  <c r="E22" i="369"/>
  <c r="L22" i="369" s="1"/>
  <c r="L21" i="369"/>
  <c r="G31" i="129"/>
  <c r="E31" i="129"/>
  <c r="E25" i="271"/>
  <c r="G26" i="271"/>
  <c r="L24" i="271"/>
  <c r="L22" i="80"/>
  <c r="E23" i="80"/>
  <c r="E20" i="239"/>
  <c r="G20" i="239"/>
  <c r="L19" i="239"/>
  <c r="E19" i="123"/>
  <c r="L18" i="123"/>
  <c r="G17" i="364"/>
  <c r="L17" i="364"/>
  <c r="E18" i="364"/>
  <c r="E19" i="195"/>
  <c r="L18" i="195"/>
  <c r="L74" i="33"/>
  <c r="E75" i="33"/>
  <c r="G25" i="268"/>
  <c r="G26" i="268"/>
  <c r="L25" i="268"/>
  <c r="H27" i="268"/>
  <c r="K27" i="268" s="1"/>
  <c r="E26" i="268"/>
  <c r="L26" i="268" s="1"/>
  <c r="L20" i="106"/>
  <c r="E21" i="106"/>
  <c r="L23" i="214"/>
  <c r="E24" i="214"/>
  <c r="E19" i="249"/>
  <c r="L18" i="249"/>
  <c r="E32" i="11"/>
  <c r="L31" i="11"/>
  <c r="E21" i="275"/>
  <c r="L20" i="275"/>
  <c r="L84" i="203"/>
  <c r="E85" i="203"/>
  <c r="L85" i="203" s="1"/>
  <c r="L20" i="427"/>
  <c r="E21" i="427"/>
  <c r="F19" i="10"/>
  <c r="D20" i="10"/>
  <c r="L28" i="264"/>
  <c r="E29" i="264"/>
  <c r="E19" i="304"/>
  <c r="L18" i="304"/>
  <c r="E20" i="223"/>
  <c r="L19" i="223"/>
  <c r="F33" i="422"/>
  <c r="L19" i="278"/>
  <c r="L18" i="297"/>
  <c r="G20" i="297"/>
  <c r="E19" i="297"/>
  <c r="L62" i="95"/>
  <c r="E63" i="95"/>
  <c r="L21" i="62"/>
  <c r="E22" i="62"/>
  <c r="L24" i="33"/>
  <c r="E25" i="33"/>
  <c r="L19" i="217"/>
  <c r="E20" i="217"/>
  <c r="L100" i="175"/>
  <c r="E101" i="175"/>
  <c r="G26" i="138"/>
  <c r="E27" i="138"/>
  <c r="E23" i="61"/>
  <c r="L22" i="61"/>
  <c r="G23" i="303"/>
  <c r="E21" i="303"/>
  <c r="L20" i="303"/>
  <c r="F106" i="422"/>
  <c r="L20" i="317"/>
  <c r="G20" i="247"/>
  <c r="G21" i="247"/>
  <c r="E19" i="247"/>
  <c r="L18" i="247"/>
  <c r="F24" i="106"/>
  <c r="D25" i="106"/>
  <c r="L22" i="216"/>
  <c r="G22" i="216"/>
  <c r="E23" i="216"/>
  <c r="E34" i="170"/>
  <c r="L33" i="170"/>
  <c r="E20" i="226"/>
  <c r="L19" i="226"/>
  <c r="F19" i="57"/>
  <c r="D20" i="57"/>
  <c r="L26" i="202"/>
  <c r="E27" i="202"/>
  <c r="E23" i="137"/>
  <c r="L22" i="137"/>
  <c r="L18" i="161"/>
  <c r="E19" i="161"/>
  <c r="G19" i="161"/>
  <c r="J22" i="129"/>
  <c r="L21" i="129"/>
  <c r="E21" i="81"/>
  <c r="L20" i="81"/>
  <c r="L21" i="81" l="1"/>
  <c r="E22" i="81"/>
  <c r="G20" i="161"/>
  <c r="E20" i="161"/>
  <c r="L19" i="161"/>
  <c r="E24" i="137"/>
  <c r="G23" i="137"/>
  <c r="L23" i="137"/>
  <c r="E35" i="170"/>
  <c r="L34" i="170"/>
  <c r="D26" i="106"/>
  <c r="F25" i="106"/>
  <c r="L23" i="61"/>
  <c r="E24" i="61"/>
  <c r="L101" i="175"/>
  <c r="E102" i="175"/>
  <c r="L25" i="33"/>
  <c r="E26" i="33"/>
  <c r="E64" i="95"/>
  <c r="L63" i="95"/>
  <c r="E21" i="223"/>
  <c r="L20" i="223"/>
  <c r="E22" i="275"/>
  <c r="L21" i="275"/>
  <c r="L19" i="249"/>
  <c r="E20" i="249"/>
  <c r="F74" i="33"/>
  <c r="D75" i="33"/>
  <c r="L24" i="254"/>
  <c r="E25" i="254"/>
  <c r="L22" i="108"/>
  <c r="E23" i="108"/>
  <c r="G19" i="263"/>
  <c r="E20" i="263"/>
  <c r="L19" i="263"/>
  <c r="E25" i="118"/>
  <c r="G25" i="118"/>
  <c r="L24" i="118"/>
  <c r="E22" i="267"/>
  <c r="L21" i="267"/>
  <c r="L20" i="96"/>
  <c r="E21" i="96"/>
  <c r="G20" i="96"/>
  <c r="E20" i="280"/>
  <c r="L20" i="280" s="1"/>
  <c r="L19" i="280"/>
  <c r="L20" i="54"/>
  <c r="E21" i="54"/>
  <c r="L19" i="428"/>
  <c r="E20" i="428"/>
  <c r="G28" i="245"/>
  <c r="L28" i="245"/>
  <c r="E29" i="245"/>
  <c r="L25" i="10"/>
  <c r="E26" i="10"/>
  <c r="L20" i="242"/>
  <c r="E21" i="242"/>
  <c r="L22" i="132"/>
  <c r="E23" i="132"/>
  <c r="E21" i="260"/>
  <c r="L20" i="260"/>
  <c r="E39" i="422"/>
  <c r="F21" i="307"/>
  <c r="F17" i="422"/>
  <c r="L23" i="296"/>
  <c r="L22" i="224"/>
  <c r="E23" i="224"/>
  <c r="L21" i="288"/>
  <c r="E22" i="288"/>
  <c r="E21" i="277"/>
  <c r="L20" i="277"/>
  <c r="E24" i="216"/>
  <c r="G23" i="216"/>
  <c r="L23" i="216"/>
  <c r="E22" i="303"/>
  <c r="L21" i="303"/>
  <c r="G27" i="138"/>
  <c r="E28" i="138"/>
  <c r="F20" i="10"/>
  <c r="D21" i="10"/>
  <c r="L24" i="214"/>
  <c r="E25" i="214"/>
  <c r="F166" i="422"/>
  <c r="L19" i="195"/>
  <c r="L20" i="239"/>
  <c r="E21" i="239"/>
  <c r="G21" i="239"/>
  <c r="L137" i="175"/>
  <c r="E138" i="175"/>
  <c r="G22" i="163"/>
  <c r="L22" i="163"/>
  <c r="E23" i="163"/>
  <c r="I80" i="422"/>
  <c r="H80" i="422" s="1"/>
  <c r="K34" i="191"/>
  <c r="L118" i="33"/>
  <c r="E119" i="33"/>
  <c r="G20" i="295"/>
  <c r="E21" i="295"/>
  <c r="L20" i="295"/>
  <c r="L19" i="293"/>
  <c r="E20" i="293"/>
  <c r="L23" i="340"/>
  <c r="E24" i="340"/>
  <c r="F22" i="96"/>
  <c r="D23" i="96"/>
  <c r="L22" i="128"/>
  <c r="E23" i="128"/>
  <c r="G21" i="169"/>
  <c r="E22" i="169"/>
  <c r="L21" i="169"/>
  <c r="F103" i="175"/>
  <c r="D104" i="175"/>
  <c r="L20" i="102"/>
  <c r="E21" i="102"/>
  <c r="L26" i="119"/>
  <c r="E27" i="119"/>
  <c r="L25" i="66"/>
  <c r="E26" i="66"/>
  <c r="D19" i="174"/>
  <c r="F18" i="174"/>
  <c r="G27" i="154"/>
  <c r="L26" i="154"/>
  <c r="E27" i="154"/>
  <c r="L20" i="226"/>
  <c r="E21" i="226"/>
  <c r="E21" i="217"/>
  <c r="L20" i="217"/>
  <c r="E23" i="62"/>
  <c r="L22" i="62"/>
  <c r="L19" i="297"/>
  <c r="E20" i="297"/>
  <c r="G21" i="297"/>
  <c r="L19" i="304"/>
  <c r="E20" i="304"/>
  <c r="E33" i="11"/>
  <c r="L32" i="11"/>
  <c r="E76" i="33"/>
  <c r="L75" i="33"/>
  <c r="L18" i="364"/>
  <c r="G18" i="364"/>
  <c r="E19" i="364"/>
  <c r="L19" i="123"/>
  <c r="E20" i="123"/>
  <c r="E24" i="80"/>
  <c r="L23" i="80"/>
  <c r="E26" i="271"/>
  <c r="G27" i="271"/>
  <c r="L25" i="271"/>
  <c r="L50" i="132"/>
  <c r="E51" i="132"/>
  <c r="G24" i="95"/>
  <c r="E25" i="95"/>
  <c r="L24" i="95"/>
  <c r="E22" i="191"/>
  <c r="L21" i="191"/>
  <c r="E27" i="111"/>
  <c r="L26" i="111"/>
  <c r="L19" i="117"/>
  <c r="E20" i="117"/>
  <c r="G20" i="117"/>
  <c r="L26" i="57"/>
  <c r="E27" i="57"/>
  <c r="L22" i="203"/>
  <c r="E23" i="203"/>
  <c r="E22" i="325"/>
  <c r="G27" i="325"/>
  <c r="G34" i="325"/>
  <c r="G31" i="325"/>
  <c r="G23" i="325"/>
  <c r="G29" i="325"/>
  <c r="G22" i="325"/>
  <c r="G33" i="325"/>
  <c r="L21" i="325"/>
  <c r="G32" i="325"/>
  <c r="G24" i="325"/>
  <c r="G25" i="325"/>
  <c r="G26" i="325"/>
  <c r="G28" i="325"/>
  <c r="G21" i="325"/>
  <c r="G30" i="325"/>
  <c r="G35" i="325"/>
  <c r="E21" i="121"/>
  <c r="L20" i="121"/>
  <c r="L29" i="143"/>
  <c r="E30" i="143"/>
  <c r="G23" i="213"/>
  <c r="L23" i="213"/>
  <c r="E24" i="213"/>
  <c r="L26" i="240"/>
  <c r="E27" i="240"/>
  <c r="E23" i="425"/>
  <c r="L22" i="425"/>
  <c r="E20" i="199"/>
  <c r="L19" i="199"/>
  <c r="L27" i="202"/>
  <c r="E28" i="202"/>
  <c r="J23" i="129"/>
  <c r="L22" i="129"/>
  <c r="F20" i="57"/>
  <c r="D21" i="57"/>
  <c r="E20" i="247"/>
  <c r="L19" i="247"/>
  <c r="F47" i="422"/>
  <c r="L29" i="264"/>
  <c r="E22" i="427"/>
  <c r="L21" i="427"/>
  <c r="L21" i="106"/>
  <c r="E22" i="106"/>
  <c r="E32" i="129"/>
  <c r="G32" i="129"/>
  <c r="E22" i="209"/>
  <c r="L21" i="209"/>
  <c r="E23" i="94"/>
  <c r="L22" i="94"/>
  <c r="D21" i="108"/>
  <c r="F20" i="108"/>
  <c r="D56" i="203"/>
  <c r="F55" i="203"/>
  <c r="L30" i="185"/>
  <c r="E31" i="185"/>
  <c r="J26" i="138"/>
  <c r="L25" i="138"/>
  <c r="L20" i="243"/>
  <c r="E21" i="243"/>
  <c r="L22" i="423"/>
  <c r="G23" i="423"/>
  <c r="E23" i="423"/>
  <c r="L21" i="182"/>
  <c r="E22" i="182"/>
  <c r="K31" i="66"/>
  <c r="K32" i="66" s="1"/>
  <c r="K33" i="66" s="1"/>
  <c r="K34" i="66" s="1"/>
  <c r="K35" i="66" s="1"/>
  <c r="K36" i="66" s="1"/>
  <c r="K37" i="66" s="1"/>
  <c r="K38" i="66" s="1"/>
  <c r="K39" i="66" s="1"/>
  <c r="K40" i="66" s="1"/>
  <c r="K41" i="66" s="1"/>
  <c r="K42" i="66" s="1"/>
  <c r="K43" i="66" s="1"/>
  <c r="E22" i="174"/>
  <c r="L21" i="174"/>
  <c r="L21" i="112"/>
  <c r="E22" i="112"/>
  <c r="G22" i="112"/>
  <c r="L19" i="55"/>
  <c r="E20" i="55"/>
  <c r="H29" i="276"/>
  <c r="G27" i="276"/>
  <c r="L23" i="276"/>
  <c r="H28" i="276"/>
  <c r="K28" i="276" s="1"/>
  <c r="G28" i="276"/>
  <c r="E24" i="276"/>
  <c r="E59" i="203"/>
  <c r="L58" i="203"/>
  <c r="E23" i="106" l="1"/>
  <c r="L22" i="106"/>
  <c r="L23" i="203"/>
  <c r="E24" i="203"/>
  <c r="E23" i="288"/>
  <c r="L22" i="288"/>
  <c r="E34" i="11"/>
  <c r="L33" i="11"/>
  <c r="L20" i="297"/>
  <c r="E21" i="297"/>
  <c r="G22" i="297"/>
  <c r="L27" i="154"/>
  <c r="E28" i="154"/>
  <c r="G28" i="154"/>
  <c r="D20" i="174"/>
  <c r="F19" i="174"/>
  <c r="G23" i="128"/>
  <c r="H26" i="128"/>
  <c r="H25" i="128"/>
  <c r="K25" i="128" s="1"/>
  <c r="K26" i="128" s="1"/>
  <c r="K27" i="128" s="1"/>
  <c r="K28" i="128" s="1"/>
  <c r="K29" i="128" s="1"/>
  <c r="K30" i="128" s="1"/>
  <c r="K31" i="128" s="1"/>
  <c r="K32" i="128" s="1"/>
  <c r="K33" i="128" s="1"/>
  <c r="K34" i="128" s="1"/>
  <c r="K35" i="128" s="1"/>
  <c r="K36" i="128" s="1"/>
  <c r="L23" i="128"/>
  <c r="H27" i="128"/>
  <c r="G24" i="128"/>
  <c r="E24" i="128"/>
  <c r="G25" i="128"/>
  <c r="G26" i="128"/>
  <c r="H28" i="128"/>
  <c r="E25" i="340"/>
  <c r="L24" i="340"/>
  <c r="L24" i="216"/>
  <c r="G24" i="216"/>
  <c r="E25" i="216"/>
  <c r="E22" i="260"/>
  <c r="L21" i="260"/>
  <c r="L21" i="54"/>
  <c r="E22" i="54"/>
  <c r="L22" i="267"/>
  <c r="E23" i="267"/>
  <c r="E23" i="275"/>
  <c r="L22" i="275"/>
  <c r="E65" i="95"/>
  <c r="L64" i="95"/>
  <c r="D27" i="106"/>
  <c r="F26" i="106"/>
  <c r="G24" i="423"/>
  <c r="E24" i="423"/>
  <c r="L23" i="423"/>
  <c r="F21" i="108"/>
  <c r="D22" i="108"/>
  <c r="E29" i="202"/>
  <c r="L28" i="202"/>
  <c r="G25" i="95"/>
  <c r="L25" i="95"/>
  <c r="E26" i="95"/>
  <c r="L23" i="62"/>
  <c r="E24" i="62"/>
  <c r="F104" i="175"/>
  <c r="D105" i="175"/>
  <c r="G23" i="163"/>
  <c r="L23" i="163"/>
  <c r="E24" i="163"/>
  <c r="F21" i="10"/>
  <c r="D22" i="10"/>
  <c r="E22" i="242"/>
  <c r="L21" i="242"/>
  <c r="F75" i="33"/>
  <c r="D76" i="33"/>
  <c r="I23" i="422"/>
  <c r="H23" i="422" s="1"/>
  <c r="K44" i="66"/>
  <c r="K29" i="276"/>
  <c r="K30" i="276" s="1"/>
  <c r="L20" i="55"/>
  <c r="E21" i="55"/>
  <c r="E23" i="182"/>
  <c r="L22" i="182"/>
  <c r="J27" i="138"/>
  <c r="L26" i="138"/>
  <c r="D57" i="203"/>
  <c r="F56" i="203"/>
  <c r="E24" i="94"/>
  <c r="L23" i="94"/>
  <c r="L27" i="240"/>
  <c r="E28" i="240"/>
  <c r="L21" i="121"/>
  <c r="E22" i="121"/>
  <c r="E28" i="57"/>
  <c r="L27" i="57"/>
  <c r="L22" i="191"/>
  <c r="E23" i="191"/>
  <c r="L51" i="132"/>
  <c r="E52" i="132"/>
  <c r="L26" i="271"/>
  <c r="E27" i="271"/>
  <c r="E21" i="304"/>
  <c r="L20" i="304"/>
  <c r="E22" i="217"/>
  <c r="L21" i="217"/>
  <c r="L26" i="66"/>
  <c r="E27" i="66"/>
  <c r="E22" i="102"/>
  <c r="L21" i="102"/>
  <c r="G21" i="295"/>
  <c r="L21" i="295"/>
  <c r="E22" i="239"/>
  <c r="G22" i="239"/>
  <c r="L21" i="239"/>
  <c r="L25" i="214"/>
  <c r="E26" i="214"/>
  <c r="G28" i="138"/>
  <c r="E29" i="138"/>
  <c r="E23" i="303"/>
  <c r="L22" i="303"/>
  <c r="E24" i="224"/>
  <c r="L23" i="224"/>
  <c r="L23" i="132"/>
  <c r="E24" i="132"/>
  <c r="E27" i="10"/>
  <c r="L26" i="10"/>
  <c r="G21" i="96"/>
  <c r="E22" i="96"/>
  <c r="L21" i="96"/>
  <c r="L20" i="263"/>
  <c r="G20" i="263"/>
  <c r="L25" i="254"/>
  <c r="E26" i="254"/>
  <c r="E21" i="249"/>
  <c r="L20" i="249"/>
  <c r="L26" i="33"/>
  <c r="E27" i="33"/>
  <c r="L24" i="61"/>
  <c r="E25" i="61"/>
  <c r="E25" i="137"/>
  <c r="G24" i="137"/>
  <c r="L24" i="137"/>
  <c r="L22" i="81"/>
  <c r="E23" i="81"/>
  <c r="L24" i="276"/>
  <c r="E25" i="276"/>
  <c r="E23" i="174"/>
  <c r="L22" i="174"/>
  <c r="L22" i="209"/>
  <c r="E23" i="209"/>
  <c r="D22" i="57"/>
  <c r="F21" i="57"/>
  <c r="E25" i="213"/>
  <c r="G24" i="213"/>
  <c r="L24" i="213"/>
  <c r="E28" i="111"/>
  <c r="L27" i="111"/>
  <c r="E25" i="80"/>
  <c r="L24" i="80"/>
  <c r="E28" i="119"/>
  <c r="L27" i="119"/>
  <c r="L119" i="33"/>
  <c r="E120" i="33"/>
  <c r="H31" i="245"/>
  <c r="K31" i="245" s="1"/>
  <c r="K32" i="245" s="1"/>
  <c r="K33" i="245" s="1"/>
  <c r="E30" i="245"/>
  <c r="H34" i="245"/>
  <c r="G32" i="245"/>
  <c r="G31" i="245"/>
  <c r="G29" i="245"/>
  <c r="L29" i="245"/>
  <c r="H32" i="245"/>
  <c r="G30" i="245"/>
  <c r="G33" i="245"/>
  <c r="G26" i="118"/>
  <c r="L25" i="118"/>
  <c r="E26" i="118"/>
  <c r="L23" i="108"/>
  <c r="E24" i="108"/>
  <c r="E103" i="175"/>
  <c r="L102" i="175"/>
  <c r="G21" i="161"/>
  <c r="L20" i="161"/>
  <c r="E21" i="161"/>
  <c r="E23" i="112"/>
  <c r="L22" i="112"/>
  <c r="G23" i="112"/>
  <c r="L23" i="425"/>
  <c r="E24" i="425"/>
  <c r="G21" i="117"/>
  <c r="E21" i="117"/>
  <c r="L20" i="117"/>
  <c r="E21" i="123"/>
  <c r="L20" i="123"/>
  <c r="L59" i="203"/>
  <c r="E60" i="203"/>
  <c r="L21" i="243"/>
  <c r="E22" i="243"/>
  <c r="L31" i="185"/>
  <c r="E32" i="185"/>
  <c r="H35" i="129"/>
  <c r="K35" i="129" s="1"/>
  <c r="K36" i="129" s="1"/>
  <c r="K37" i="129" s="1"/>
  <c r="K38" i="129" s="1"/>
  <c r="K39" i="129" s="1"/>
  <c r="K40" i="129" s="1"/>
  <c r="K41" i="129" s="1"/>
  <c r="K42" i="129" s="1"/>
  <c r="E33" i="129"/>
  <c r="G33" i="129"/>
  <c r="L22" i="427"/>
  <c r="E23" i="427"/>
  <c r="G22" i="247"/>
  <c r="E21" i="247"/>
  <c r="L20" i="247"/>
  <c r="G23" i="247"/>
  <c r="J24" i="129"/>
  <c r="L23" i="129"/>
  <c r="E21" i="199"/>
  <c r="L20" i="199"/>
  <c r="E31" i="143"/>
  <c r="L30" i="143"/>
  <c r="E23" i="325"/>
  <c r="L22" i="325"/>
  <c r="E20" i="364"/>
  <c r="G19" i="364"/>
  <c r="L19" i="364"/>
  <c r="E77" i="33"/>
  <c r="L76" i="33"/>
  <c r="F29" i="422"/>
  <c r="L21" i="226"/>
  <c r="F160" i="422"/>
  <c r="G22" i="169"/>
  <c r="K23" i="169" s="1"/>
  <c r="L22" i="169"/>
  <c r="F23" i="96"/>
  <c r="D24" i="96"/>
  <c r="L20" i="293"/>
  <c r="E21" i="293"/>
  <c r="L138" i="175"/>
  <c r="E139" i="175"/>
  <c r="L21" i="277"/>
  <c r="E22" i="277"/>
  <c r="E21" i="428"/>
  <c r="L20" i="428"/>
  <c r="L21" i="223"/>
  <c r="E22" i="223"/>
  <c r="E36" i="170"/>
  <c r="L35" i="170"/>
  <c r="L23" i="427" l="1"/>
  <c r="E24" i="427"/>
  <c r="L27" i="33"/>
  <c r="E28" i="33"/>
  <c r="L24" i="224"/>
  <c r="E25" i="224"/>
  <c r="E24" i="182"/>
  <c r="L23" i="182"/>
  <c r="G24" i="163"/>
  <c r="L24" i="163"/>
  <c r="E25" i="163"/>
  <c r="F22" i="108"/>
  <c r="D23" i="108"/>
  <c r="L21" i="428"/>
  <c r="E22" i="428"/>
  <c r="L23" i="112"/>
  <c r="E24" i="112"/>
  <c r="G24" i="112"/>
  <c r="E26" i="137"/>
  <c r="G25" i="137"/>
  <c r="L25" i="137"/>
  <c r="E23" i="96"/>
  <c r="L22" i="96"/>
  <c r="G22" i="96"/>
  <c r="L24" i="132"/>
  <c r="E25" i="132"/>
  <c r="F32" i="422"/>
  <c r="L27" i="271"/>
  <c r="E24" i="191"/>
  <c r="L23" i="191"/>
  <c r="L22" i="121"/>
  <c r="E23" i="121"/>
  <c r="L21" i="55"/>
  <c r="E22" i="55"/>
  <c r="L22" i="242"/>
  <c r="E23" i="242"/>
  <c r="L24" i="62"/>
  <c r="E25" i="62"/>
  <c r="L22" i="54"/>
  <c r="E23" i="54"/>
  <c r="G25" i="216"/>
  <c r="L25" i="216"/>
  <c r="E26" i="216"/>
  <c r="L25" i="340"/>
  <c r="E26" i="340"/>
  <c r="L26" i="340" s="1"/>
  <c r="L24" i="128"/>
  <c r="E25" i="128"/>
  <c r="I123" i="422"/>
  <c r="H123" i="422" s="1"/>
  <c r="K37" i="128"/>
  <c r="F20" i="174"/>
  <c r="D21" i="174"/>
  <c r="E35" i="11"/>
  <c r="L34" i="11"/>
  <c r="D25" i="96"/>
  <c r="F24" i="96"/>
  <c r="L22" i="243"/>
  <c r="E23" i="243"/>
  <c r="L28" i="57"/>
  <c r="E29" i="57"/>
  <c r="F57" i="203"/>
  <c r="D58" i="203"/>
  <c r="E66" i="95"/>
  <c r="L65" i="95"/>
  <c r="I124" i="422"/>
  <c r="K43" i="129"/>
  <c r="L21" i="123"/>
  <c r="E22" i="123"/>
  <c r="E27" i="118"/>
  <c r="L26" i="118"/>
  <c r="E29" i="119"/>
  <c r="L28" i="119"/>
  <c r="L22" i="223"/>
  <c r="E23" i="223"/>
  <c r="L22" i="277"/>
  <c r="E23" i="277"/>
  <c r="E22" i="293"/>
  <c r="L21" i="293"/>
  <c r="L21" i="247"/>
  <c r="E22" i="247"/>
  <c r="E33" i="185"/>
  <c r="L32" i="185"/>
  <c r="L60" i="203"/>
  <c r="E61" i="203"/>
  <c r="L21" i="161"/>
  <c r="E22" i="161"/>
  <c r="G22" i="161"/>
  <c r="L103" i="175"/>
  <c r="E104" i="175"/>
  <c r="E121" i="33"/>
  <c r="L120" i="33"/>
  <c r="D23" i="57"/>
  <c r="F22" i="57"/>
  <c r="E24" i="174"/>
  <c r="L23" i="174"/>
  <c r="L25" i="61"/>
  <c r="E26" i="61"/>
  <c r="L23" i="303"/>
  <c r="F171" i="422"/>
  <c r="L26" i="214"/>
  <c r="E27" i="214"/>
  <c r="L22" i="239"/>
  <c r="E23" i="239"/>
  <c r="G23" i="239"/>
  <c r="E23" i="102"/>
  <c r="L22" i="102"/>
  <c r="E23" i="217"/>
  <c r="L22" i="217"/>
  <c r="E25" i="94"/>
  <c r="L24" i="94"/>
  <c r="J28" i="138"/>
  <c r="L27" i="138"/>
  <c r="F76" i="33"/>
  <c r="D77" i="33"/>
  <c r="D23" i="10"/>
  <c r="F22" i="10"/>
  <c r="D28" i="106"/>
  <c r="F27" i="106"/>
  <c r="F49" i="422"/>
  <c r="L23" i="275"/>
  <c r="G23" i="297"/>
  <c r="L21" i="297"/>
  <c r="E22" i="297"/>
  <c r="L139" i="175"/>
  <c r="E140" i="175"/>
  <c r="L77" i="33"/>
  <c r="E78" i="33"/>
  <c r="G34" i="129"/>
  <c r="E34" i="129"/>
  <c r="L30" i="245"/>
  <c r="E31" i="245"/>
  <c r="E26" i="213"/>
  <c r="L25" i="213"/>
  <c r="G25" i="213"/>
  <c r="L26" i="254"/>
  <c r="E27" i="254"/>
  <c r="E28" i="10"/>
  <c r="L27" i="10"/>
  <c r="L21" i="304"/>
  <c r="E22" i="304"/>
  <c r="L22" i="304" s="1"/>
  <c r="L22" i="260"/>
  <c r="E23" i="260"/>
  <c r="L24" i="203"/>
  <c r="E25" i="203"/>
  <c r="E37" i="170"/>
  <c r="L36" i="170"/>
  <c r="E24" i="325"/>
  <c r="L23" i="325"/>
  <c r="E22" i="199"/>
  <c r="L21" i="199"/>
  <c r="E25" i="425"/>
  <c r="L24" i="425"/>
  <c r="I84" i="422"/>
  <c r="H84" i="422" s="1"/>
  <c r="K34" i="245"/>
  <c r="E29" i="111"/>
  <c r="L28" i="111"/>
  <c r="E24" i="81"/>
  <c r="L23" i="81"/>
  <c r="L20" i="364"/>
  <c r="E21" i="364"/>
  <c r="G20" i="364"/>
  <c r="L31" i="143"/>
  <c r="E32" i="143"/>
  <c r="J25" i="129"/>
  <c r="L24" i="129"/>
  <c r="E22" i="117"/>
  <c r="G22" i="117"/>
  <c r="L21" i="117"/>
  <c r="L24" i="108"/>
  <c r="E25" i="108"/>
  <c r="L25" i="80"/>
  <c r="E26" i="80"/>
  <c r="E24" i="209"/>
  <c r="L23" i="209"/>
  <c r="L25" i="276"/>
  <c r="E26" i="276"/>
  <c r="L21" i="249"/>
  <c r="E22" i="249"/>
  <c r="G29" i="138"/>
  <c r="E30" i="138"/>
  <c r="E28" i="66"/>
  <c r="L27" i="66"/>
  <c r="L52" i="132"/>
  <c r="E53" i="132"/>
  <c r="F103" i="422"/>
  <c r="L28" i="240"/>
  <c r="I50" i="422"/>
  <c r="H50" i="422" s="1"/>
  <c r="K31" i="276"/>
  <c r="D106" i="175"/>
  <c r="F105" i="175"/>
  <c r="E27" i="95"/>
  <c r="G26" i="95"/>
  <c r="L26" i="95"/>
  <c r="E30" i="202"/>
  <c r="L29" i="202"/>
  <c r="H29" i="423"/>
  <c r="E25" i="423"/>
  <c r="G26" i="423"/>
  <c r="H28" i="423"/>
  <c r="G27" i="423"/>
  <c r="L24" i="423"/>
  <c r="G25" i="423"/>
  <c r="H27" i="423"/>
  <c r="K27" i="423" s="1"/>
  <c r="K28" i="423" s="1"/>
  <c r="K29" i="423" s="1"/>
  <c r="K30" i="423" s="1"/>
  <c r="K31" i="423" s="1"/>
  <c r="K32" i="423" s="1"/>
  <c r="K33" i="423" s="1"/>
  <c r="K34" i="423" s="1"/>
  <c r="K35" i="423" s="1"/>
  <c r="K36" i="423" s="1"/>
  <c r="K37" i="423" s="1"/>
  <c r="K38" i="423" s="1"/>
  <c r="K39" i="423" s="1"/>
  <c r="K40" i="423" s="1"/>
  <c r="K41" i="423" s="1"/>
  <c r="E24" i="267"/>
  <c r="L23" i="267"/>
  <c r="E29" i="154"/>
  <c r="L28" i="154"/>
  <c r="G29" i="154"/>
  <c r="E24" i="288"/>
  <c r="L23" i="288"/>
  <c r="L23" i="106"/>
  <c r="E24" i="106"/>
  <c r="E28" i="95" l="1"/>
  <c r="L27" i="95"/>
  <c r="G27" i="95"/>
  <c r="G30" i="138"/>
  <c r="E31" i="138"/>
  <c r="E27" i="80"/>
  <c r="L26" i="80"/>
  <c r="G21" i="364"/>
  <c r="L21" i="364"/>
  <c r="L25" i="203"/>
  <c r="E26" i="203"/>
  <c r="E27" i="213"/>
  <c r="G26" i="213"/>
  <c r="L26" i="213"/>
  <c r="E141" i="175"/>
  <c r="L140" i="175"/>
  <c r="E28" i="214"/>
  <c r="L27" i="214"/>
  <c r="L22" i="293"/>
  <c r="E23" i="293"/>
  <c r="E24" i="54"/>
  <c r="L23" i="54"/>
  <c r="L23" i="242"/>
  <c r="E24" i="242"/>
  <c r="L28" i="33"/>
  <c r="E29" i="33"/>
  <c r="E30" i="154"/>
  <c r="G30" i="154"/>
  <c r="L29" i="154"/>
  <c r="L30" i="202"/>
  <c r="E31" i="202"/>
  <c r="L32" i="143"/>
  <c r="E33" i="143"/>
  <c r="E30" i="111"/>
  <c r="L29" i="111"/>
  <c r="L25" i="425"/>
  <c r="E26" i="425"/>
  <c r="E25" i="325"/>
  <c r="L24" i="325"/>
  <c r="E32" i="245"/>
  <c r="L31" i="245"/>
  <c r="D24" i="57"/>
  <c r="F23" i="57"/>
  <c r="L61" i="203"/>
  <c r="E62" i="203"/>
  <c r="G26" i="247"/>
  <c r="E23" i="247"/>
  <c r="L22" i="247"/>
  <c r="G27" i="247"/>
  <c r="E24" i="277"/>
  <c r="L23" i="277"/>
  <c r="E23" i="123"/>
  <c r="L22" i="123"/>
  <c r="L29" i="57"/>
  <c r="E30" i="57"/>
  <c r="F21" i="174"/>
  <c r="D22" i="174"/>
  <c r="E26" i="128"/>
  <c r="L25" i="128"/>
  <c r="G26" i="216"/>
  <c r="E27" i="216"/>
  <c r="L26" i="216"/>
  <c r="E27" i="137"/>
  <c r="G26" i="137"/>
  <c r="L26" i="137"/>
  <c r="L22" i="428"/>
  <c r="E23" i="428"/>
  <c r="G25" i="163"/>
  <c r="E26" i="163"/>
  <c r="L25" i="163"/>
  <c r="L24" i="182"/>
  <c r="E25" i="182"/>
  <c r="L26" i="276"/>
  <c r="E27" i="276"/>
  <c r="J26" i="129"/>
  <c r="L25" i="129"/>
  <c r="E35" i="129"/>
  <c r="E26" i="94"/>
  <c r="L25" i="94"/>
  <c r="E27" i="61"/>
  <c r="L26" i="61"/>
  <c r="L33" i="185"/>
  <c r="E34" i="185"/>
  <c r="E28" i="118"/>
  <c r="G28" i="118"/>
  <c r="G27" i="118"/>
  <c r="L27" i="118"/>
  <c r="E36" i="11"/>
  <c r="L35" i="11"/>
  <c r="L23" i="121"/>
  <c r="E24" i="121"/>
  <c r="L24" i="288"/>
  <c r="E25" i="288"/>
  <c r="L25" i="423"/>
  <c r="E26" i="423"/>
  <c r="F106" i="175"/>
  <c r="D107" i="175"/>
  <c r="L28" i="66"/>
  <c r="E29" i="66"/>
  <c r="L22" i="249"/>
  <c r="E23" i="249"/>
  <c r="E26" i="108"/>
  <c r="L25" i="108"/>
  <c r="L22" i="117"/>
  <c r="E23" i="117"/>
  <c r="G23" i="117"/>
  <c r="L23" i="260"/>
  <c r="E24" i="260"/>
  <c r="L78" i="33"/>
  <c r="E79" i="33"/>
  <c r="L22" i="297"/>
  <c r="E23" i="297"/>
  <c r="D24" i="10"/>
  <c r="F23" i="10"/>
  <c r="J29" i="138"/>
  <c r="L28" i="138"/>
  <c r="L23" i="217"/>
  <c r="E24" i="217"/>
  <c r="G26" i="239"/>
  <c r="G25" i="239"/>
  <c r="H28" i="239"/>
  <c r="H27" i="239"/>
  <c r="H26" i="239"/>
  <c r="K26" i="239" s="1"/>
  <c r="L23" i="239"/>
  <c r="G24" i="239"/>
  <c r="E24" i="239"/>
  <c r="E30" i="119"/>
  <c r="L29" i="119"/>
  <c r="L66" i="95"/>
  <c r="E67" i="95"/>
  <c r="L67" i="95" s="1"/>
  <c r="D26" i="96"/>
  <c r="F25" i="96"/>
  <c r="E26" i="62"/>
  <c r="L25" i="62"/>
  <c r="L22" i="55"/>
  <c r="E23" i="55"/>
  <c r="L25" i="132"/>
  <c r="E26" i="132"/>
  <c r="G23" i="96"/>
  <c r="L23" i="96"/>
  <c r="E24" i="96"/>
  <c r="E26" i="224"/>
  <c r="L25" i="224"/>
  <c r="L24" i="427"/>
  <c r="E25" i="427"/>
  <c r="I115" i="422"/>
  <c r="H115" i="422" s="1"/>
  <c r="K42" i="423"/>
  <c r="E28" i="254"/>
  <c r="L27" i="254"/>
  <c r="D29" i="106"/>
  <c r="F28" i="106"/>
  <c r="L23" i="102"/>
  <c r="E24" i="102"/>
  <c r="L104" i="175"/>
  <c r="E105" i="175"/>
  <c r="E25" i="106"/>
  <c r="L24" i="106"/>
  <c r="E25" i="267"/>
  <c r="L24" i="267"/>
  <c r="E54" i="132"/>
  <c r="L53" i="132"/>
  <c r="L24" i="209"/>
  <c r="E25" i="209"/>
  <c r="L24" i="81"/>
  <c r="E25" i="81"/>
  <c r="E23" i="199"/>
  <c r="L22" i="199"/>
  <c r="E38" i="170"/>
  <c r="L37" i="170"/>
  <c r="L28" i="10"/>
  <c r="E29" i="10"/>
  <c r="F77" i="33"/>
  <c r="D78" i="33"/>
  <c r="L24" i="174"/>
  <c r="E25" i="174"/>
  <c r="L121" i="33"/>
  <c r="E122" i="33"/>
  <c r="E23" i="161"/>
  <c r="G23" i="161"/>
  <c r="L22" i="161"/>
  <c r="L23" i="223"/>
  <c r="E24" i="223"/>
  <c r="F58" i="203"/>
  <c r="D59" i="203"/>
  <c r="L23" i="243"/>
  <c r="E24" i="243"/>
  <c r="L24" i="191"/>
  <c r="E25" i="191"/>
  <c r="G25" i="112"/>
  <c r="L24" i="112"/>
  <c r="E25" i="112"/>
  <c r="D24" i="108"/>
  <c r="F23" i="108"/>
  <c r="F29" i="106" l="1"/>
  <c r="D30" i="106"/>
  <c r="L24" i="239"/>
  <c r="E25" i="239"/>
  <c r="L24" i="217"/>
  <c r="E25" i="217"/>
  <c r="L79" i="33"/>
  <c r="E80" i="33"/>
  <c r="L26" i="108"/>
  <c r="E27" i="108"/>
  <c r="H29" i="118"/>
  <c r="H28" i="118"/>
  <c r="K28" i="118" s="1"/>
  <c r="K29" i="118" s="1"/>
  <c r="K30" i="118" s="1"/>
  <c r="K31" i="118" s="1"/>
  <c r="K32" i="118" s="1"/>
  <c r="K33" i="118" s="1"/>
  <c r="K34" i="118" s="1"/>
  <c r="K35" i="118" s="1"/>
  <c r="H30" i="118"/>
  <c r="E27" i="94"/>
  <c r="L26" i="94"/>
  <c r="J27" i="129"/>
  <c r="L26" i="129"/>
  <c r="L23" i="428"/>
  <c r="E24" i="428"/>
  <c r="E28" i="137"/>
  <c r="G27" i="137"/>
  <c r="L27" i="137"/>
  <c r="E31" i="57"/>
  <c r="L30" i="57"/>
  <c r="E24" i="247"/>
  <c r="L23" i="247"/>
  <c r="L31" i="202"/>
  <c r="E32" i="202"/>
  <c r="G31" i="154"/>
  <c r="E31" i="154"/>
  <c r="L30" i="154"/>
  <c r="L141" i="175"/>
  <c r="E142" i="175"/>
  <c r="L26" i="203"/>
  <c r="E27" i="203"/>
  <c r="L24" i="243"/>
  <c r="E25" i="243"/>
  <c r="E24" i="161"/>
  <c r="G24" i="161"/>
  <c r="L23" i="161"/>
  <c r="F77" i="422"/>
  <c r="L24" i="102"/>
  <c r="E25" i="102"/>
  <c r="L25" i="102" s="1"/>
  <c r="E24" i="117"/>
  <c r="L23" i="117"/>
  <c r="G24" i="117"/>
  <c r="F107" i="175"/>
  <c r="D108" i="175"/>
  <c r="F185" i="422"/>
  <c r="L25" i="288"/>
  <c r="L27" i="276"/>
  <c r="E28" i="276"/>
  <c r="L26" i="128"/>
  <c r="E27" i="128"/>
  <c r="L24" i="277"/>
  <c r="E25" i="277"/>
  <c r="F24" i="57"/>
  <c r="D25" i="57"/>
  <c r="L25" i="325"/>
  <c r="E26" i="325"/>
  <c r="L30" i="111"/>
  <c r="E31" i="111"/>
  <c r="L29" i="33"/>
  <c r="E30" i="33"/>
  <c r="E28" i="80"/>
  <c r="L27" i="80"/>
  <c r="E27" i="224"/>
  <c r="L26" i="224"/>
  <c r="E123" i="33"/>
  <c r="L122" i="33"/>
  <c r="E26" i="81"/>
  <c r="L25" i="81"/>
  <c r="F24" i="10"/>
  <c r="D25" i="10"/>
  <c r="H26" i="249"/>
  <c r="G25" i="249"/>
  <c r="H27" i="249"/>
  <c r="G24" i="249"/>
  <c r="H25" i="249"/>
  <c r="K25" i="249" s="1"/>
  <c r="K26" i="249" s="1"/>
  <c r="L23" i="249"/>
  <c r="E24" i="249"/>
  <c r="G26" i="249"/>
  <c r="D25" i="108"/>
  <c r="F24" i="108"/>
  <c r="E26" i="191"/>
  <c r="L25" i="191"/>
  <c r="D60" i="203"/>
  <c r="F59" i="203"/>
  <c r="E39" i="170"/>
  <c r="L38" i="170"/>
  <c r="E55" i="132"/>
  <c r="L54" i="132"/>
  <c r="L25" i="106"/>
  <c r="E26" i="106"/>
  <c r="F139" i="422"/>
  <c r="L28" i="254"/>
  <c r="L23" i="55"/>
  <c r="E24" i="55"/>
  <c r="F12" i="422"/>
  <c r="L23" i="297"/>
  <c r="L24" i="260"/>
  <c r="E25" i="260"/>
  <c r="E37" i="11"/>
  <c r="L36" i="11"/>
  <c r="L28" i="118"/>
  <c r="E29" i="118"/>
  <c r="L27" i="61"/>
  <c r="E28" i="61"/>
  <c r="E36" i="129"/>
  <c r="L26" i="163"/>
  <c r="E27" i="163"/>
  <c r="G26" i="163"/>
  <c r="G27" i="216"/>
  <c r="E28" i="216"/>
  <c r="L27" i="216"/>
  <c r="F22" i="174"/>
  <c r="D23" i="174"/>
  <c r="D24" i="174" s="1"/>
  <c r="D25" i="174" s="1"/>
  <c r="D26" i="174" s="1"/>
  <c r="D27" i="174" s="1"/>
  <c r="D28" i="174" s="1"/>
  <c r="D29" i="174" s="1"/>
  <c r="D30" i="174" s="1"/>
  <c r="D31" i="174" s="1"/>
  <c r="D32" i="174" s="1"/>
  <c r="D33" i="174" s="1"/>
  <c r="D34" i="174" s="1"/>
  <c r="D35" i="174" s="1"/>
  <c r="D36" i="174" s="1"/>
  <c r="D37" i="174" s="1"/>
  <c r="D38" i="174" s="1"/>
  <c r="D39" i="174" s="1"/>
  <c r="D40" i="174" s="1"/>
  <c r="E181" i="422" s="1"/>
  <c r="E63" i="203"/>
  <c r="L62" i="203"/>
  <c r="L26" i="425"/>
  <c r="E27" i="425"/>
  <c r="E34" i="143"/>
  <c r="L33" i="143"/>
  <c r="L24" i="54"/>
  <c r="E25" i="54"/>
  <c r="E29" i="214"/>
  <c r="L28" i="214"/>
  <c r="G31" i="138"/>
  <c r="E32" i="138"/>
  <c r="L24" i="223"/>
  <c r="E25" i="223"/>
  <c r="E24" i="199"/>
  <c r="L23" i="199"/>
  <c r="L25" i="267"/>
  <c r="E26" i="267"/>
  <c r="L26" i="132"/>
  <c r="E27" i="132"/>
  <c r="D79" i="33"/>
  <c r="F78" i="33"/>
  <c r="L25" i="427"/>
  <c r="E26" i="427"/>
  <c r="L24" i="96"/>
  <c r="E25" i="96"/>
  <c r="G24" i="96"/>
  <c r="L26" i="62"/>
  <c r="E27" i="62"/>
  <c r="G26" i="112"/>
  <c r="L25" i="112"/>
  <c r="E26" i="112"/>
  <c r="L25" i="174"/>
  <c r="E26" i="174"/>
  <c r="L29" i="10"/>
  <c r="E30" i="10"/>
  <c r="L25" i="209"/>
  <c r="E26" i="209"/>
  <c r="L105" i="175"/>
  <c r="E106" i="175"/>
  <c r="F26" i="96"/>
  <c r="D27" i="96"/>
  <c r="L30" i="119"/>
  <c r="E31" i="119"/>
  <c r="K27" i="239"/>
  <c r="K28" i="239" s="1"/>
  <c r="K29" i="239" s="1"/>
  <c r="K30" i="239" s="1"/>
  <c r="K31" i="239" s="1"/>
  <c r="K32" i="239" s="1"/>
  <c r="K33" i="239" s="1"/>
  <c r="K34" i="239" s="1"/>
  <c r="K35" i="239" s="1"/>
  <c r="K36" i="239" s="1"/>
  <c r="K37" i="239" s="1"/>
  <c r="K38" i="239" s="1"/>
  <c r="K39" i="239" s="1"/>
  <c r="K40" i="239" s="1"/>
  <c r="J30" i="138"/>
  <c r="L29" i="138"/>
  <c r="L29" i="66"/>
  <c r="E30" i="66"/>
  <c r="L26" i="423"/>
  <c r="E27" i="423"/>
  <c r="E25" i="121"/>
  <c r="L24" i="121"/>
  <c r="F102" i="422"/>
  <c r="L34" i="185"/>
  <c r="L25" i="182"/>
  <c r="E26" i="182"/>
  <c r="L23" i="123"/>
  <c r="E24" i="123"/>
  <c r="E33" i="245"/>
  <c r="L32" i="245"/>
  <c r="E25" i="242"/>
  <c r="L24" i="242"/>
  <c r="L23" i="293"/>
  <c r="E24" i="293"/>
  <c r="G27" i="213"/>
  <c r="L27" i="213"/>
  <c r="E28" i="213"/>
  <c r="G28" i="95"/>
  <c r="L28" i="95"/>
  <c r="E29" i="95"/>
  <c r="L27" i="423" l="1"/>
  <c r="E28" i="423"/>
  <c r="I101" i="422"/>
  <c r="H101" i="422" s="1"/>
  <c r="K41" i="239"/>
  <c r="L27" i="62"/>
  <c r="E28" i="62"/>
  <c r="F79" i="33"/>
  <c r="D80" i="33"/>
  <c r="E28" i="163"/>
  <c r="L27" i="163"/>
  <c r="G27" i="163"/>
  <c r="E29" i="61"/>
  <c r="L28" i="61"/>
  <c r="L30" i="33"/>
  <c r="E31" i="33"/>
  <c r="L26" i="325"/>
  <c r="E27" i="325"/>
  <c r="E26" i="277"/>
  <c r="L25" i="277"/>
  <c r="L28" i="276"/>
  <c r="E29" i="276"/>
  <c r="G29" i="276"/>
  <c r="D109" i="175"/>
  <c r="F108" i="175"/>
  <c r="E25" i="117"/>
  <c r="L24" i="117"/>
  <c r="G25" i="117"/>
  <c r="L32" i="202"/>
  <c r="E33" i="202"/>
  <c r="E29" i="137"/>
  <c r="G28" i="137"/>
  <c r="L28" i="137"/>
  <c r="J28" i="129"/>
  <c r="L27" i="129"/>
  <c r="I116" i="422"/>
  <c r="H116" i="422" s="1"/>
  <c r="K36" i="118"/>
  <c r="L80" i="33"/>
  <c r="E81" i="33"/>
  <c r="L25" i="239"/>
  <c r="E26" i="239"/>
  <c r="G29" i="95"/>
  <c r="L29" i="95"/>
  <c r="E30" i="95"/>
  <c r="E25" i="123"/>
  <c r="L24" i="123"/>
  <c r="E25" i="293"/>
  <c r="L24" i="293"/>
  <c r="E27" i="182"/>
  <c r="L26" i="182"/>
  <c r="L30" i="66"/>
  <c r="E31" i="66"/>
  <c r="G28" i="213"/>
  <c r="L28" i="213"/>
  <c r="H29" i="213"/>
  <c r="K29" i="213" s="1"/>
  <c r="K30" i="213" s="1"/>
  <c r="K31" i="213" s="1"/>
  <c r="K32" i="213" s="1"/>
  <c r="K33" i="213" s="1"/>
  <c r="K34" i="213" s="1"/>
  <c r="K35" i="213" s="1"/>
  <c r="K36" i="213" s="1"/>
  <c r="K37" i="213" s="1"/>
  <c r="K38" i="213" s="1"/>
  <c r="K39" i="213" s="1"/>
  <c r="K40" i="213" s="1"/>
  <c r="K41" i="213" s="1"/>
  <c r="K42" i="213" s="1"/>
  <c r="K43" i="213" s="1"/>
  <c r="K44" i="213" s="1"/>
  <c r="K45" i="213" s="1"/>
  <c r="K46" i="213" s="1"/>
  <c r="K47" i="213" s="1"/>
  <c r="K48" i="213" s="1"/>
  <c r="K49" i="213" s="1"/>
  <c r="K50" i="213" s="1"/>
  <c r="K51" i="213" s="1"/>
  <c r="K52" i="213" s="1"/>
  <c r="K53" i="213" s="1"/>
  <c r="K54" i="213" s="1"/>
  <c r="K55" i="213" s="1"/>
  <c r="K56" i="213" s="1"/>
  <c r="K57" i="213" s="1"/>
  <c r="K58" i="213" s="1"/>
  <c r="K59" i="213" s="1"/>
  <c r="K60" i="213" s="1"/>
  <c r="E29" i="213"/>
  <c r="F84" i="422"/>
  <c r="L33" i="245"/>
  <c r="F121" i="422"/>
  <c r="L25" i="121"/>
  <c r="E26" i="121"/>
  <c r="L26" i="121" s="1"/>
  <c r="E32" i="119"/>
  <c r="L31" i="119"/>
  <c r="E107" i="175"/>
  <c r="L106" i="175"/>
  <c r="E31" i="10"/>
  <c r="L30" i="10"/>
  <c r="E27" i="112"/>
  <c r="G27" i="112"/>
  <c r="L26" i="112"/>
  <c r="L26" i="427"/>
  <c r="E27" i="427"/>
  <c r="L27" i="132"/>
  <c r="E28" i="132"/>
  <c r="L28" i="132" s="1"/>
  <c r="H34" i="138"/>
  <c r="K34" i="138" s="1"/>
  <c r="K35" i="138" s="1"/>
  <c r="G32" i="138"/>
  <c r="E33" i="138"/>
  <c r="E30" i="214"/>
  <c r="L29" i="214"/>
  <c r="L34" i="143"/>
  <c r="E35" i="143"/>
  <c r="L63" i="203"/>
  <c r="E64" i="203"/>
  <c r="G28" i="216"/>
  <c r="E29" i="216"/>
  <c r="L28" i="216"/>
  <c r="E38" i="11"/>
  <c r="L37" i="11"/>
  <c r="L55" i="132"/>
  <c r="E56" i="132"/>
  <c r="F60" i="203"/>
  <c r="D61" i="203"/>
  <c r="D26" i="108"/>
  <c r="D27" i="108" s="1"/>
  <c r="D28" i="108" s="1"/>
  <c r="D29" i="108" s="1"/>
  <c r="D30" i="108" s="1"/>
  <c r="D31" i="108" s="1"/>
  <c r="D32" i="108" s="1"/>
  <c r="D33" i="108" s="1"/>
  <c r="D34" i="108" s="1"/>
  <c r="D35" i="108" s="1"/>
  <c r="D36" i="108" s="1"/>
  <c r="D37" i="108" s="1"/>
  <c r="D38" i="108" s="1"/>
  <c r="D39" i="108" s="1"/>
  <c r="D40" i="108" s="1"/>
  <c r="D41" i="108" s="1"/>
  <c r="D42" i="108" s="1"/>
  <c r="D43" i="108" s="1"/>
  <c r="D44" i="108" s="1"/>
  <c r="D45" i="108" s="1"/>
  <c r="D46" i="108" s="1"/>
  <c r="D47" i="108" s="1"/>
  <c r="D48" i="108" s="1"/>
  <c r="D49" i="108" s="1"/>
  <c r="D50" i="108" s="1"/>
  <c r="D51" i="108" s="1"/>
  <c r="D52" i="108" s="1"/>
  <c r="D53" i="108" s="1"/>
  <c r="D54" i="108" s="1"/>
  <c r="D55" i="108" s="1"/>
  <c r="D56" i="108" s="1"/>
  <c r="D57" i="108" s="1"/>
  <c r="D58" i="108" s="1"/>
  <c r="E98" i="422" s="1"/>
  <c r="F25" i="108"/>
  <c r="K27" i="249"/>
  <c r="K28" i="249" s="1"/>
  <c r="K29" i="249" s="1"/>
  <c r="K30" i="249" s="1"/>
  <c r="K31" i="249" s="1"/>
  <c r="K32" i="249" s="1"/>
  <c r="K33" i="249" s="1"/>
  <c r="K34" i="249" s="1"/>
  <c r="K35" i="249" s="1"/>
  <c r="K36" i="249" s="1"/>
  <c r="K37" i="249" s="1"/>
  <c r="E27" i="81"/>
  <c r="L26" i="81"/>
  <c r="L27" i="224"/>
  <c r="E28" i="224"/>
  <c r="L27" i="203"/>
  <c r="E28" i="203"/>
  <c r="E32" i="57"/>
  <c r="L31" i="57"/>
  <c r="E25" i="428"/>
  <c r="L24" i="428"/>
  <c r="E25" i="199"/>
  <c r="L24" i="199"/>
  <c r="L25" i="54"/>
  <c r="E26" i="54"/>
  <c r="L27" i="425"/>
  <c r="E28" i="425"/>
  <c r="L29" i="118"/>
  <c r="E30" i="118"/>
  <c r="E26" i="260"/>
  <c r="L25" i="260"/>
  <c r="L24" i="55"/>
  <c r="E25" i="55"/>
  <c r="E27" i="106"/>
  <c r="L26" i="106"/>
  <c r="F25" i="10"/>
  <c r="D26" i="10"/>
  <c r="L31" i="111"/>
  <c r="E32" i="111"/>
  <c r="F25" i="57"/>
  <c r="D26" i="57"/>
  <c r="L27" i="128"/>
  <c r="E28" i="128"/>
  <c r="L24" i="161"/>
  <c r="E25" i="161"/>
  <c r="G25" i="161"/>
  <c r="L31" i="154"/>
  <c r="E32" i="154"/>
  <c r="G32" i="154"/>
  <c r="F74" i="422"/>
  <c r="L27" i="94"/>
  <c r="L27" i="108"/>
  <c r="E28" i="108"/>
  <c r="E26" i="217"/>
  <c r="L25" i="217"/>
  <c r="D31" i="106"/>
  <c r="F30" i="106"/>
  <c r="F104" i="422"/>
  <c r="L25" i="242"/>
  <c r="J31" i="138"/>
  <c r="L30" i="138"/>
  <c r="D28" i="96"/>
  <c r="F27" i="96"/>
  <c r="E27" i="209"/>
  <c r="L26" i="209"/>
  <c r="L26" i="174"/>
  <c r="E27" i="174"/>
  <c r="G25" i="96"/>
  <c r="L25" i="96"/>
  <c r="E26" i="96"/>
  <c r="E27" i="267"/>
  <c r="L26" i="267"/>
  <c r="L25" i="223"/>
  <c r="E26" i="223"/>
  <c r="E37" i="129"/>
  <c r="E40" i="170"/>
  <c r="L39" i="170"/>
  <c r="L26" i="191"/>
  <c r="E27" i="191"/>
  <c r="L24" i="249"/>
  <c r="E25" i="249"/>
  <c r="E124" i="33"/>
  <c r="L123" i="33"/>
  <c r="L28" i="80"/>
  <c r="E29" i="80"/>
  <c r="L25" i="243"/>
  <c r="E26" i="243"/>
  <c r="L142" i="175"/>
  <c r="E143" i="175"/>
  <c r="L24" i="247"/>
  <c r="E25" i="247"/>
  <c r="G28" i="247"/>
  <c r="L28" i="108" l="1"/>
  <c r="E29" i="108"/>
  <c r="E28" i="209"/>
  <c r="L27" i="209"/>
  <c r="D27" i="57"/>
  <c r="F26" i="57"/>
  <c r="D27" i="10"/>
  <c r="F26" i="10"/>
  <c r="E31" i="118"/>
  <c r="L30" i="118"/>
  <c r="L26" i="54"/>
  <c r="E27" i="54"/>
  <c r="L28" i="203"/>
  <c r="E29" i="203"/>
  <c r="L25" i="247"/>
  <c r="E26" i="247"/>
  <c r="E38" i="129"/>
  <c r="J32" i="138"/>
  <c r="L31" i="138"/>
  <c r="E26" i="428"/>
  <c r="L25" i="428"/>
  <c r="D62" i="203"/>
  <c r="F61" i="203"/>
  <c r="L27" i="182"/>
  <c r="E28" i="182"/>
  <c r="L25" i="123"/>
  <c r="E26" i="123"/>
  <c r="L26" i="239"/>
  <c r="E27" i="239"/>
  <c r="L29" i="61"/>
  <c r="E30" i="61"/>
  <c r="D81" i="33"/>
  <c r="F80" i="33"/>
  <c r="L124" i="33"/>
  <c r="E125" i="33"/>
  <c r="E28" i="267"/>
  <c r="L27" i="267"/>
  <c r="E28" i="174"/>
  <c r="L27" i="174"/>
  <c r="E29" i="128"/>
  <c r="L28" i="128"/>
  <c r="F99" i="422"/>
  <c r="L32" i="111"/>
  <c r="L28" i="425"/>
  <c r="E29" i="425"/>
  <c r="L28" i="224"/>
  <c r="E29" i="224"/>
  <c r="E39" i="11"/>
  <c r="L38" i="11"/>
  <c r="L64" i="203"/>
  <c r="E65" i="203"/>
  <c r="L65" i="203" s="1"/>
  <c r="E28" i="427"/>
  <c r="L28" i="427" s="1"/>
  <c r="L27" i="427"/>
  <c r="L27" i="112"/>
  <c r="E28" i="112"/>
  <c r="G28" i="112"/>
  <c r="L107" i="175"/>
  <c r="E108" i="175"/>
  <c r="L29" i="213"/>
  <c r="E30" i="213"/>
  <c r="L31" i="66"/>
  <c r="E32" i="66"/>
  <c r="E31" i="95"/>
  <c r="G30" i="95"/>
  <c r="L30" i="95"/>
  <c r="D110" i="175"/>
  <c r="F109" i="175"/>
  <c r="L31" i="33"/>
  <c r="E32" i="33"/>
  <c r="E41" i="170"/>
  <c r="L40" i="170"/>
  <c r="L25" i="161"/>
  <c r="E26" i="161"/>
  <c r="G26" i="161"/>
  <c r="L25" i="55"/>
  <c r="E26" i="55"/>
  <c r="L26" i="243"/>
  <c r="E27" i="243"/>
  <c r="L27" i="243" s="1"/>
  <c r="L27" i="191"/>
  <c r="E28" i="191"/>
  <c r="F31" i="106"/>
  <c r="D32" i="106"/>
  <c r="L32" i="154"/>
  <c r="E33" i="154"/>
  <c r="G33" i="154"/>
  <c r="L27" i="81"/>
  <c r="E28" i="81"/>
  <c r="L143" i="175"/>
  <c r="E144" i="175"/>
  <c r="L144" i="175" s="1"/>
  <c r="L29" i="80"/>
  <c r="E30" i="80"/>
  <c r="L25" i="249"/>
  <c r="E26" i="249"/>
  <c r="L26" i="223"/>
  <c r="E27" i="223"/>
  <c r="G26" i="96"/>
  <c r="L26" i="96"/>
  <c r="E27" i="96"/>
  <c r="F28" i="96"/>
  <c r="D29" i="96"/>
  <c r="L26" i="217"/>
  <c r="E27" i="217"/>
  <c r="L27" i="106"/>
  <c r="E28" i="106"/>
  <c r="F7" i="422"/>
  <c r="L26" i="260"/>
  <c r="E26" i="199"/>
  <c r="L25" i="199"/>
  <c r="E33" i="57"/>
  <c r="L32" i="57"/>
  <c r="L56" i="132"/>
  <c r="E57" i="132"/>
  <c r="E31" i="214"/>
  <c r="L30" i="214"/>
  <c r="I22" i="422"/>
  <c r="H22" i="422" s="1"/>
  <c r="K61" i="213"/>
  <c r="L25" i="293"/>
  <c r="E26" i="293"/>
  <c r="L26" i="293" s="1"/>
  <c r="L81" i="33"/>
  <c r="E82" i="33"/>
  <c r="G29" i="137"/>
  <c r="E30" i="137"/>
  <c r="L29" i="137"/>
  <c r="F48" i="422"/>
  <c r="L26" i="277"/>
  <c r="L28" i="62"/>
  <c r="E29" i="62"/>
  <c r="E29" i="423"/>
  <c r="L28" i="423"/>
  <c r="G29" i="216"/>
  <c r="E30" i="216"/>
  <c r="L29" i="216"/>
  <c r="L35" i="143"/>
  <c r="E36" i="143"/>
  <c r="G33" i="138"/>
  <c r="E34" i="138"/>
  <c r="L31" i="10"/>
  <c r="E32" i="10"/>
  <c r="E33" i="119"/>
  <c r="L32" i="119"/>
  <c r="J29" i="129"/>
  <c r="L28" i="129"/>
  <c r="E34" i="202"/>
  <c r="L33" i="202"/>
  <c r="G26" i="117"/>
  <c r="E26" i="117"/>
  <c r="L25" i="117"/>
  <c r="L29" i="276"/>
  <c r="G30" i="276"/>
  <c r="E30" i="276"/>
  <c r="L27" i="325"/>
  <c r="E28" i="325"/>
  <c r="L28" i="163"/>
  <c r="E29" i="163"/>
  <c r="G28" i="163"/>
  <c r="L36" i="143" l="1"/>
  <c r="E37" i="143"/>
  <c r="G27" i="96"/>
  <c r="L27" i="96"/>
  <c r="E28" i="96"/>
  <c r="F32" i="106"/>
  <c r="D33" i="106"/>
  <c r="E33" i="66"/>
  <c r="L32" i="66"/>
  <c r="J33" i="138"/>
  <c r="L32" i="138"/>
  <c r="D28" i="10"/>
  <c r="F27" i="10"/>
  <c r="L28" i="325"/>
  <c r="E29" i="325"/>
  <c r="G29" i="163"/>
  <c r="L29" i="163"/>
  <c r="E30" i="163"/>
  <c r="F50" i="422"/>
  <c r="L30" i="276"/>
  <c r="G27" i="117"/>
  <c r="E27" i="117"/>
  <c r="L26" i="117"/>
  <c r="E33" i="10"/>
  <c r="L32" i="10"/>
  <c r="E31" i="216"/>
  <c r="G30" i="216"/>
  <c r="L30" i="216"/>
  <c r="E30" i="62"/>
  <c r="L29" i="62"/>
  <c r="E27" i="199"/>
  <c r="L26" i="199"/>
  <c r="L27" i="223"/>
  <c r="E28" i="223"/>
  <c r="E31" i="80"/>
  <c r="L30" i="80"/>
  <c r="E29" i="81"/>
  <c r="L28" i="81"/>
  <c r="E32" i="95"/>
  <c r="L31" i="95"/>
  <c r="G31" i="95"/>
  <c r="G29" i="112"/>
  <c r="L28" i="112"/>
  <c r="E29" i="112"/>
  <c r="G30" i="224"/>
  <c r="E30" i="224"/>
  <c r="L29" i="224"/>
  <c r="E126" i="33"/>
  <c r="L125" i="33"/>
  <c r="L30" i="61"/>
  <c r="E31" i="61"/>
  <c r="E27" i="123"/>
  <c r="L26" i="123"/>
  <c r="L26" i="247"/>
  <c r="E27" i="247"/>
  <c r="E28" i="54"/>
  <c r="L27" i="54"/>
  <c r="F5" i="422"/>
  <c r="L28" i="209"/>
  <c r="G30" i="137"/>
  <c r="E31" i="137"/>
  <c r="L30" i="137"/>
  <c r="F161" i="422"/>
  <c r="L41" i="170"/>
  <c r="E32" i="214"/>
  <c r="L31" i="214"/>
  <c r="L33" i="57"/>
  <c r="E34" i="57"/>
  <c r="L26" i="249"/>
  <c r="E27" i="249"/>
  <c r="E27" i="161"/>
  <c r="G27" i="161"/>
  <c r="L26" i="161"/>
  <c r="E33" i="33"/>
  <c r="L32" i="33"/>
  <c r="L29" i="425"/>
  <c r="E30" i="425"/>
  <c r="L27" i="239"/>
  <c r="E28" i="239"/>
  <c r="L28" i="182"/>
  <c r="E29" i="182"/>
  <c r="L29" i="203"/>
  <c r="E30" i="203"/>
  <c r="E30" i="108"/>
  <c r="L29" i="108"/>
  <c r="J30" i="129"/>
  <c r="L29" i="129"/>
  <c r="L27" i="217"/>
  <c r="E28" i="217"/>
  <c r="D111" i="175"/>
  <c r="F110" i="175"/>
  <c r="E109" i="175"/>
  <c r="L108" i="175"/>
  <c r="L28" i="174"/>
  <c r="E29" i="174"/>
  <c r="F62" i="203"/>
  <c r="D63" i="203"/>
  <c r="L34" i="202"/>
  <c r="E35" i="202"/>
  <c r="E34" i="119"/>
  <c r="L33" i="119"/>
  <c r="L29" i="423"/>
  <c r="E30" i="423"/>
  <c r="L82" i="33"/>
  <c r="E83" i="33"/>
  <c r="L57" i="132"/>
  <c r="E58" i="132"/>
  <c r="L28" i="106"/>
  <c r="E29" i="106"/>
  <c r="F29" i="96"/>
  <c r="D30" i="96"/>
  <c r="E34" i="154"/>
  <c r="G34" i="154"/>
  <c r="L33" i="154"/>
  <c r="L28" i="191"/>
  <c r="E29" i="191"/>
  <c r="E27" i="55"/>
  <c r="L26" i="55"/>
  <c r="L30" i="213"/>
  <c r="E31" i="213"/>
  <c r="E40" i="11"/>
  <c r="L39" i="11"/>
  <c r="E30" i="128"/>
  <c r="L29" i="128"/>
  <c r="F128" i="422"/>
  <c r="L28" i="267"/>
  <c r="F81" i="33"/>
  <c r="D82" i="33"/>
  <c r="L26" i="428"/>
  <c r="E27" i="428"/>
  <c r="L27" i="428" s="1"/>
  <c r="E39" i="129"/>
  <c r="L31" i="118"/>
  <c r="E32" i="118"/>
  <c r="F27" i="57"/>
  <c r="D28" i="57"/>
  <c r="E31" i="423" l="1"/>
  <c r="L30" i="423"/>
  <c r="L126" i="33"/>
  <c r="E127" i="33"/>
  <c r="E34" i="10"/>
  <c r="L33" i="10"/>
  <c r="F28" i="10"/>
  <c r="D29" i="10"/>
  <c r="L33" i="66"/>
  <c r="E34" i="66"/>
  <c r="E40" i="129"/>
  <c r="F28" i="422"/>
  <c r="L35" i="202"/>
  <c r="L30" i="203"/>
  <c r="E31" i="203"/>
  <c r="G28" i="161"/>
  <c r="E28" i="161"/>
  <c r="L27" i="161"/>
  <c r="E29" i="54"/>
  <c r="L28" i="54"/>
  <c r="E32" i="61"/>
  <c r="L31" i="61"/>
  <c r="E32" i="80"/>
  <c r="L31" i="80"/>
  <c r="E28" i="199"/>
  <c r="L27" i="199"/>
  <c r="L29" i="325"/>
  <c r="E30" i="325"/>
  <c r="F33" i="106"/>
  <c r="D34" i="106"/>
  <c r="L30" i="128"/>
  <c r="E31" i="128"/>
  <c r="E59" i="132"/>
  <c r="L58" i="132"/>
  <c r="L32" i="118"/>
  <c r="E33" i="118"/>
  <c r="J31" i="129"/>
  <c r="L30" i="129"/>
  <c r="E34" i="33"/>
  <c r="L33" i="33"/>
  <c r="E28" i="249"/>
  <c r="L27" i="249"/>
  <c r="G32" i="95"/>
  <c r="E33" i="95"/>
  <c r="L32" i="95"/>
  <c r="D64" i="203"/>
  <c r="F63" i="203"/>
  <c r="E29" i="217"/>
  <c r="L28" i="217"/>
  <c r="L29" i="182"/>
  <c r="E30" i="182"/>
  <c r="L30" i="425"/>
  <c r="E31" i="425"/>
  <c r="L32" i="214"/>
  <c r="E33" i="214"/>
  <c r="E31" i="224"/>
  <c r="G31" i="224"/>
  <c r="L30" i="224"/>
  <c r="F45" i="422"/>
  <c r="L28" i="223"/>
  <c r="G31" i="216"/>
  <c r="E32" i="216"/>
  <c r="L31" i="216"/>
  <c r="L27" i="117"/>
  <c r="G28" i="117"/>
  <c r="E28" i="117"/>
  <c r="E31" i="163"/>
  <c r="L30" i="163"/>
  <c r="G30" i="163"/>
  <c r="J34" i="138"/>
  <c r="L34" i="138" s="1"/>
  <c r="L33" i="138"/>
  <c r="L37" i="143"/>
  <c r="E38" i="143"/>
  <c r="F30" i="96"/>
  <c r="D31" i="96"/>
  <c r="E30" i="174"/>
  <c r="L29" i="174"/>
  <c r="L28" i="239"/>
  <c r="E29" i="239"/>
  <c r="L27" i="123"/>
  <c r="E28" i="123"/>
  <c r="G30" i="112"/>
  <c r="L29" i="112"/>
  <c r="E30" i="112"/>
  <c r="D112" i="175"/>
  <c r="F111" i="175"/>
  <c r="L27" i="247"/>
  <c r="E28" i="247"/>
  <c r="E41" i="11"/>
  <c r="L40" i="11"/>
  <c r="E28" i="55"/>
  <c r="L27" i="55"/>
  <c r="E30" i="106"/>
  <c r="L29" i="106"/>
  <c r="L83" i="33"/>
  <c r="E84" i="33"/>
  <c r="D29" i="57"/>
  <c r="F28" i="57"/>
  <c r="F82" i="33"/>
  <c r="D83" i="33"/>
  <c r="L31" i="213"/>
  <c r="E32" i="213"/>
  <c r="L29" i="191"/>
  <c r="E30" i="191"/>
  <c r="L34" i="154"/>
  <c r="E35" i="154"/>
  <c r="G35" i="154"/>
  <c r="L34" i="119"/>
  <c r="E35" i="119"/>
  <c r="L109" i="175"/>
  <c r="E110" i="175"/>
  <c r="L30" i="108"/>
  <c r="E31" i="108"/>
  <c r="L34" i="57"/>
  <c r="E35" i="57"/>
  <c r="G31" i="137"/>
  <c r="E32" i="137"/>
  <c r="L31" i="137"/>
  <c r="L29" i="81"/>
  <c r="E30" i="81"/>
  <c r="L30" i="62"/>
  <c r="E31" i="62"/>
  <c r="E29" i="96"/>
  <c r="G28" i="96"/>
  <c r="L28" i="96"/>
  <c r="E32" i="62" l="1"/>
  <c r="L31" i="62"/>
  <c r="G29" i="96"/>
  <c r="L29" i="96"/>
  <c r="E30" i="96"/>
  <c r="E36" i="57"/>
  <c r="L35" i="57"/>
  <c r="L110" i="175"/>
  <c r="E111" i="175"/>
  <c r="L28" i="55"/>
  <c r="E29" i="55"/>
  <c r="L29" i="239"/>
  <c r="E30" i="239"/>
  <c r="D32" i="96"/>
  <c r="F31" i="96"/>
  <c r="L31" i="163"/>
  <c r="E32" i="163"/>
  <c r="G31" i="163"/>
  <c r="L33" i="214"/>
  <c r="E34" i="214"/>
  <c r="L30" i="182"/>
  <c r="E31" i="182"/>
  <c r="E35" i="33"/>
  <c r="L34" i="33"/>
  <c r="E33" i="80"/>
  <c r="L32" i="80"/>
  <c r="L29" i="54"/>
  <c r="E30" i="54"/>
  <c r="L31" i="203"/>
  <c r="E32" i="203"/>
  <c r="E41" i="129"/>
  <c r="F29" i="10"/>
  <c r="D30" i="10"/>
  <c r="D31" i="10" s="1"/>
  <c r="D32" i="10" s="1"/>
  <c r="D33" i="10" s="1"/>
  <c r="D34" i="10" s="1"/>
  <c r="E3" i="422" s="1"/>
  <c r="E128" i="33"/>
  <c r="L127" i="33"/>
  <c r="G29" i="117"/>
  <c r="L28" i="117"/>
  <c r="E29" i="117"/>
  <c r="G32" i="216"/>
  <c r="E33" i="216"/>
  <c r="G34" i="216"/>
  <c r="G36" i="216"/>
  <c r="G33" i="216"/>
  <c r="G35" i="216"/>
  <c r="L32" i="216"/>
  <c r="F64" i="203"/>
  <c r="D65" i="203"/>
  <c r="F65" i="203" s="1"/>
  <c r="D35" i="106"/>
  <c r="F34" i="106"/>
  <c r="L35" i="154"/>
  <c r="S37" i="154"/>
  <c r="S40" i="154" s="1"/>
  <c r="L32" i="213"/>
  <c r="E33" i="213"/>
  <c r="G32" i="137"/>
  <c r="E33" i="137"/>
  <c r="L32" i="137"/>
  <c r="L31" i="108"/>
  <c r="E32" i="108"/>
  <c r="E36" i="119"/>
  <c r="L35" i="119"/>
  <c r="F29" i="57"/>
  <c r="D30" i="57"/>
  <c r="L30" i="106"/>
  <c r="E31" i="106"/>
  <c r="E42" i="11"/>
  <c r="L41" i="11"/>
  <c r="D113" i="175"/>
  <c r="F112" i="175"/>
  <c r="E29" i="123"/>
  <c r="L28" i="123"/>
  <c r="E39" i="143"/>
  <c r="L38" i="143"/>
  <c r="L31" i="425"/>
  <c r="E32" i="425"/>
  <c r="E29" i="249"/>
  <c r="L28" i="249"/>
  <c r="J32" i="129"/>
  <c r="L31" i="129"/>
  <c r="L59" i="132"/>
  <c r="E60" i="132"/>
  <c r="E29" i="199"/>
  <c r="L28" i="199"/>
  <c r="E33" i="61"/>
  <c r="L32" i="61"/>
  <c r="L28" i="161"/>
  <c r="E29" i="161"/>
  <c r="G29" i="161"/>
  <c r="L34" i="66"/>
  <c r="E35" i="66"/>
  <c r="L30" i="81"/>
  <c r="E31" i="81"/>
  <c r="L30" i="191"/>
  <c r="E31" i="191"/>
  <c r="D84" i="33"/>
  <c r="F83" i="33"/>
  <c r="E85" i="33"/>
  <c r="L84" i="33"/>
  <c r="L28" i="247"/>
  <c r="E29" i="247"/>
  <c r="L29" i="247" s="1"/>
  <c r="E31" i="112"/>
  <c r="L30" i="112"/>
  <c r="G31" i="112"/>
  <c r="L30" i="174"/>
  <c r="E31" i="174"/>
  <c r="G32" i="224"/>
  <c r="E32" i="224"/>
  <c r="L31" i="224"/>
  <c r="E30" i="217"/>
  <c r="L29" i="217"/>
  <c r="G33" i="95"/>
  <c r="L33" i="95"/>
  <c r="E34" i="95"/>
  <c r="L33" i="118"/>
  <c r="E34" i="118"/>
  <c r="L31" i="128"/>
  <c r="E32" i="128"/>
  <c r="E31" i="325"/>
  <c r="L30" i="325"/>
  <c r="L34" i="10"/>
  <c r="F3" i="422"/>
  <c r="E32" i="423"/>
  <c r="L31" i="423"/>
  <c r="L39" i="143" l="1"/>
  <c r="E40" i="143"/>
  <c r="G33" i="137"/>
  <c r="E34" i="137"/>
  <c r="L33" i="137"/>
  <c r="L30" i="54"/>
  <c r="E31" i="54"/>
  <c r="L34" i="214"/>
  <c r="E35" i="214"/>
  <c r="L34" i="118"/>
  <c r="E35" i="118"/>
  <c r="L32" i="224"/>
  <c r="E33" i="224"/>
  <c r="G33" i="224"/>
  <c r="F84" i="33"/>
  <c r="D85" i="33"/>
  <c r="G30" i="161"/>
  <c r="L29" i="161"/>
  <c r="E30" i="161"/>
  <c r="L32" i="425"/>
  <c r="E33" i="425"/>
  <c r="F30" i="57"/>
  <c r="D31" i="57"/>
  <c r="E33" i="108"/>
  <c r="L32" i="108"/>
  <c r="E30" i="117"/>
  <c r="L29" i="117"/>
  <c r="G30" i="117"/>
  <c r="L128" i="33"/>
  <c r="E129" i="33"/>
  <c r="E42" i="129"/>
  <c r="L35" i="33"/>
  <c r="E36" i="33"/>
  <c r="L29" i="55"/>
  <c r="E30" i="55"/>
  <c r="E34" i="61"/>
  <c r="L33" i="61"/>
  <c r="E30" i="249"/>
  <c r="L29" i="249"/>
  <c r="F113" i="175"/>
  <c r="D114" i="175"/>
  <c r="E37" i="119"/>
  <c r="L36" i="119"/>
  <c r="E33" i="423"/>
  <c r="L32" i="423"/>
  <c r="L31" i="325"/>
  <c r="E32" i="325"/>
  <c r="L31" i="191"/>
  <c r="E32" i="191"/>
  <c r="L35" i="66"/>
  <c r="E36" i="66"/>
  <c r="E30" i="199"/>
  <c r="L29" i="199"/>
  <c r="J33" i="129"/>
  <c r="L32" i="129"/>
  <c r="L29" i="123"/>
  <c r="E30" i="123"/>
  <c r="E43" i="11"/>
  <c r="L42" i="11"/>
  <c r="L33" i="213"/>
  <c r="E34" i="213"/>
  <c r="L32" i="203"/>
  <c r="E33" i="203"/>
  <c r="L31" i="182"/>
  <c r="E32" i="182"/>
  <c r="D33" i="96"/>
  <c r="D34" i="96" s="1"/>
  <c r="D35" i="96" s="1"/>
  <c r="D36" i="96" s="1"/>
  <c r="D37" i="96" s="1"/>
  <c r="D38" i="96" s="1"/>
  <c r="D39" i="96" s="1"/>
  <c r="D40" i="96" s="1"/>
  <c r="D41" i="96" s="1"/>
  <c r="D42" i="96" s="1"/>
  <c r="D43" i="96" s="1"/>
  <c r="D44" i="96" s="1"/>
  <c r="D45" i="96" s="1"/>
  <c r="D46" i="96" s="1"/>
  <c r="D47" i="96" s="1"/>
  <c r="D48" i="96" s="1"/>
  <c r="D49" i="96" s="1"/>
  <c r="D50" i="96" s="1"/>
  <c r="D51" i="96" s="1"/>
  <c r="D52" i="96" s="1"/>
  <c r="D53" i="96" s="1"/>
  <c r="D54" i="96" s="1"/>
  <c r="D55" i="96" s="1"/>
  <c r="D56" i="96" s="1"/>
  <c r="D57" i="96" s="1"/>
  <c r="D58" i="96" s="1"/>
  <c r="D59" i="96" s="1"/>
  <c r="D60" i="96" s="1"/>
  <c r="D61" i="96" s="1"/>
  <c r="D62" i="96" s="1"/>
  <c r="F32" i="96"/>
  <c r="L36" i="57"/>
  <c r="E37" i="57"/>
  <c r="L31" i="81"/>
  <c r="E32" i="81"/>
  <c r="E33" i="128"/>
  <c r="L32" i="128"/>
  <c r="E35" i="95"/>
  <c r="L34" i="95"/>
  <c r="G34" i="95"/>
  <c r="E31" i="217"/>
  <c r="L30" i="217"/>
  <c r="L31" i="174"/>
  <c r="E32" i="174"/>
  <c r="L31" i="112"/>
  <c r="E32" i="112"/>
  <c r="G32" i="112"/>
  <c r="L85" i="33"/>
  <c r="E86" i="33"/>
  <c r="L60" i="132"/>
  <c r="E61" i="132"/>
  <c r="L31" i="106"/>
  <c r="E32" i="106"/>
  <c r="D36" i="106"/>
  <c r="F35" i="106"/>
  <c r="E34" i="216"/>
  <c r="L33" i="216"/>
  <c r="L33" i="80"/>
  <c r="E34" i="80"/>
  <c r="G32" i="163"/>
  <c r="L32" i="163"/>
  <c r="E33" i="163"/>
  <c r="E31" i="239"/>
  <c r="L30" i="239"/>
  <c r="L111" i="175"/>
  <c r="E112" i="175"/>
  <c r="G30" i="96"/>
  <c r="L30" i="96"/>
  <c r="E31" i="96"/>
  <c r="E33" i="62"/>
  <c r="L32" i="62"/>
  <c r="L34" i="80" l="1"/>
  <c r="E35" i="80"/>
  <c r="E44" i="11"/>
  <c r="L43" i="11"/>
  <c r="J34" i="129"/>
  <c r="L33" i="129"/>
  <c r="E38" i="119"/>
  <c r="L37" i="119"/>
  <c r="L30" i="249"/>
  <c r="E31" i="249"/>
  <c r="F124" i="422"/>
  <c r="F31" i="57"/>
  <c r="D32" i="57"/>
  <c r="G31" i="161"/>
  <c r="L30" i="161"/>
  <c r="E31" i="161"/>
  <c r="F116" i="422"/>
  <c r="L35" i="118"/>
  <c r="L31" i="54"/>
  <c r="E32" i="54"/>
  <c r="L32" i="325"/>
  <c r="E33" i="325"/>
  <c r="D86" i="33"/>
  <c r="F85" i="33"/>
  <c r="G34" i="137"/>
  <c r="E35" i="137"/>
  <c r="L34" i="137"/>
  <c r="L112" i="175"/>
  <c r="E113" i="175"/>
  <c r="E36" i="95"/>
  <c r="G35" i="95"/>
  <c r="H38" i="95" s="1"/>
  <c r="K38" i="95" s="1"/>
  <c r="K39" i="95" s="1"/>
  <c r="K40" i="95" s="1"/>
  <c r="L35" i="95"/>
  <c r="G31" i="96"/>
  <c r="L31" i="96"/>
  <c r="E32" i="96"/>
  <c r="L32" i="106"/>
  <c r="E33" i="106"/>
  <c r="E87" i="33"/>
  <c r="L86" i="33"/>
  <c r="F44" i="422"/>
  <c r="L31" i="217"/>
  <c r="L37" i="57"/>
  <c r="E38" i="57"/>
  <c r="E33" i="182"/>
  <c r="L32" i="182"/>
  <c r="L34" i="213"/>
  <c r="E35" i="213"/>
  <c r="E31" i="123"/>
  <c r="L30" i="123"/>
  <c r="L32" i="191"/>
  <c r="E33" i="191"/>
  <c r="F114" i="175"/>
  <c r="D115" i="175"/>
  <c r="E37" i="33"/>
  <c r="L36" i="33"/>
  <c r="E130" i="33"/>
  <c r="L129" i="33"/>
  <c r="L30" i="117"/>
  <c r="G31" i="117"/>
  <c r="E31" i="117"/>
  <c r="L40" i="143"/>
  <c r="E41" i="143"/>
  <c r="L31" i="239"/>
  <c r="E32" i="239"/>
  <c r="L61" i="132"/>
  <c r="E62" i="132"/>
  <c r="F41" i="422"/>
  <c r="L32" i="81"/>
  <c r="L33" i="203"/>
  <c r="E34" i="203"/>
  <c r="L34" i="203" s="1"/>
  <c r="L36" i="66"/>
  <c r="E37" i="66"/>
  <c r="L30" i="55"/>
  <c r="E31" i="55"/>
  <c r="E34" i="108"/>
  <c r="L33" i="108"/>
  <c r="L33" i="62"/>
  <c r="E34" i="62"/>
  <c r="L33" i="163"/>
  <c r="E34" i="163"/>
  <c r="G33" i="163"/>
  <c r="F36" i="106"/>
  <c r="D37" i="106"/>
  <c r="L32" i="112"/>
  <c r="E33" i="112"/>
  <c r="E35" i="216"/>
  <c r="L34" i="216"/>
  <c r="L32" i="174"/>
  <c r="E33" i="174"/>
  <c r="L33" i="128"/>
  <c r="E34" i="128"/>
  <c r="E31" i="199"/>
  <c r="L30" i="199"/>
  <c r="E34" i="423"/>
  <c r="L33" i="423"/>
  <c r="L34" i="61"/>
  <c r="E35" i="61"/>
  <c r="E34" i="425"/>
  <c r="L33" i="425"/>
  <c r="L33" i="224"/>
  <c r="E34" i="224"/>
  <c r="G34" i="224"/>
  <c r="L35" i="214"/>
  <c r="E36" i="214"/>
  <c r="L34" i="128" l="1"/>
  <c r="E35" i="128"/>
  <c r="L34" i="108"/>
  <c r="E35" i="108"/>
  <c r="L35" i="213"/>
  <c r="E36" i="213"/>
  <c r="F86" i="33"/>
  <c r="D87" i="33"/>
  <c r="F37" i="106"/>
  <c r="D38" i="106"/>
  <c r="L34" i="62"/>
  <c r="E35" i="62"/>
  <c r="L33" i="325"/>
  <c r="E34" i="325"/>
  <c r="E39" i="119"/>
  <c r="L38" i="119"/>
  <c r="E45" i="11"/>
  <c r="L44" i="11"/>
  <c r="F80" i="422"/>
  <c r="L33" i="191"/>
  <c r="G32" i="96"/>
  <c r="L32" i="96"/>
  <c r="E33" i="96"/>
  <c r="L34" i="423"/>
  <c r="E35" i="423"/>
  <c r="E36" i="216"/>
  <c r="L35" i="216"/>
  <c r="L31" i="55"/>
  <c r="E32" i="55"/>
  <c r="L62" i="132"/>
  <c r="E63" i="132"/>
  <c r="E38" i="33"/>
  <c r="L37" i="33"/>
  <c r="E88" i="33"/>
  <c r="L87" i="33"/>
  <c r="G35" i="137"/>
  <c r="E36" i="137"/>
  <c r="L35" i="137"/>
  <c r="L34" i="224"/>
  <c r="E35" i="224"/>
  <c r="G35" i="224"/>
  <c r="L35" i="61"/>
  <c r="E36" i="61"/>
  <c r="E34" i="174"/>
  <c r="L33" i="174"/>
  <c r="L33" i="112"/>
  <c r="E34" i="112"/>
  <c r="F115" i="175"/>
  <c r="D116" i="175"/>
  <c r="E34" i="106"/>
  <c r="L33" i="106"/>
  <c r="L113" i="175"/>
  <c r="E114" i="175"/>
  <c r="F32" i="57"/>
  <c r="D33" i="57"/>
  <c r="E32" i="249"/>
  <c r="L31" i="249"/>
  <c r="E36" i="80"/>
  <c r="L35" i="80"/>
  <c r="E39" i="57"/>
  <c r="L38" i="57"/>
  <c r="L34" i="425"/>
  <c r="E35" i="425"/>
  <c r="L41" i="143"/>
  <c r="E42" i="143"/>
  <c r="E37" i="95"/>
  <c r="L36" i="95"/>
  <c r="L36" i="214"/>
  <c r="E37" i="214"/>
  <c r="E32" i="199"/>
  <c r="L31" i="199"/>
  <c r="G34" i="163"/>
  <c r="L34" i="163"/>
  <c r="E35" i="163"/>
  <c r="L37" i="66"/>
  <c r="E38" i="66"/>
  <c r="E33" i="239"/>
  <c r="L32" i="239"/>
  <c r="E32" i="117"/>
  <c r="G32" i="117"/>
  <c r="L31" i="117"/>
  <c r="E131" i="33"/>
  <c r="L130" i="33"/>
  <c r="L31" i="123"/>
  <c r="E32" i="123"/>
  <c r="E34" i="182"/>
  <c r="L33" i="182"/>
  <c r="L32" i="54"/>
  <c r="E33" i="54"/>
  <c r="E32" i="161"/>
  <c r="G32" i="161"/>
  <c r="L31" i="161"/>
  <c r="J35" i="129"/>
  <c r="L34" i="129"/>
  <c r="E39" i="66" l="1"/>
  <c r="L38" i="66"/>
  <c r="L39" i="57"/>
  <c r="E40" i="57"/>
  <c r="L32" i="249"/>
  <c r="E33" i="249"/>
  <c r="L34" i="174"/>
  <c r="E35" i="174"/>
  <c r="G36" i="224"/>
  <c r="E36" i="224"/>
  <c r="L35" i="224"/>
  <c r="L38" i="33"/>
  <c r="E39" i="33"/>
  <c r="L35" i="62"/>
  <c r="E36" i="62"/>
  <c r="F87" i="33"/>
  <c r="D88" i="33"/>
  <c r="L35" i="108"/>
  <c r="E36" i="108"/>
  <c r="L32" i="117"/>
  <c r="E33" i="117"/>
  <c r="G33" i="117"/>
  <c r="E36" i="425"/>
  <c r="L35" i="425"/>
  <c r="D34" i="57"/>
  <c r="F33" i="57"/>
  <c r="F100" i="422"/>
  <c r="L34" i="112"/>
  <c r="L36" i="61"/>
  <c r="E37" i="61"/>
  <c r="L63" i="132"/>
  <c r="E64" i="132"/>
  <c r="L33" i="96"/>
  <c r="G33" i="96"/>
  <c r="E34" i="96"/>
  <c r="L39" i="119"/>
  <c r="E40" i="119"/>
  <c r="E35" i="182"/>
  <c r="L34" i="182"/>
  <c r="E132" i="33"/>
  <c r="L131" i="33"/>
  <c r="G35" i="163"/>
  <c r="L35" i="163"/>
  <c r="E36" i="163"/>
  <c r="E33" i="199"/>
  <c r="L32" i="199"/>
  <c r="E38" i="95"/>
  <c r="L37" i="95"/>
  <c r="E37" i="80"/>
  <c r="L36" i="80"/>
  <c r="L34" i="106"/>
  <c r="E35" i="106"/>
  <c r="L88" i="33"/>
  <c r="E89" i="33"/>
  <c r="E37" i="216"/>
  <c r="L36" i="216"/>
  <c r="L34" i="325"/>
  <c r="E35" i="325"/>
  <c r="D39" i="106"/>
  <c r="F38" i="106"/>
  <c r="L36" i="213"/>
  <c r="E37" i="213"/>
  <c r="L35" i="128"/>
  <c r="E36" i="128"/>
  <c r="L32" i="161"/>
  <c r="E33" i="161"/>
  <c r="G33" i="161"/>
  <c r="J36" i="129"/>
  <c r="L35" i="129"/>
  <c r="L33" i="54"/>
  <c r="E34" i="54"/>
  <c r="E33" i="123"/>
  <c r="L32" i="123"/>
  <c r="L33" i="239"/>
  <c r="E34" i="239"/>
  <c r="E38" i="214"/>
  <c r="L37" i="214"/>
  <c r="E43" i="143"/>
  <c r="L42" i="143"/>
  <c r="E115" i="175"/>
  <c r="L114" i="175"/>
  <c r="F116" i="175"/>
  <c r="D117" i="175"/>
  <c r="F117" i="175" s="1"/>
  <c r="G36" i="137"/>
  <c r="E37" i="137"/>
  <c r="L36" i="137"/>
  <c r="L32" i="55"/>
  <c r="E33" i="55"/>
  <c r="E36" i="423"/>
  <c r="L35" i="423"/>
  <c r="E46" i="11"/>
  <c r="L45" i="11"/>
  <c r="E39" i="214" l="1"/>
  <c r="L38" i="214"/>
  <c r="J37" i="129"/>
  <c r="L36" i="129"/>
  <c r="L36" i="163"/>
  <c r="E37" i="163"/>
  <c r="G36" i="163"/>
  <c r="L64" i="132"/>
  <c r="E65" i="132"/>
  <c r="L38" i="95"/>
  <c r="E39" i="95"/>
  <c r="G34" i="96"/>
  <c r="L34" i="96"/>
  <c r="E35" i="96"/>
  <c r="L36" i="425"/>
  <c r="E37" i="425"/>
  <c r="E37" i="108"/>
  <c r="L36" i="108"/>
  <c r="E37" i="62"/>
  <c r="L36" i="62"/>
  <c r="L33" i="123"/>
  <c r="E34" i="123"/>
  <c r="E36" i="106"/>
  <c r="L35" i="106"/>
  <c r="E133" i="33"/>
  <c r="L132" i="33"/>
  <c r="L40" i="57"/>
  <c r="E41" i="57"/>
  <c r="L34" i="239"/>
  <c r="E35" i="239"/>
  <c r="E38" i="216"/>
  <c r="L37" i="216"/>
  <c r="E44" i="143"/>
  <c r="L43" i="143"/>
  <c r="L33" i="161"/>
  <c r="E34" i="161"/>
  <c r="G34" i="161"/>
  <c r="E38" i="213"/>
  <c r="L37" i="213"/>
  <c r="L35" i="325"/>
  <c r="E36" i="325"/>
  <c r="L89" i="33"/>
  <c r="E90" i="33"/>
  <c r="L90" i="33" s="1"/>
  <c r="F43" i="422"/>
  <c r="L35" i="182"/>
  <c r="E38" i="61"/>
  <c r="L37" i="61"/>
  <c r="L36" i="224"/>
  <c r="E37" i="224"/>
  <c r="G37" i="224"/>
  <c r="L33" i="249"/>
  <c r="E34" i="249"/>
  <c r="E34" i="55"/>
  <c r="L33" i="55"/>
  <c r="L115" i="175"/>
  <c r="E116" i="175"/>
  <c r="F123" i="422"/>
  <c r="L36" i="128"/>
  <c r="L35" i="174"/>
  <c r="E36" i="174"/>
  <c r="E47" i="11"/>
  <c r="L46" i="11"/>
  <c r="L34" i="54"/>
  <c r="E35" i="54"/>
  <c r="F39" i="106"/>
  <c r="D40" i="106"/>
  <c r="E37" i="423"/>
  <c r="L36" i="423"/>
  <c r="G37" i="137"/>
  <c r="E38" i="137"/>
  <c r="L37" i="137"/>
  <c r="L37" i="80"/>
  <c r="E38" i="80"/>
  <c r="E34" i="199"/>
  <c r="L33" i="199"/>
  <c r="L40" i="119"/>
  <c r="E41" i="119"/>
  <c r="F34" i="57"/>
  <c r="D35" i="57"/>
  <c r="G34" i="117"/>
  <c r="L33" i="117"/>
  <c r="E34" i="117"/>
  <c r="D89" i="33"/>
  <c r="F88" i="33"/>
  <c r="E40" i="33"/>
  <c r="L39" i="33"/>
  <c r="L39" i="66"/>
  <c r="E40" i="66"/>
  <c r="E42" i="119" l="1"/>
  <c r="L41" i="119"/>
  <c r="L40" i="66"/>
  <c r="E41" i="66"/>
  <c r="L35" i="54"/>
  <c r="E36" i="54"/>
  <c r="E37" i="174"/>
  <c r="L36" i="174"/>
  <c r="E117" i="175"/>
  <c r="L116" i="175"/>
  <c r="L34" i="249"/>
  <c r="E35" i="249"/>
  <c r="L34" i="161"/>
  <c r="E35" i="161"/>
  <c r="G35" i="161"/>
  <c r="E42" i="57"/>
  <c r="L41" i="57"/>
  <c r="F89" i="33"/>
  <c r="D90" i="33"/>
  <c r="F90" i="33" s="1"/>
  <c r="E38" i="423"/>
  <c r="L37" i="423"/>
  <c r="E39" i="216"/>
  <c r="L38" i="216"/>
  <c r="L36" i="106"/>
  <c r="E37" i="106"/>
  <c r="L37" i="62"/>
  <c r="E38" i="62"/>
  <c r="E40" i="95"/>
  <c r="L39" i="95"/>
  <c r="J38" i="129"/>
  <c r="L37" i="129"/>
  <c r="L38" i="80"/>
  <c r="E39" i="80"/>
  <c r="E38" i="425"/>
  <c r="L37" i="425"/>
  <c r="D36" i="57"/>
  <c r="F35" i="57"/>
  <c r="H37" i="117"/>
  <c r="H36" i="117"/>
  <c r="K36" i="117" s="1"/>
  <c r="K37" i="117" s="1"/>
  <c r="K38" i="117" s="1"/>
  <c r="K39" i="117" s="1"/>
  <c r="K40" i="117" s="1"/>
  <c r="K41" i="117" s="1"/>
  <c r="K42" i="117" s="1"/>
  <c r="K43" i="117" s="1"/>
  <c r="K44" i="117" s="1"/>
  <c r="K45" i="117" s="1"/>
  <c r="K46" i="117" s="1"/>
  <c r="K47" i="117" s="1"/>
  <c r="K48" i="117" s="1"/>
  <c r="K49" i="117" s="1"/>
  <c r="K50" i="117" s="1"/>
  <c r="K51" i="117" s="1"/>
  <c r="K52" i="117" s="1"/>
  <c r="K53" i="117" s="1"/>
  <c r="G35" i="117"/>
  <c r="E35" i="117"/>
  <c r="H38" i="117"/>
  <c r="L34" i="117"/>
  <c r="E35" i="199"/>
  <c r="L35" i="199" s="1"/>
  <c r="L34" i="199"/>
  <c r="G38" i="137"/>
  <c r="E39" i="137"/>
  <c r="L38" i="137"/>
  <c r="F40" i="106"/>
  <c r="D41" i="106"/>
  <c r="L38" i="61"/>
  <c r="E39" i="61"/>
  <c r="L38" i="213"/>
  <c r="E39" i="213"/>
  <c r="L35" i="239"/>
  <c r="E36" i="239"/>
  <c r="E35" i="123"/>
  <c r="L34" i="123"/>
  <c r="L35" i="96"/>
  <c r="G35" i="96"/>
  <c r="E36" i="96"/>
  <c r="G37" i="163"/>
  <c r="E38" i="163"/>
  <c r="L37" i="163"/>
  <c r="E41" i="33"/>
  <c r="L40" i="33"/>
  <c r="E48" i="11"/>
  <c r="L47" i="11"/>
  <c r="L34" i="55"/>
  <c r="E35" i="55"/>
  <c r="G38" i="224"/>
  <c r="E38" i="224"/>
  <c r="L37" i="224"/>
  <c r="L36" i="325"/>
  <c r="E37" i="325"/>
  <c r="L37" i="325" s="1"/>
  <c r="E45" i="143"/>
  <c r="L44" i="143"/>
  <c r="L133" i="33"/>
  <c r="E134" i="33"/>
  <c r="E38" i="108"/>
  <c r="L37" i="108"/>
  <c r="L65" i="132"/>
  <c r="E66" i="132"/>
  <c r="E40" i="214"/>
  <c r="L39" i="214"/>
  <c r="L38" i="224" l="1"/>
  <c r="G39" i="224"/>
  <c r="E39" i="224"/>
  <c r="E40" i="61"/>
  <c r="L39" i="61"/>
  <c r="E41" i="95"/>
  <c r="L40" i="95"/>
  <c r="E46" i="143"/>
  <c r="L45" i="143"/>
  <c r="F36" i="57"/>
  <c r="D37" i="57"/>
  <c r="E43" i="57"/>
  <c r="L42" i="57"/>
  <c r="E42" i="66"/>
  <c r="L41" i="66"/>
  <c r="L134" i="33"/>
  <c r="E135" i="33"/>
  <c r="L135" i="33" s="1"/>
  <c r="L38" i="108"/>
  <c r="E39" i="108"/>
  <c r="L36" i="239"/>
  <c r="E37" i="239"/>
  <c r="L38" i="423"/>
  <c r="E39" i="423"/>
  <c r="L35" i="249"/>
  <c r="E36" i="249"/>
  <c r="L36" i="249" s="1"/>
  <c r="L66" i="132"/>
  <c r="E67" i="132"/>
  <c r="E49" i="11"/>
  <c r="L48" i="11"/>
  <c r="G38" i="163"/>
  <c r="L38" i="163"/>
  <c r="E39" i="163"/>
  <c r="G39" i="137"/>
  <c r="E40" i="137"/>
  <c r="L39" i="137"/>
  <c r="E38" i="174"/>
  <c r="L37" i="174"/>
  <c r="E36" i="55"/>
  <c r="L35" i="55"/>
  <c r="E40" i="213"/>
  <c r="L39" i="213"/>
  <c r="D42" i="106"/>
  <c r="F41" i="106"/>
  <c r="L38" i="425"/>
  <c r="E39" i="425"/>
  <c r="J39" i="129"/>
  <c r="L38" i="129"/>
  <c r="E40" i="216"/>
  <c r="L39" i="216"/>
  <c r="L35" i="161"/>
  <c r="E36" i="161"/>
  <c r="G36" i="161"/>
  <c r="E37" i="54"/>
  <c r="L36" i="54"/>
  <c r="E41" i="214"/>
  <c r="L40" i="214"/>
  <c r="I114" i="422"/>
  <c r="H114" i="422" s="1"/>
  <c r="K54" i="117"/>
  <c r="E39" i="62"/>
  <c r="L38" i="62"/>
  <c r="E42" i="33"/>
  <c r="L41" i="33"/>
  <c r="G36" i="96"/>
  <c r="E37" i="96"/>
  <c r="L36" i="96"/>
  <c r="L35" i="123"/>
  <c r="E36" i="123"/>
  <c r="G37" i="117"/>
  <c r="L35" i="117"/>
  <c r="E36" i="117"/>
  <c r="G36" i="117"/>
  <c r="L39" i="80"/>
  <c r="E40" i="80"/>
  <c r="L37" i="106"/>
  <c r="E38" i="106"/>
  <c r="L117" i="175"/>
  <c r="E118" i="175"/>
  <c r="L118" i="175" s="1"/>
  <c r="E43" i="119"/>
  <c r="L42" i="119"/>
  <c r="E44" i="119" l="1"/>
  <c r="L43" i="119"/>
  <c r="L40" i="80"/>
  <c r="E41" i="80"/>
  <c r="H39" i="96"/>
  <c r="H42" i="96"/>
  <c r="G40" i="96"/>
  <c r="G41" i="96" s="1"/>
  <c r="H43" i="96" s="1"/>
  <c r="L37" i="96"/>
  <c r="G37" i="96"/>
  <c r="H38" i="96"/>
  <c r="K38" i="96" s="1"/>
  <c r="K39" i="96" s="1"/>
  <c r="K40" i="96" s="1"/>
  <c r="K41" i="96" s="1"/>
  <c r="K42" i="96" s="1"/>
  <c r="K43" i="96" s="1"/>
  <c r="K44" i="96" s="1"/>
  <c r="K45" i="96" s="1"/>
  <c r="K46" i="96" s="1"/>
  <c r="K47" i="96" s="1"/>
  <c r="K48" i="96" s="1"/>
  <c r="K49" i="96" s="1"/>
  <c r="K50" i="96" s="1"/>
  <c r="K51" i="96" s="1"/>
  <c r="K52" i="96" s="1"/>
  <c r="K53" i="96" s="1"/>
  <c r="K54" i="96" s="1"/>
  <c r="K55" i="96" s="1"/>
  <c r="K56" i="96" s="1"/>
  <c r="K57" i="96" s="1"/>
  <c r="K58" i="96" s="1"/>
  <c r="K59" i="96" s="1"/>
  <c r="K60" i="96" s="1"/>
  <c r="K61" i="96" s="1"/>
  <c r="K62" i="96" s="1"/>
  <c r="K63" i="96" s="1"/>
  <c r="E38" i="96"/>
  <c r="E41" i="216"/>
  <c r="L40" i="216"/>
  <c r="L40" i="213"/>
  <c r="E41" i="213"/>
  <c r="E39" i="174"/>
  <c r="L38" i="174"/>
  <c r="F153" i="422"/>
  <c r="G39" i="163"/>
  <c r="L39" i="163"/>
  <c r="E50" i="11"/>
  <c r="L49" i="11"/>
  <c r="L43" i="57"/>
  <c r="E44" i="57"/>
  <c r="E47" i="143"/>
  <c r="L46" i="143"/>
  <c r="E41" i="61"/>
  <c r="L40" i="61"/>
  <c r="L38" i="106"/>
  <c r="E39" i="106"/>
  <c r="E37" i="123"/>
  <c r="L36" i="123"/>
  <c r="L39" i="62"/>
  <c r="E40" i="62"/>
  <c r="L41" i="214"/>
  <c r="E42" i="214"/>
  <c r="E37" i="161"/>
  <c r="G37" i="161"/>
  <c r="L36" i="161"/>
  <c r="E68" i="132"/>
  <c r="L67" i="132"/>
  <c r="E40" i="423"/>
  <c r="L39" i="423"/>
  <c r="E40" i="108"/>
  <c r="L39" i="108"/>
  <c r="F37" i="57"/>
  <c r="D38" i="57"/>
  <c r="L39" i="224"/>
  <c r="G40" i="224"/>
  <c r="E40" i="224"/>
  <c r="E37" i="117"/>
  <c r="L36" i="117"/>
  <c r="J40" i="129"/>
  <c r="L39" i="129"/>
  <c r="F42" i="106"/>
  <c r="D43" i="106"/>
  <c r="E37" i="55"/>
  <c r="L36" i="55"/>
  <c r="G40" i="137"/>
  <c r="E41" i="137"/>
  <c r="L40" i="137"/>
  <c r="L42" i="66"/>
  <c r="E43" i="66"/>
  <c r="F75" i="422"/>
  <c r="L41" i="95"/>
  <c r="E43" i="33"/>
  <c r="L42" i="33"/>
  <c r="L37" i="54"/>
  <c r="E38" i="54"/>
  <c r="E40" i="425"/>
  <c r="L39" i="425"/>
  <c r="L37" i="239"/>
  <c r="E38" i="239"/>
  <c r="G41" i="137" l="1"/>
  <c r="E42" i="137"/>
  <c r="L41" i="137"/>
  <c r="F43" i="106"/>
  <c r="D44" i="106"/>
  <c r="L40" i="108"/>
  <c r="E41" i="108"/>
  <c r="L68" i="132"/>
  <c r="E69" i="132"/>
  <c r="L42" i="214"/>
  <c r="E43" i="214"/>
  <c r="L44" i="57"/>
  <c r="E45" i="57"/>
  <c r="L39" i="174"/>
  <c r="E40" i="174"/>
  <c r="E42" i="216"/>
  <c r="L41" i="216"/>
  <c r="E42" i="80"/>
  <c r="L41" i="80"/>
  <c r="L40" i="423"/>
  <c r="E41" i="423"/>
  <c r="L40" i="62"/>
  <c r="E41" i="62"/>
  <c r="F23" i="422"/>
  <c r="L43" i="66"/>
  <c r="E38" i="117"/>
  <c r="L37" i="117"/>
  <c r="F38" i="57"/>
  <c r="D39" i="57"/>
  <c r="L37" i="123"/>
  <c r="E38" i="123"/>
  <c r="L41" i="61"/>
  <c r="E42" i="61"/>
  <c r="L41" i="213"/>
  <c r="E42" i="213"/>
  <c r="L38" i="96"/>
  <c r="E39" i="96"/>
  <c r="L43" i="33"/>
  <c r="E44" i="33"/>
  <c r="L44" i="33" s="1"/>
  <c r="L40" i="425"/>
  <c r="E41" i="425"/>
  <c r="G41" i="224"/>
  <c r="E41" i="224"/>
  <c r="G43" i="224"/>
  <c r="H47" i="224"/>
  <c r="G42" i="224"/>
  <c r="G44" i="224"/>
  <c r="H48" i="224"/>
  <c r="G45" i="224"/>
  <c r="H44" i="224"/>
  <c r="H43" i="224"/>
  <c r="K43" i="224" s="1"/>
  <c r="K44" i="224" s="1"/>
  <c r="K45" i="224" s="1"/>
  <c r="K46" i="224" s="1"/>
  <c r="K47" i="224" s="1"/>
  <c r="K48" i="224" s="1"/>
  <c r="K49" i="224" s="1"/>
  <c r="K50" i="224" s="1"/>
  <c r="K51" i="224" s="1"/>
  <c r="K52" i="224" s="1"/>
  <c r="I24" i="422" s="1"/>
  <c r="H24" i="422" s="1"/>
  <c r="H45" i="224"/>
  <c r="L40" i="224"/>
  <c r="H46" i="224"/>
  <c r="G46" i="224"/>
  <c r="L39" i="106"/>
  <c r="E40" i="106"/>
  <c r="L38" i="239"/>
  <c r="E39" i="239"/>
  <c r="E39" i="54"/>
  <c r="L38" i="54"/>
  <c r="L37" i="55"/>
  <c r="E38" i="55"/>
  <c r="J41" i="129"/>
  <c r="L40" i="129"/>
  <c r="L37" i="161"/>
  <c r="E38" i="161"/>
  <c r="G38" i="161"/>
  <c r="L47" i="143"/>
  <c r="E48" i="143"/>
  <c r="F4" i="422"/>
  <c r="L50" i="11"/>
  <c r="G38" i="96"/>
  <c r="G39" i="96"/>
  <c r="E45" i="119"/>
  <c r="L44" i="119"/>
  <c r="E39" i="55" l="1"/>
  <c r="L38" i="55"/>
  <c r="J42" i="129"/>
  <c r="L41" i="129"/>
  <c r="E40" i="54"/>
  <c r="L39" i="54"/>
  <c r="E43" i="216"/>
  <c r="L42" i="216"/>
  <c r="L41" i="224"/>
  <c r="E42" i="224"/>
  <c r="L42" i="213"/>
  <c r="E43" i="213"/>
  <c r="E39" i="123"/>
  <c r="L38" i="123"/>
  <c r="L41" i="62"/>
  <c r="E42" i="62"/>
  <c r="F181" i="422"/>
  <c r="L40" i="174"/>
  <c r="E44" i="214"/>
  <c r="L43" i="214"/>
  <c r="E42" i="108"/>
  <c r="L41" i="108"/>
  <c r="E46" i="119"/>
  <c r="L45" i="119"/>
  <c r="L38" i="161"/>
  <c r="E39" i="161"/>
  <c r="L39" i="161" s="1"/>
  <c r="G39" i="161"/>
  <c r="L38" i="117"/>
  <c r="E39" i="117"/>
  <c r="L42" i="80"/>
  <c r="E43" i="80"/>
  <c r="G42" i="137"/>
  <c r="E43" i="137"/>
  <c r="L42" i="137"/>
  <c r="L39" i="239"/>
  <c r="E40" i="239"/>
  <c r="L48" i="143"/>
  <c r="E49" i="143"/>
  <c r="L40" i="106"/>
  <c r="E41" i="106"/>
  <c r="E42" i="425"/>
  <c r="L41" i="425"/>
  <c r="E40" i="96"/>
  <c r="L39" i="96"/>
  <c r="E43" i="61"/>
  <c r="L42" i="61"/>
  <c r="D40" i="57"/>
  <c r="F39" i="57"/>
  <c r="F115" i="422"/>
  <c r="L41" i="423"/>
  <c r="L45" i="57"/>
  <c r="E46" i="57"/>
  <c r="L69" i="132"/>
  <c r="E70" i="132"/>
  <c r="D45" i="106"/>
  <c r="F44" i="106"/>
  <c r="L43" i="61" l="1"/>
  <c r="E44" i="61"/>
  <c r="E40" i="55"/>
  <c r="L40" i="55" s="1"/>
  <c r="L39" i="55"/>
  <c r="F26" i="422"/>
  <c r="L46" i="57"/>
  <c r="L41" i="106"/>
  <c r="E42" i="106"/>
  <c r="F101" i="422"/>
  <c r="L40" i="239"/>
  <c r="L42" i="62"/>
  <c r="E43" i="62"/>
  <c r="L43" i="213"/>
  <c r="E44" i="213"/>
  <c r="E40" i="117"/>
  <c r="L39" i="117"/>
  <c r="E43" i="108"/>
  <c r="L42" i="108"/>
  <c r="L39" i="123"/>
  <c r="E40" i="123"/>
  <c r="E41" i="54"/>
  <c r="L40" i="54"/>
  <c r="D46" i="106"/>
  <c r="F45" i="106"/>
  <c r="F40" i="57"/>
  <c r="D41" i="57"/>
  <c r="L40" i="96"/>
  <c r="E41" i="96"/>
  <c r="E44" i="80"/>
  <c r="L43" i="80"/>
  <c r="L46" i="119"/>
  <c r="E47" i="119"/>
  <c r="L44" i="214"/>
  <c r="E45" i="214"/>
  <c r="E44" i="216"/>
  <c r="L43" i="216"/>
  <c r="J124" i="422"/>
  <c r="H124" i="422" s="1"/>
  <c r="L42" i="129"/>
  <c r="F118" i="422"/>
  <c r="L42" i="425"/>
  <c r="G43" i="137"/>
  <c r="E44" i="137"/>
  <c r="L43" i="137"/>
  <c r="L70" i="132"/>
  <c r="E71" i="132"/>
  <c r="E50" i="143"/>
  <c r="L49" i="143"/>
  <c r="E43" i="224"/>
  <c r="L42" i="224"/>
  <c r="E42" i="96" l="1"/>
  <c r="L41" i="96"/>
  <c r="L43" i="62"/>
  <c r="E44" i="62"/>
  <c r="E45" i="216"/>
  <c r="L44" i="216"/>
  <c r="F46" i="106"/>
  <c r="D47" i="106"/>
  <c r="L40" i="117"/>
  <c r="E41" i="117"/>
  <c r="L47" i="119"/>
  <c r="E48" i="119"/>
  <c r="E41" i="123"/>
  <c r="L40" i="123"/>
  <c r="L50" i="143"/>
  <c r="E51" i="143"/>
  <c r="G44" i="137"/>
  <c r="E45" i="137"/>
  <c r="L44" i="137"/>
  <c r="L45" i="214"/>
  <c r="E46" i="214"/>
  <c r="D42" i="57"/>
  <c r="F41" i="57"/>
  <c r="E45" i="213"/>
  <c r="L44" i="213"/>
  <c r="L44" i="61"/>
  <c r="E45" i="61"/>
  <c r="L43" i="224"/>
  <c r="E44" i="224"/>
  <c r="L42" i="106"/>
  <c r="E43" i="106"/>
  <c r="L71" i="132"/>
  <c r="E72" i="132"/>
  <c r="E45" i="80"/>
  <c r="L44" i="80"/>
  <c r="L41" i="54"/>
  <c r="E42" i="54"/>
  <c r="L43" i="108"/>
  <c r="E44" i="108"/>
  <c r="E52" i="143" l="1"/>
  <c r="L51" i="143"/>
  <c r="D48" i="106"/>
  <c r="F47" i="106"/>
  <c r="L44" i="62"/>
  <c r="E45" i="62"/>
  <c r="E45" i="108"/>
  <c r="L44" i="108"/>
  <c r="E44" i="106"/>
  <c r="L43" i="106"/>
  <c r="F21" i="422"/>
  <c r="L45" i="61"/>
  <c r="E46" i="80"/>
  <c r="L45" i="80"/>
  <c r="F42" i="57"/>
  <c r="D43" i="57"/>
  <c r="E46" i="137"/>
  <c r="G45" i="137"/>
  <c r="L45" i="137"/>
  <c r="E42" i="117"/>
  <c r="L41" i="117"/>
  <c r="E46" i="213"/>
  <c r="L45" i="213"/>
  <c r="L48" i="119"/>
  <c r="E49" i="119"/>
  <c r="E43" i="54"/>
  <c r="L42" i="54"/>
  <c r="E73" i="132"/>
  <c r="L72" i="132"/>
  <c r="E45" i="224"/>
  <c r="L44" i="224"/>
  <c r="L46" i="214"/>
  <c r="E47" i="214"/>
  <c r="L41" i="123"/>
  <c r="E42" i="123"/>
  <c r="E46" i="216"/>
  <c r="L45" i="216"/>
  <c r="E43" i="96"/>
  <c r="L42" i="96"/>
  <c r="E43" i="123" l="1"/>
  <c r="L42" i="123"/>
  <c r="E47" i="216"/>
  <c r="L46" i="216"/>
  <c r="F136" i="422"/>
  <c r="E74" i="132"/>
  <c r="L73" i="132"/>
  <c r="E43" i="117"/>
  <c r="L42" i="117"/>
  <c r="D44" i="57"/>
  <c r="F43" i="57"/>
  <c r="L45" i="108"/>
  <c r="E46" i="108"/>
  <c r="D49" i="106"/>
  <c r="F48" i="106"/>
  <c r="L43" i="96"/>
  <c r="E44" i="96"/>
  <c r="E46" i="224"/>
  <c r="L45" i="224"/>
  <c r="L43" i="54"/>
  <c r="E44" i="54"/>
  <c r="E47" i="213"/>
  <c r="L46" i="213"/>
  <c r="E46" i="62"/>
  <c r="L45" i="62"/>
  <c r="L47" i="214"/>
  <c r="E48" i="214"/>
  <c r="E50" i="119"/>
  <c r="L49" i="119"/>
  <c r="H49" i="137"/>
  <c r="K49" i="137" s="1"/>
  <c r="G46" i="137"/>
  <c r="E47" i="137"/>
  <c r="L46" i="137"/>
  <c r="E47" i="80"/>
  <c r="L46" i="80"/>
  <c r="L44" i="106"/>
  <c r="E45" i="106"/>
  <c r="E53" i="143"/>
  <c r="L52" i="143"/>
  <c r="E48" i="137" l="1"/>
  <c r="G47" i="137"/>
  <c r="L47" i="137"/>
  <c r="E51" i="119"/>
  <c r="L50" i="119"/>
  <c r="L46" i="62"/>
  <c r="E47" i="62"/>
  <c r="L43" i="117"/>
  <c r="E44" i="117"/>
  <c r="L53" i="143"/>
  <c r="E54" i="143"/>
  <c r="F138" i="422"/>
  <c r="L48" i="214"/>
  <c r="E48" i="216"/>
  <c r="L47" i="216"/>
  <c r="E48" i="80"/>
  <c r="L47" i="80"/>
  <c r="E48" i="213"/>
  <c r="L47" i="213"/>
  <c r="L46" i="224"/>
  <c r="E47" i="224"/>
  <c r="F49" i="106"/>
  <c r="D50" i="106"/>
  <c r="D45" i="57"/>
  <c r="F44" i="57"/>
  <c r="L74" i="132"/>
  <c r="E75" i="132"/>
  <c r="E46" i="106"/>
  <c r="L45" i="106"/>
  <c r="L44" i="54"/>
  <c r="E45" i="54"/>
  <c r="E45" i="96"/>
  <c r="L44" i="96"/>
  <c r="L46" i="108"/>
  <c r="E47" i="108"/>
  <c r="L43" i="123"/>
  <c r="E44" i="123"/>
  <c r="F45" i="57" l="1"/>
  <c r="D46" i="57"/>
  <c r="L48" i="80"/>
  <c r="E49" i="80"/>
  <c r="E52" i="119"/>
  <c r="L51" i="119"/>
  <c r="L46" i="106"/>
  <c r="E47" i="106"/>
  <c r="L45" i="54"/>
  <c r="E46" i="54"/>
  <c r="L75" i="132"/>
  <c r="E76" i="132"/>
  <c r="F50" i="106"/>
  <c r="D51" i="106"/>
  <c r="L54" i="143"/>
  <c r="E55" i="143"/>
  <c r="E48" i="62"/>
  <c r="L47" i="62"/>
  <c r="L48" i="213"/>
  <c r="E49" i="213"/>
  <c r="E49" i="216"/>
  <c r="L48" i="216"/>
  <c r="L45" i="96"/>
  <c r="E46" i="96"/>
  <c r="L47" i="108"/>
  <c r="E48" i="108"/>
  <c r="F122" i="422"/>
  <c r="L44" i="123"/>
  <c r="E48" i="224"/>
  <c r="L47" i="224"/>
  <c r="E45" i="117"/>
  <c r="L44" i="117"/>
  <c r="E49" i="137"/>
  <c r="L49" i="137" s="1"/>
  <c r="L48" i="137"/>
  <c r="L45" i="117" l="1"/>
  <c r="E46" i="117"/>
  <c r="L46" i="96"/>
  <c r="E47" i="96"/>
  <c r="L49" i="213"/>
  <c r="E50" i="213"/>
  <c r="L55" i="143"/>
  <c r="E56" i="143"/>
  <c r="E77" i="132"/>
  <c r="L76" i="132"/>
  <c r="E48" i="106"/>
  <c r="L47" i="106"/>
  <c r="F40" i="422"/>
  <c r="L49" i="80"/>
  <c r="E49" i="108"/>
  <c r="L48" i="108"/>
  <c r="D52" i="106"/>
  <c r="F51" i="106"/>
  <c r="L46" i="54"/>
  <c r="E47" i="54"/>
  <c r="E26" i="422"/>
  <c r="F46" i="57"/>
  <c r="E49" i="224"/>
  <c r="L48" i="224"/>
  <c r="E50" i="216"/>
  <c r="L49" i="216"/>
  <c r="E49" i="62"/>
  <c r="L49" i="62" s="1"/>
  <c r="L48" i="62"/>
  <c r="E53" i="119"/>
  <c r="F117" i="422"/>
  <c r="L52" i="119"/>
  <c r="L47" i="54" l="1"/>
  <c r="E48" i="54"/>
  <c r="L56" i="143"/>
  <c r="E57" i="143"/>
  <c r="E48" i="96"/>
  <c r="L47" i="96"/>
  <c r="E50" i="224"/>
  <c r="L49" i="224"/>
  <c r="E50" i="108"/>
  <c r="L49" i="108"/>
  <c r="E49" i="106"/>
  <c r="L48" i="106"/>
  <c r="E51" i="213"/>
  <c r="L50" i="213"/>
  <c r="L46" i="117"/>
  <c r="E47" i="117"/>
  <c r="L53" i="119"/>
  <c r="E54" i="119"/>
  <c r="L54" i="119" s="1"/>
  <c r="E51" i="216"/>
  <c r="L50" i="216"/>
  <c r="F52" i="106"/>
  <c r="D53" i="106"/>
  <c r="E78" i="132"/>
  <c r="L77" i="132"/>
  <c r="L47" i="117" l="1"/>
  <c r="E48" i="117"/>
  <c r="L57" i="143"/>
  <c r="E58" i="143"/>
  <c r="L78" i="132"/>
  <c r="E79" i="132"/>
  <c r="E52" i="216"/>
  <c r="L52" i="216" s="1"/>
  <c r="L51" i="216"/>
  <c r="L49" i="106"/>
  <c r="E50" i="106"/>
  <c r="L50" i="224"/>
  <c r="E51" i="224"/>
  <c r="L51" i="224" s="1"/>
  <c r="F53" i="106"/>
  <c r="D54" i="106"/>
  <c r="E49" i="54"/>
  <c r="L48" i="54"/>
  <c r="E52" i="213"/>
  <c r="L51" i="213"/>
  <c r="L50" i="108"/>
  <c r="E51" i="108"/>
  <c r="E49" i="96"/>
  <c r="L48" i="96"/>
  <c r="E50" i="54" l="1"/>
  <c r="L49" i="54"/>
  <c r="L79" i="132"/>
  <c r="E80" i="132"/>
  <c r="L48" i="117"/>
  <c r="E49" i="117"/>
  <c r="L51" i="108"/>
  <c r="E52" i="108"/>
  <c r="L58" i="143"/>
  <c r="E59" i="143"/>
  <c r="F54" i="106"/>
  <c r="D55" i="106"/>
  <c r="E97" i="422" s="1"/>
  <c r="L50" i="106"/>
  <c r="E51" i="106"/>
  <c r="E50" i="96"/>
  <c r="L49" i="96"/>
  <c r="L52" i="213"/>
  <c r="E53" i="213"/>
  <c r="E53" i="108" l="1"/>
  <c r="L52" i="108"/>
  <c r="E51" i="96"/>
  <c r="L50" i="96"/>
  <c r="L53" i="213"/>
  <c r="E54" i="213"/>
  <c r="E52" i="106"/>
  <c r="L51" i="106"/>
  <c r="L59" i="143"/>
  <c r="E60" i="143"/>
  <c r="E50" i="117"/>
  <c r="L49" i="117"/>
  <c r="L80" i="132"/>
  <c r="E81" i="132"/>
  <c r="L50" i="54"/>
  <c r="E51" i="54"/>
  <c r="E52" i="54" l="1"/>
  <c r="L51" i="54"/>
  <c r="E53" i="106"/>
  <c r="L52" i="106"/>
  <c r="L51" i="96"/>
  <c r="E52" i="96"/>
  <c r="E51" i="117"/>
  <c r="L50" i="117"/>
  <c r="L81" i="132"/>
  <c r="E82" i="132"/>
  <c r="L60" i="143"/>
  <c r="E61" i="143"/>
  <c r="L54" i="213"/>
  <c r="E55" i="213"/>
  <c r="E54" i="108"/>
  <c r="L53" i="108"/>
  <c r="L61" i="143" l="1"/>
  <c r="E62" i="143"/>
  <c r="E54" i="106"/>
  <c r="L53" i="106"/>
  <c r="E56" i="213"/>
  <c r="L55" i="213"/>
  <c r="E55" i="108"/>
  <c r="L54" i="108"/>
  <c r="L51" i="117"/>
  <c r="E52" i="117"/>
  <c r="L82" i="132"/>
  <c r="E83" i="132"/>
  <c r="E53" i="96"/>
  <c r="L52" i="96"/>
  <c r="L52" i="54"/>
  <c r="E53" i="54"/>
  <c r="L83" i="132" l="1"/>
  <c r="E84" i="132"/>
  <c r="L55" i="108"/>
  <c r="E56" i="108"/>
  <c r="E55" i="106"/>
  <c r="L54" i="106"/>
  <c r="L52" i="117"/>
  <c r="E53" i="117"/>
  <c r="L62" i="143"/>
  <c r="E63" i="143"/>
  <c r="L53" i="54"/>
  <c r="E54" i="54"/>
  <c r="L53" i="96"/>
  <c r="E54" i="96"/>
  <c r="E57" i="213"/>
  <c r="L56" i="213"/>
  <c r="L54" i="54" l="1"/>
  <c r="E55" i="54"/>
  <c r="F114" i="422"/>
  <c r="L53" i="117"/>
  <c r="L56" i="108"/>
  <c r="E57" i="108"/>
  <c r="E58" i="213"/>
  <c r="L57" i="213"/>
  <c r="L54" i="96"/>
  <c r="E55" i="96"/>
  <c r="L63" i="143"/>
  <c r="E64" i="143"/>
  <c r="L84" i="132"/>
  <c r="E85" i="132"/>
  <c r="F97" i="422"/>
  <c r="L55" i="106"/>
  <c r="L64" i="143" l="1"/>
  <c r="E65" i="143"/>
  <c r="L85" i="132"/>
  <c r="E86" i="132"/>
  <c r="L55" i="54"/>
  <c r="E56" i="54"/>
  <c r="L58" i="213"/>
  <c r="E59" i="213"/>
  <c r="L55" i="96"/>
  <c r="E56" i="96"/>
  <c r="E58" i="108"/>
  <c r="L57" i="108"/>
  <c r="F98" i="422" l="1"/>
  <c r="L58" i="108"/>
  <c r="L59" i="213"/>
  <c r="E60" i="213"/>
  <c r="L86" i="132"/>
  <c r="E87" i="132"/>
  <c r="L56" i="96"/>
  <c r="E57" i="96"/>
  <c r="L56" i="54"/>
  <c r="E57" i="54"/>
  <c r="L65" i="143"/>
  <c r="E66" i="143"/>
  <c r="L66" i="143" l="1"/>
  <c r="E67" i="143"/>
  <c r="L57" i="96"/>
  <c r="E58" i="96"/>
  <c r="F22" i="422"/>
  <c r="L60" i="213"/>
  <c r="L57" i="54"/>
  <c r="E58" i="54"/>
  <c r="L87" i="132"/>
  <c r="E88" i="132"/>
  <c r="L88" i="132" s="1"/>
  <c r="L58" i="54" l="1"/>
  <c r="E59" i="54"/>
  <c r="L58" i="96"/>
  <c r="E59" i="96"/>
  <c r="L67" i="143"/>
  <c r="E68" i="143"/>
  <c r="L59" i="54" l="1"/>
  <c r="E60" i="54"/>
  <c r="L59" i="96"/>
  <c r="E60" i="96"/>
  <c r="L68" i="143"/>
  <c r="E69" i="143"/>
  <c r="L60" i="96" l="1"/>
  <c r="E61" i="96"/>
  <c r="E70" i="143"/>
  <c r="L69" i="143"/>
  <c r="L60" i="54"/>
  <c r="E61" i="54"/>
  <c r="L61" i="54" l="1"/>
  <c r="E62" i="54"/>
  <c r="L70" i="143"/>
  <c r="E71" i="143"/>
  <c r="E62" i="96"/>
  <c r="L62" i="96" s="1"/>
  <c r="L61" i="96"/>
  <c r="E72" i="143" l="1"/>
  <c r="L71" i="143"/>
  <c r="L62" i="54"/>
  <c r="E63" i="54"/>
  <c r="L63" i="54" l="1"/>
  <c r="E64" i="54"/>
  <c r="E73" i="143"/>
  <c r="L72" i="143"/>
  <c r="E74" i="143" l="1"/>
  <c r="L73" i="143"/>
  <c r="L64" i="54"/>
  <c r="E65" i="54"/>
  <c r="L65" i="54" l="1"/>
  <c r="E66" i="54"/>
  <c r="E75" i="143"/>
  <c r="L74" i="143"/>
  <c r="E76" i="143" l="1"/>
  <c r="L75" i="143"/>
  <c r="L66" i="54"/>
  <c r="E67" i="54"/>
  <c r="L67" i="54" l="1"/>
  <c r="E68" i="54"/>
  <c r="L76" i="143"/>
  <c r="E77" i="143"/>
  <c r="E78" i="143" l="1"/>
  <c r="L77" i="143"/>
  <c r="L68" i="54"/>
  <c r="E69" i="54"/>
  <c r="L69" i="54" s="1"/>
  <c r="E79" i="143" l="1"/>
  <c r="L78" i="143"/>
  <c r="E80" i="143" l="1"/>
  <c r="L79" i="143"/>
  <c r="L80" i="143" l="1"/>
  <c r="E81" i="143"/>
  <c r="E82" i="143" l="1"/>
  <c r="L81" i="143"/>
  <c r="E83" i="143" l="1"/>
  <c r="L82" i="143"/>
  <c r="E84" i="143" l="1"/>
  <c r="L83" i="143"/>
  <c r="E85" i="143" l="1"/>
  <c r="L85" i="143" s="1"/>
  <c r="L84" i="143"/>
</calcChain>
</file>

<file path=xl/comments1.xml><?xml version="1.0" encoding="utf-8"?>
<comments xmlns="http://schemas.openxmlformats.org/spreadsheetml/2006/main">
  <authors>
    <author>User</author>
  </authors>
  <commentList>
    <comment ref="C15" authorId="0" shapeId="0">
      <text>
        <r>
          <rPr>
            <sz val="9"/>
            <rFont val="宋体"/>
            <charset val="134"/>
          </rPr>
          <t>2014年2月份单价另议</t>
        </r>
      </text>
    </comment>
  </commentList>
</comments>
</file>

<file path=xl/comments10.xml><?xml version="1.0" encoding="utf-8"?>
<comments xmlns="http://schemas.openxmlformats.org/spreadsheetml/2006/main">
  <authors>
    <author>Administrator</author>
  </authors>
  <commentList>
    <comment ref="I1" authorId="0" shapeId="0">
      <text>
        <r>
          <rPr>
            <b/>
            <sz val="9"/>
            <rFont val="宋体"/>
            <charset val="134"/>
          </rPr>
          <t>Administrator:</t>
        </r>
        <r>
          <rPr>
            <sz val="9"/>
            <rFont val="宋体"/>
            <charset val="134"/>
          </rPr>
          <t xml:space="preserve">
从2016年7月15日开始，每立方增加15元，从2017年3月份开始每立方增加30元，在增加的空单量费用中抵扣给公司</t>
        </r>
      </text>
    </comment>
    <comment ref="B3" authorId="0" shapeId="0">
      <text>
        <r>
          <rPr>
            <sz val="9"/>
            <rFont val="宋体"/>
            <charset val="134"/>
          </rPr>
          <t>Administrator:
二期</t>
        </r>
      </text>
    </comment>
    <comment ref="C12" authorId="0" shapeId="0">
      <text>
        <r>
          <rPr>
            <b/>
            <sz val="9"/>
            <rFont val="宋体"/>
            <charset val="134"/>
          </rPr>
          <t>Administrator:</t>
        </r>
        <r>
          <rPr>
            <sz val="9"/>
            <rFont val="宋体"/>
            <charset val="134"/>
          </rPr>
          <t xml:space="preserve">
增加2097方；共561976元</t>
        </r>
      </text>
    </comment>
    <comment ref="C14" authorId="0" shapeId="0">
      <text>
        <r>
          <rPr>
            <b/>
            <sz val="9"/>
            <rFont val="宋体"/>
            <charset val="134"/>
          </rPr>
          <t>Administrator:</t>
        </r>
        <r>
          <rPr>
            <sz val="9"/>
            <rFont val="宋体"/>
            <charset val="134"/>
          </rPr>
          <t xml:space="preserve">
空单数316960元</t>
        </r>
      </text>
    </comment>
    <comment ref="M15" authorId="0" shapeId="0">
      <text>
        <r>
          <rPr>
            <b/>
            <sz val="9"/>
            <rFont val="宋体"/>
            <charset val="134"/>
          </rPr>
          <t>Administrator:</t>
        </r>
        <r>
          <rPr>
            <sz val="9"/>
            <rFont val="宋体"/>
            <charset val="134"/>
          </rPr>
          <t xml:space="preserve">
财务40万还未入账。</t>
        </r>
      </text>
    </comment>
    <comment ref="C17" authorId="0" shapeId="0">
      <text>
        <r>
          <rPr>
            <b/>
            <sz val="9"/>
            <rFont val="宋体"/>
            <charset val="134"/>
          </rPr>
          <t>Administrator:</t>
        </r>
        <r>
          <rPr>
            <sz val="9"/>
            <rFont val="宋体"/>
            <charset val="134"/>
          </rPr>
          <t xml:space="preserve">
加入2016年12月砂石原材料价格上升，加20元金额。</t>
        </r>
      </text>
    </comment>
    <comment ref="I18" authorId="0" shapeId="0">
      <text>
        <r>
          <rPr>
            <b/>
            <sz val="9"/>
            <rFont val="宋体"/>
            <charset val="134"/>
          </rPr>
          <t>Administrator:</t>
        </r>
        <r>
          <rPr>
            <sz val="9"/>
            <rFont val="宋体"/>
            <charset val="134"/>
          </rPr>
          <t xml:space="preserve">
从一期收款中转过来</t>
        </r>
      </text>
    </comment>
  </commentList>
</comments>
</file>

<file path=xl/comments11.xml><?xml version="1.0" encoding="utf-8"?>
<comments xmlns="http://schemas.openxmlformats.org/spreadsheetml/2006/main">
  <authors>
    <author>Administrator</author>
  </authors>
  <commentList>
    <comment ref="A19" authorId="0" shapeId="0">
      <text>
        <r>
          <rPr>
            <b/>
            <sz val="9"/>
            <rFont val="宋体"/>
            <charset val="134"/>
          </rPr>
          <t>Administrator:</t>
        </r>
        <r>
          <rPr>
            <sz val="9"/>
            <rFont val="宋体"/>
            <charset val="134"/>
          </rPr>
          <t xml:space="preserve">
至2017.4.15止为长泰结算，办理总结算。从2017.5.1开始签订长兴合同。</t>
        </r>
      </text>
    </comment>
  </commentList>
</comments>
</file>

<file path=xl/comments12.xml><?xml version="1.0" encoding="utf-8"?>
<comments xmlns="http://schemas.openxmlformats.org/spreadsheetml/2006/main">
  <authors>
    <author>Administrator</author>
  </authors>
  <commentList>
    <comment ref="M43" authorId="0" shapeId="0">
      <text>
        <r>
          <rPr>
            <b/>
            <sz val="9"/>
            <rFont val="宋体"/>
            <charset val="134"/>
          </rPr>
          <t>Administrator:</t>
        </r>
        <r>
          <rPr>
            <sz val="9"/>
            <rFont val="宋体"/>
            <charset val="134"/>
          </rPr>
          <t xml:space="preserve">
吴金松支付</t>
        </r>
      </text>
    </comment>
    <comment ref="M47" authorId="0" shapeId="0">
      <text>
        <r>
          <rPr>
            <b/>
            <sz val="9"/>
            <rFont val="宋体"/>
            <charset val="134"/>
          </rPr>
          <t>Administrator:</t>
        </r>
        <r>
          <rPr>
            <sz val="9"/>
            <rFont val="宋体"/>
            <charset val="134"/>
          </rPr>
          <t xml:space="preserve">
工地自付</t>
        </r>
      </text>
    </comment>
    <comment ref="C131" authorId="0" shapeId="0">
      <text>
        <r>
          <rPr>
            <sz val="9"/>
            <rFont val="宋体"/>
            <charset val="134"/>
          </rPr>
          <t>Administrator:
细石掺30%工地要求减370元</t>
        </r>
      </text>
    </comment>
    <comment ref="L133" authorId="0" shapeId="0">
      <text>
        <r>
          <rPr>
            <b/>
            <sz val="9"/>
            <rFont val="宋体"/>
            <charset val="134"/>
          </rPr>
          <t>Administrator:</t>
        </r>
        <r>
          <rPr>
            <sz val="9"/>
            <rFont val="宋体"/>
            <charset val="134"/>
          </rPr>
          <t xml:space="preserve">
相差370元；</t>
        </r>
      </text>
    </comment>
  </commentList>
</comments>
</file>

<file path=xl/comments13.xml><?xml version="1.0" encoding="utf-8"?>
<comments xmlns="http://schemas.openxmlformats.org/spreadsheetml/2006/main">
  <authors>
    <author>User</author>
    <author>cx</author>
    <author>Microsoft</author>
    <author>Administrator</author>
  </authors>
  <commentList>
    <comment ref="C32" authorId="0" shapeId="0">
      <text>
        <r>
          <rPr>
            <sz val="9"/>
            <rFont val="宋体"/>
            <charset val="134"/>
          </rPr>
          <t>二沙岛：234m3，63978元
大学城：1779.5m3，486239元</t>
        </r>
      </text>
    </comment>
    <comment ref="C33" authorId="0" shapeId="0">
      <text>
        <r>
          <rPr>
            <sz val="9"/>
            <rFont val="宋体"/>
            <charset val="134"/>
          </rPr>
          <t xml:space="preserve">二沙岛：42m3，金额11424元
大学城：2277m3，金额703954元
</t>
        </r>
      </text>
    </comment>
    <comment ref="C34" authorId="0" shapeId="0">
      <text>
        <r>
          <rPr>
            <sz val="9"/>
            <rFont val="宋体"/>
            <charset val="134"/>
          </rPr>
          <t>二沙岛：5m3，1660元
大学城：1378m3，457026元</t>
        </r>
      </text>
    </comment>
    <comment ref="C36" authorId="0" shapeId="0">
      <text>
        <r>
          <rPr>
            <sz val="9"/>
            <rFont val="宋体"/>
            <charset val="134"/>
          </rPr>
          <t>二沙岛：2m3，金额：874元</t>
        </r>
      </text>
    </comment>
    <comment ref="C38" authorId="0" shapeId="0">
      <text>
        <r>
          <rPr>
            <sz val="9"/>
            <rFont val="宋体"/>
            <charset val="134"/>
          </rPr>
          <t>二沙岛：4.5m3，金额：1966.50元</t>
        </r>
      </text>
    </comment>
    <comment ref="C40" authorId="1" shapeId="0">
      <text>
        <r>
          <rPr>
            <sz val="9"/>
            <rFont val="宋体"/>
            <charset val="134"/>
          </rPr>
          <t xml:space="preserve">cx:
二沙岛：9.5m³，金额：3239元
</t>
        </r>
      </text>
    </comment>
    <comment ref="C43" authorId="2" shapeId="0">
      <text>
        <r>
          <rPr>
            <sz val="9"/>
            <rFont val="宋体"/>
            <charset val="134"/>
          </rPr>
          <t>Microsoft:
二沙岛：4   1538元
大滨城：69  22585.5元</t>
        </r>
      </text>
    </comment>
    <comment ref="C53" authorId="3" shapeId="0">
      <text>
        <r>
          <rPr>
            <sz val="9"/>
            <rFont val="宋体"/>
            <charset val="134"/>
          </rPr>
          <t>Administrator:
华盛大学城</t>
        </r>
      </text>
    </comment>
    <comment ref="C54" authorId="3" shapeId="0">
      <text>
        <r>
          <rPr>
            <sz val="9"/>
            <rFont val="宋体"/>
            <charset val="134"/>
          </rPr>
          <t>Administrator:
华盛大学城</t>
        </r>
      </text>
    </comment>
    <comment ref="C56" authorId="3" shapeId="0">
      <text>
        <r>
          <rPr>
            <sz val="9"/>
            <rFont val="宋体"/>
            <charset val="134"/>
          </rPr>
          <t>Administrator:华盛大学城</t>
        </r>
      </text>
    </comment>
    <comment ref="C57" authorId="3" shapeId="0">
      <text>
        <r>
          <rPr>
            <sz val="9"/>
            <rFont val="宋体"/>
            <charset val="134"/>
          </rPr>
          <t>Administrator:
华盛大学城</t>
        </r>
      </text>
    </comment>
    <comment ref="C58" authorId="3" shapeId="0">
      <text>
        <r>
          <rPr>
            <sz val="9"/>
            <rFont val="宋体"/>
            <charset val="134"/>
          </rPr>
          <t>Administrator:
华盛大学城</t>
        </r>
      </text>
    </comment>
    <comment ref="C59" authorId="3" shapeId="0">
      <text>
        <r>
          <rPr>
            <sz val="9"/>
            <rFont val="宋体"/>
            <charset val="134"/>
          </rPr>
          <t>Administrator:
华盛大学城</t>
        </r>
      </text>
    </comment>
  </commentList>
</comments>
</file>

<file path=xl/comments14.xml><?xml version="1.0" encoding="utf-8"?>
<comments xmlns="http://schemas.openxmlformats.org/spreadsheetml/2006/main">
  <authors>
    <author>User</author>
  </authors>
  <commentList>
    <comment ref="C30" authorId="0" shapeId="0">
      <text>
        <r>
          <rPr>
            <sz val="9"/>
            <rFont val="宋体"/>
            <charset val="134"/>
          </rPr>
          <t>C30：316元/m3结算，从10月15日开始补45元/m3</t>
        </r>
      </text>
    </comment>
  </commentList>
</comments>
</file>

<file path=xl/comments15.xml><?xml version="1.0" encoding="utf-8"?>
<comments xmlns="http://schemas.openxmlformats.org/spreadsheetml/2006/main">
  <authors>
    <author>User</author>
    <author>微软用户</author>
  </authors>
  <commentList>
    <comment ref="C20" authorId="0" shapeId="0">
      <text>
        <r>
          <rPr>
            <sz val="9"/>
            <rFont val="宋体"/>
            <charset val="134"/>
          </rPr>
          <t>白云派出所出料：31m3，金额：8990元</t>
        </r>
      </text>
    </comment>
    <comment ref="C21" authorId="1" shapeId="0">
      <text>
        <r>
          <rPr>
            <sz val="9"/>
            <rFont val="宋体"/>
            <charset val="134"/>
          </rPr>
          <t xml:space="preserve">微软用户:
白云派出所45670
</t>
        </r>
      </text>
    </comment>
    <comment ref="C22" authorId="0" shapeId="0">
      <text>
        <r>
          <rPr>
            <sz val="9"/>
            <rFont val="宋体"/>
            <charset val="134"/>
          </rPr>
          <t>高级中学：526m3，168320元，白云山：191m3，62380元</t>
        </r>
      </text>
    </comment>
    <comment ref="C23" authorId="1" shapeId="0">
      <text>
        <r>
          <rPr>
            <sz val="9"/>
            <rFont val="宋体"/>
            <charset val="134"/>
          </rPr>
          <t xml:space="preserve">微软用户:
白云山派出所29200
</t>
        </r>
      </text>
    </comment>
    <comment ref="C24" authorId="1" shapeId="0">
      <text>
        <r>
          <rPr>
            <sz val="9"/>
            <rFont val="宋体"/>
            <charset val="134"/>
          </rPr>
          <t xml:space="preserve">微软用户:
白云山派出所5800
</t>
        </r>
      </text>
    </comment>
    <comment ref="C25" authorId="1" shapeId="0">
      <text>
        <r>
          <rPr>
            <sz val="9"/>
            <rFont val="宋体"/>
            <charset val="134"/>
          </rPr>
          <t xml:space="preserve">微软用户:
白云山派出所1395
</t>
        </r>
      </text>
    </comment>
    <comment ref="C28" authorId="0" shapeId="0">
      <text>
        <r>
          <rPr>
            <sz val="9"/>
            <rFont val="宋体"/>
            <charset val="134"/>
          </rPr>
          <t>User:
白云山派出所9300</t>
        </r>
      </text>
    </comment>
  </commentList>
</comments>
</file>

<file path=xl/comments16.xml><?xml version="1.0" encoding="utf-8"?>
<comments xmlns="http://schemas.openxmlformats.org/spreadsheetml/2006/main">
  <authors>
    <author>User</author>
  </authors>
  <commentList>
    <comment ref="C28" authorId="0" shapeId="0">
      <text>
        <r>
          <rPr>
            <sz val="9"/>
            <rFont val="宋体"/>
            <charset val="134"/>
          </rPr>
          <t>User:
结算单金额为543665元，扣去6.5m³，共计2242.5元。</t>
        </r>
      </text>
    </comment>
  </commentList>
</comments>
</file>

<file path=xl/comments17.xml><?xml version="1.0" encoding="utf-8"?>
<comments xmlns="http://schemas.openxmlformats.org/spreadsheetml/2006/main">
  <authors>
    <author>微软用户</author>
    <author>User</author>
  </authors>
  <commentList>
    <comment ref="C26" authorId="0" shapeId="0">
      <text>
        <r>
          <rPr>
            <sz val="9"/>
            <rFont val="宋体"/>
            <charset val="134"/>
          </rPr>
          <t>微软用户:
含税价
不含税价为1715695</t>
        </r>
      </text>
    </comment>
    <comment ref="C27" authorId="1" shapeId="0">
      <text>
        <r>
          <rPr>
            <sz val="9"/>
            <rFont val="宋体"/>
            <charset val="134"/>
          </rPr>
          <t>User:
不含税金额2644295</t>
        </r>
      </text>
    </comment>
    <comment ref="C28" authorId="1" shapeId="0">
      <text>
        <r>
          <rPr>
            <sz val="9"/>
            <rFont val="宋体"/>
            <charset val="134"/>
          </rPr>
          <t>User:
含税金额为727814</t>
        </r>
      </text>
    </comment>
    <comment ref="C29" authorId="1" shapeId="0">
      <text>
        <r>
          <rPr>
            <sz val="9"/>
            <rFont val="宋体"/>
            <charset val="134"/>
          </rPr>
          <t>User:
含税金额为1694833</t>
        </r>
      </text>
    </comment>
    <comment ref="C30" authorId="1" shapeId="0">
      <text>
        <r>
          <rPr>
            <sz val="9"/>
            <rFont val="宋体"/>
            <charset val="134"/>
          </rPr>
          <t>User:
含税金额为1150150.5</t>
        </r>
      </text>
    </comment>
    <comment ref="C31" authorId="1" shapeId="0">
      <text>
        <r>
          <rPr>
            <sz val="9"/>
            <rFont val="宋体"/>
            <charset val="134"/>
          </rPr>
          <t xml:space="preserve">User:
含税价1369106
           </t>
        </r>
      </text>
    </comment>
  </commentList>
</comments>
</file>

<file path=xl/comments18.xml><?xml version="1.0" encoding="utf-8"?>
<comments xmlns="http://schemas.openxmlformats.org/spreadsheetml/2006/main">
  <authors>
    <author>Administrator</author>
  </authors>
  <commentList>
    <comment ref="C37" authorId="0" shapeId="0">
      <text>
        <r>
          <rPr>
            <sz val="9"/>
            <rFont val="宋体"/>
            <charset val="134"/>
          </rPr>
          <t>Administrator:
结算单为40815元；少60元运费</t>
        </r>
      </text>
    </comment>
  </commentList>
</comments>
</file>

<file path=xl/comments19.xml><?xml version="1.0" encoding="utf-8"?>
<comments xmlns="http://schemas.openxmlformats.org/spreadsheetml/2006/main">
  <authors>
    <author>Administrator</author>
  </authors>
  <commentList>
    <comment ref="C26" authorId="0" shapeId="0">
      <text>
        <r>
          <rPr>
            <sz val="9"/>
            <rFont val="宋体"/>
            <charset val="134"/>
          </rPr>
          <t>Administrator:
结算单未回</t>
        </r>
      </text>
    </comment>
    <comment ref="C39" authorId="0" shapeId="0">
      <text>
        <r>
          <rPr>
            <sz val="9"/>
            <rFont val="宋体"/>
            <charset val="134"/>
          </rPr>
          <t>Administrator:
根据双方2015年7月补充协议，2014年第四季度与2015年第一季度因信息价问题，补偿10元/m3；2015年4月因砂价上涨，补偿20元/m3；2014年4月至6月，调整为固定单价；C30 305元；</t>
        </r>
      </text>
    </comment>
    <comment ref="E45" authorId="0" shapeId="0">
      <text>
        <r>
          <rPr>
            <sz val="9"/>
            <rFont val="宋体"/>
            <charset val="134"/>
          </rPr>
          <t>Administrator:
5.23与财务对过货款</t>
        </r>
      </text>
    </comment>
    <comment ref="M50" authorId="0" shapeId="0">
      <text>
        <r>
          <rPr>
            <b/>
            <sz val="9"/>
            <rFont val="宋体"/>
            <charset val="134"/>
          </rPr>
          <t>Administrator:</t>
        </r>
        <r>
          <rPr>
            <sz val="9"/>
            <rFont val="宋体"/>
            <charset val="134"/>
          </rPr>
          <t xml:space="preserve">
部分货款于干砂浆</t>
        </r>
      </text>
    </comment>
  </commentList>
</comments>
</file>

<file path=xl/comments2.xml><?xml version="1.0" encoding="utf-8"?>
<comments xmlns="http://schemas.openxmlformats.org/spreadsheetml/2006/main">
  <authors>
    <author>Administrator</author>
  </authors>
  <commentList>
    <comment ref="B15" authorId="0" shapeId="0">
      <text>
        <r>
          <rPr>
            <sz val="9"/>
            <rFont val="宋体"/>
            <charset val="134"/>
          </rPr>
          <t>Administrator:
不含税单价</t>
        </r>
      </text>
    </comment>
    <comment ref="I24" authorId="0" shapeId="0">
      <text>
        <r>
          <rPr>
            <sz val="9"/>
            <rFont val="宋体"/>
            <charset val="134"/>
          </rPr>
          <t>Administrator:
250万原来入数</t>
        </r>
      </text>
    </comment>
    <comment ref="B25" authorId="0" shapeId="0">
      <text>
        <r>
          <rPr>
            <sz val="9"/>
            <rFont val="宋体"/>
            <charset val="134"/>
          </rPr>
          <t>Administrator:
其中22方按等级差单价算</t>
        </r>
      </text>
    </comment>
    <comment ref="B30" authorId="0" shapeId="0">
      <text>
        <r>
          <rPr>
            <sz val="9"/>
            <rFont val="宋体"/>
            <charset val="134"/>
          </rPr>
          <t>Administrator:
其中24方按等级差单价计算</t>
        </r>
      </text>
    </comment>
    <comment ref="C39" authorId="0" shapeId="0">
      <text>
        <r>
          <rPr>
            <sz val="9"/>
            <rFont val="宋体"/>
            <charset val="134"/>
          </rPr>
          <t>Administrator:
8.27砂浆运费财务算错60元；</t>
        </r>
      </text>
    </comment>
    <comment ref="C41" authorId="0" shapeId="0">
      <text>
        <r>
          <rPr>
            <sz val="9"/>
            <rFont val="宋体"/>
            <charset val="134"/>
          </rPr>
          <t>Administrator:
2013年12.31开出80万元；2014年3月31开出1999978元；（税率按7%）</t>
        </r>
      </text>
    </comment>
    <comment ref="C42" authorId="0" shapeId="0">
      <text>
        <r>
          <rPr>
            <sz val="9"/>
            <rFont val="宋体"/>
            <charset val="134"/>
          </rPr>
          <t>Administrator:
2013年12月31日开出发票318548元（税率按7%-，税金为22298.36元）---对方财务说没收到此发票故不肯确认税金；2014年1月31日开395838元；2014年2月28日付783676元；2014年5月16日付840508元（双方协商税率按3.5%）</t>
        </r>
      </text>
    </comment>
  </commentList>
</comments>
</file>

<file path=xl/comments20.xml><?xml version="1.0" encoding="utf-8"?>
<comments xmlns="http://schemas.openxmlformats.org/spreadsheetml/2006/main">
  <authors>
    <author>Administrator</author>
    <author>User</author>
  </authors>
  <commentList>
    <comment ref="C7" authorId="0" shapeId="0">
      <text>
        <r>
          <rPr>
            <sz val="9"/>
            <rFont val="宋体"/>
            <charset val="134"/>
          </rPr>
          <t>Administrator:
其中有48方；15696元补单；（6月份重新打结算，录到6月份的货款里面）</t>
        </r>
      </text>
    </comment>
    <comment ref="B12" authorId="1" shapeId="0">
      <text>
        <r>
          <rPr>
            <sz val="9"/>
            <rFont val="宋体"/>
            <charset val="134"/>
          </rPr>
          <t xml:space="preserve">User:
结算单统计出错，减11方C35P8
</t>
        </r>
      </text>
    </comment>
    <comment ref="C12" authorId="1" shapeId="0">
      <text>
        <r>
          <rPr>
            <sz val="9"/>
            <rFont val="宋体"/>
            <charset val="134"/>
          </rPr>
          <t>U
结算单减11方C35P8
3652元
48方；15696元财务漏数，重新打结算</t>
        </r>
      </text>
    </comment>
    <comment ref="C19" authorId="0" shapeId="0">
      <text>
        <r>
          <rPr>
            <sz val="9"/>
            <rFont val="宋体"/>
            <charset val="134"/>
          </rPr>
          <t>Administrator:
34方；12208元漏单；重新补回；
612方；213024元（白云出料）</t>
        </r>
      </text>
    </comment>
    <comment ref="J32" authorId="0" shapeId="0">
      <text>
        <r>
          <rPr>
            <sz val="9"/>
            <rFont val="宋体"/>
            <charset val="134"/>
          </rPr>
          <t>Administrator:
长泰收款245085元</t>
        </r>
      </text>
    </comment>
    <comment ref="L32" authorId="0" shapeId="0">
      <text>
        <r>
          <rPr>
            <sz val="9"/>
            <rFont val="宋体"/>
            <charset val="134"/>
          </rPr>
          <t>Administrator:
对账单7719500.4元</t>
        </r>
      </text>
    </comment>
    <comment ref="A36" authorId="0" shapeId="0">
      <text>
        <r>
          <rPr>
            <b/>
            <sz val="9"/>
            <rFont val="宋体"/>
            <charset val="134"/>
          </rPr>
          <t>Administrator:</t>
        </r>
        <r>
          <rPr>
            <sz val="9"/>
            <rFont val="宋体"/>
            <charset val="134"/>
          </rPr>
          <t xml:space="preserve">
结算单只核对数量</t>
        </r>
      </text>
    </comment>
  </commentList>
</comments>
</file>

<file path=xl/comments21.xml><?xml version="1.0" encoding="utf-8"?>
<comments xmlns="http://schemas.openxmlformats.org/spreadsheetml/2006/main">
  <authors>
    <author>Administrator</author>
  </authors>
  <commentList>
    <comment ref="C1" authorId="0" shapeId="0">
      <text>
        <r>
          <rPr>
            <sz val="9"/>
            <rFont val="宋体"/>
            <charset val="134"/>
          </rPr>
          <t>Administrator:
长泰合同</t>
        </r>
      </text>
    </comment>
    <comment ref="A31" authorId="0" shapeId="0">
      <text>
        <r>
          <rPr>
            <sz val="9"/>
            <rFont val="宋体"/>
            <charset val="134"/>
          </rPr>
          <t>Administrator:
补充协议三：从2015年6月下调10元；2015年7月1日再次下调10元；</t>
        </r>
      </text>
    </comment>
  </commentList>
</comments>
</file>

<file path=xl/comments22.xml><?xml version="1.0" encoding="utf-8"?>
<comments xmlns="http://schemas.openxmlformats.org/spreadsheetml/2006/main">
  <authors>
    <author>Administrator</author>
  </authors>
  <commentList>
    <comment ref="C7" authorId="0" shapeId="0">
      <text>
        <r>
          <rPr>
            <sz val="9"/>
            <rFont val="宋体"/>
            <charset val="134"/>
          </rPr>
          <t>Administrator:
不含税单价结算；136280元</t>
        </r>
      </text>
    </comment>
    <comment ref="C8" authorId="0" shapeId="0">
      <text>
        <r>
          <rPr>
            <sz val="9"/>
            <rFont val="宋体"/>
            <charset val="134"/>
          </rPr>
          <t>Administrator:
不含税单价结算：109440元；</t>
        </r>
      </text>
    </comment>
    <comment ref="C9" authorId="0" shapeId="0">
      <text>
        <r>
          <rPr>
            <sz val="9"/>
            <rFont val="宋体"/>
            <charset val="134"/>
          </rPr>
          <t>Administrator:
不含税单价结算：100555元</t>
        </r>
      </text>
    </comment>
    <comment ref="C10" authorId="0" shapeId="0">
      <text>
        <r>
          <rPr>
            <sz val="9"/>
            <rFont val="宋体"/>
            <charset val="134"/>
          </rPr>
          <t>Administrator:
不含税单价结算：164707.5元</t>
        </r>
      </text>
    </comment>
    <comment ref="I10" authorId="0" shapeId="0">
      <text>
        <r>
          <rPr>
            <sz val="9"/>
            <rFont val="宋体"/>
            <charset val="134"/>
          </rPr>
          <t>Administrator:
该收款为4月至6月不含税收款。</t>
        </r>
      </text>
    </comment>
    <comment ref="M10" authorId="0" shapeId="0">
      <text>
        <r>
          <rPr>
            <sz val="9"/>
            <rFont val="宋体"/>
            <charset val="134"/>
          </rPr>
          <t>Administrator:
该收款为4月、5月、6月不含税货款；</t>
        </r>
      </text>
    </comment>
    <comment ref="C11" authorId="0" shapeId="0">
      <text>
        <r>
          <rPr>
            <sz val="9"/>
            <rFont val="宋体"/>
            <charset val="134"/>
          </rPr>
          <t>Administrator:
不含税单价结算：114560元；</t>
        </r>
      </text>
    </comment>
    <comment ref="C12" authorId="0" shapeId="0">
      <text>
        <r>
          <rPr>
            <sz val="9"/>
            <rFont val="宋体"/>
            <charset val="134"/>
          </rPr>
          <t>Administrator:
含税价结算；</t>
        </r>
      </text>
    </comment>
    <comment ref="I12" authorId="0" shapeId="0">
      <text>
        <r>
          <rPr>
            <sz val="9"/>
            <rFont val="宋体"/>
            <charset val="134"/>
          </rPr>
          <t>Administrator:
该收款为7月至8月不含税收款。</t>
        </r>
      </text>
    </comment>
    <comment ref="M12" authorId="0" shapeId="0">
      <text>
        <r>
          <rPr>
            <sz val="9"/>
            <rFont val="宋体"/>
            <charset val="134"/>
          </rPr>
          <t>Administrator:
该收款为不含税7月；8月不含税货款；</t>
        </r>
      </text>
    </comment>
    <comment ref="C13" authorId="0" shapeId="0">
      <text>
        <r>
          <rPr>
            <sz val="9"/>
            <rFont val="宋体"/>
            <charset val="134"/>
          </rPr>
          <t xml:space="preserve">Administrator:
含税价结算；减去30方；
9月有异常，工地扣除30方；
</t>
        </r>
      </text>
    </comment>
    <comment ref="I15" authorId="0" shapeId="0">
      <text>
        <r>
          <rPr>
            <sz val="9"/>
            <rFont val="宋体"/>
            <charset val="134"/>
          </rPr>
          <t>Administrator:
该收款为9月和10月价含税收款。</t>
        </r>
      </text>
    </comment>
    <comment ref="C33" authorId="0" shapeId="0">
      <text>
        <r>
          <rPr>
            <b/>
            <sz val="9"/>
            <rFont val="宋体"/>
            <charset val="134"/>
          </rPr>
          <t>Administrator:</t>
        </r>
        <r>
          <rPr>
            <sz val="9"/>
            <rFont val="宋体"/>
            <charset val="134"/>
          </rPr>
          <t xml:space="preserve">
开票2743660元</t>
        </r>
      </text>
    </comment>
  </commentList>
</comments>
</file>

<file path=xl/comments23.xml><?xml version="1.0" encoding="utf-8"?>
<comments xmlns="http://schemas.openxmlformats.org/spreadsheetml/2006/main">
  <authors>
    <author>Administrator</author>
  </authors>
  <commentList>
    <comment ref="E3" authorId="0" shapeId="0">
      <text>
        <r>
          <rPr>
            <sz val="9"/>
            <rFont val="宋体"/>
            <charset val="134"/>
          </rPr>
          <t>Administrator:
供应数量约14030.73m3，合同价款暂定金额（人民币）：叁佰万元（￥4141388.5.00元）,
若供应量超过上述暂定数量或金额的，供需双方需另行签订补充协议，否则，需方有权拒绝支付超额部分的货款。</t>
        </r>
      </text>
    </comment>
  </commentList>
</comments>
</file>

<file path=xl/comments24.xml><?xml version="1.0" encoding="utf-8"?>
<comments xmlns="http://schemas.openxmlformats.org/spreadsheetml/2006/main">
  <authors>
    <author>Administrator</author>
  </authors>
  <commentList>
    <comment ref="C7" authorId="0" shapeId="0">
      <text>
        <r>
          <rPr>
            <b/>
            <sz val="9"/>
            <rFont val="宋体"/>
            <charset val="134"/>
          </rPr>
          <t>Administrator:</t>
        </r>
        <r>
          <rPr>
            <sz val="9"/>
            <rFont val="宋体"/>
            <charset val="134"/>
          </rPr>
          <t xml:space="preserve">
</t>
        </r>
      </text>
    </comment>
  </commentList>
</comments>
</file>

<file path=xl/comments25.xml><?xml version="1.0" encoding="utf-8"?>
<comments xmlns="http://schemas.openxmlformats.org/spreadsheetml/2006/main">
  <authors>
    <author>Administrator</author>
  </authors>
  <commentList>
    <comment ref="A20" authorId="0" shapeId="0">
      <text>
        <r>
          <rPr>
            <b/>
            <sz val="9"/>
            <rFont val="宋体"/>
            <charset val="134"/>
          </rPr>
          <t>Administrator:</t>
        </r>
        <r>
          <rPr>
            <sz val="9"/>
            <rFont val="宋体"/>
            <charset val="134"/>
          </rPr>
          <t xml:space="preserve">
发票金额420977.36元</t>
        </r>
      </text>
    </comment>
  </commentList>
</comments>
</file>

<file path=xl/comments26.xml><?xml version="1.0" encoding="utf-8"?>
<comments xmlns="http://schemas.openxmlformats.org/spreadsheetml/2006/main">
  <authors>
    <author>User</author>
  </authors>
  <commentList>
    <comment ref="C8" authorId="0" shapeId="0">
      <text>
        <r>
          <rPr>
            <sz val="9"/>
            <rFont val="宋体"/>
            <charset val="134"/>
          </rPr>
          <t>原件一份交给财务</t>
        </r>
      </text>
    </comment>
  </commentList>
</comments>
</file>

<file path=xl/comments27.xml><?xml version="1.0" encoding="utf-8"?>
<comments xmlns="http://schemas.openxmlformats.org/spreadsheetml/2006/main">
  <authors>
    <author>Administrator</author>
  </authors>
  <commentList>
    <comment ref="H1" authorId="0" shapeId="0">
      <text>
        <r>
          <rPr>
            <sz val="9"/>
            <rFont val="宋体"/>
            <charset val="134"/>
          </rPr>
          <t>Administrator:
本暂定价暂以2015年第一季度广州市建设工程造价管理站发布的《广州地区建设工程常用综合价格》混凝土价格下浮22%为单价，实际结算时则按当季度广州市建设工程造价管理站公布的《广州地区建设工程常用综合价格》信息价下浮22%结算，每季度调差一次。
调差款于当月付清。</t>
        </r>
      </text>
    </comment>
  </commentList>
</comments>
</file>

<file path=xl/comments28.xml><?xml version="1.0" encoding="utf-8"?>
<comments xmlns="http://schemas.openxmlformats.org/spreadsheetml/2006/main">
  <authors>
    <author>Administrator</author>
  </authors>
  <commentList>
    <comment ref="A28" authorId="0" shapeId="0">
      <text>
        <r>
          <rPr>
            <b/>
            <sz val="9"/>
            <rFont val="宋体"/>
            <charset val="134"/>
          </rPr>
          <t>Administrator:</t>
        </r>
        <r>
          <rPr>
            <sz val="9"/>
            <rFont val="宋体"/>
            <charset val="134"/>
          </rPr>
          <t xml:space="preserve">
2017年一季度、二季度用固定价，不用调差。</t>
        </r>
      </text>
    </comment>
  </commentList>
</comments>
</file>

<file path=xl/comments29.xml><?xml version="1.0" encoding="utf-8"?>
<comments xmlns="http://schemas.openxmlformats.org/spreadsheetml/2006/main">
  <authors>
    <author>Administrator</author>
  </authors>
  <commentList>
    <comment ref="E4" authorId="0" shapeId="0">
      <text>
        <r>
          <rPr>
            <sz val="9"/>
            <rFont val="宋体"/>
            <charset val="134"/>
          </rPr>
          <t>Administrator:
650万元；2017年增加合同量至1589822.79元</t>
        </r>
      </text>
    </comment>
    <comment ref="M4" authorId="0" shapeId="0">
      <text>
        <r>
          <rPr>
            <sz val="9"/>
            <rFont val="宋体"/>
            <charset val="134"/>
          </rPr>
          <t>Administrator:
有效期至2017.3.1</t>
        </r>
      </text>
    </comment>
    <comment ref="A21" authorId="0" shapeId="0">
      <text>
        <r>
          <rPr>
            <b/>
            <sz val="9"/>
            <rFont val="宋体"/>
            <charset val="134"/>
          </rPr>
          <t>Administrator:</t>
        </r>
        <r>
          <rPr>
            <sz val="9"/>
            <rFont val="宋体"/>
            <charset val="134"/>
          </rPr>
          <t xml:space="preserve">
含税金</t>
        </r>
      </text>
    </comment>
    <comment ref="A22" authorId="0" shapeId="0">
      <text>
        <r>
          <rPr>
            <b/>
            <sz val="9"/>
            <rFont val="宋体"/>
            <charset val="134"/>
          </rPr>
          <t>Administrator:</t>
        </r>
        <r>
          <rPr>
            <sz val="9"/>
            <rFont val="宋体"/>
            <charset val="134"/>
          </rPr>
          <t xml:space="preserve">
含税金</t>
        </r>
      </text>
    </comment>
    <comment ref="C27" authorId="0" shapeId="0">
      <text>
        <r>
          <rPr>
            <b/>
            <sz val="9"/>
            <rFont val="宋体"/>
            <charset val="134"/>
          </rPr>
          <t>Administrator:</t>
        </r>
        <r>
          <rPr>
            <sz val="9"/>
            <rFont val="宋体"/>
            <charset val="134"/>
          </rPr>
          <t xml:space="preserve">
加入调差税金：6783.20
</t>
        </r>
      </text>
    </comment>
  </commentList>
</comments>
</file>

<file path=xl/comments3.xml><?xml version="1.0" encoding="utf-8"?>
<comments xmlns="http://schemas.openxmlformats.org/spreadsheetml/2006/main">
  <authors>
    <author>Administrator</author>
  </authors>
  <commentList>
    <comment ref="B20" authorId="0" shapeId="0">
      <text>
        <r>
          <rPr>
            <b/>
            <sz val="9"/>
            <rFont val="宋体"/>
            <charset val="134"/>
          </rPr>
          <t>Administrator:</t>
        </r>
        <r>
          <rPr>
            <sz val="9"/>
            <rFont val="宋体"/>
            <charset val="134"/>
          </rPr>
          <t xml:space="preserve">
其中1.5方为补砂价上涨的价格</t>
        </r>
      </text>
    </comment>
  </commentList>
</comments>
</file>

<file path=xl/comments30.xml><?xml version="1.0" encoding="utf-8"?>
<comments xmlns="http://schemas.openxmlformats.org/spreadsheetml/2006/main">
  <authors>
    <author>Administrator</author>
  </authors>
  <commentList>
    <comment ref="A13" authorId="0" shapeId="0">
      <text>
        <r>
          <rPr>
            <b/>
            <sz val="9"/>
            <rFont val="宋体"/>
            <charset val="134"/>
          </rPr>
          <t>Administrator:</t>
        </r>
        <r>
          <rPr>
            <sz val="9"/>
            <rFont val="宋体"/>
            <charset val="134"/>
          </rPr>
          <t xml:space="preserve">
2016年第三季度不超过，不予调差</t>
        </r>
      </text>
    </comment>
    <comment ref="A16" authorId="0" shapeId="0">
      <text>
        <r>
          <rPr>
            <b/>
            <sz val="9"/>
            <rFont val="宋体"/>
            <charset val="134"/>
          </rPr>
          <t>Administrator:</t>
        </r>
        <r>
          <rPr>
            <sz val="9"/>
            <rFont val="宋体"/>
            <charset val="134"/>
          </rPr>
          <t xml:space="preserve">
拿回的结算单错误</t>
        </r>
      </text>
    </comment>
    <comment ref="A19" authorId="0" shapeId="0">
      <text>
        <r>
          <rPr>
            <b/>
            <sz val="9"/>
            <rFont val="宋体"/>
            <charset val="134"/>
          </rPr>
          <t>Administrator:</t>
        </r>
        <r>
          <rPr>
            <sz val="9"/>
            <rFont val="宋体"/>
            <charset val="134"/>
          </rPr>
          <t xml:space="preserve">
2017年一季度按固定执行，不做调差</t>
        </r>
      </text>
    </comment>
  </commentList>
</comments>
</file>

<file path=xl/comments31.xml><?xml version="1.0" encoding="utf-8"?>
<comments xmlns="http://schemas.openxmlformats.org/spreadsheetml/2006/main">
  <authors>
    <author>Administrator</author>
  </authors>
  <commentList>
    <comment ref="A18" authorId="0" shapeId="0">
      <text>
        <r>
          <rPr>
            <b/>
            <sz val="9"/>
            <rFont val="宋体"/>
            <charset val="134"/>
          </rPr>
          <t>Administrator:</t>
        </r>
        <r>
          <rPr>
            <sz val="9"/>
            <rFont val="宋体"/>
            <charset val="134"/>
          </rPr>
          <t xml:space="preserve">
2017年第一季度不用调差（用固定价结算）</t>
        </r>
      </text>
    </comment>
  </commentList>
</comments>
</file>

<file path=xl/comments32.xml><?xml version="1.0" encoding="utf-8"?>
<comments xmlns="http://schemas.openxmlformats.org/spreadsheetml/2006/main">
  <authors>
    <author>Administrator</author>
  </authors>
  <commentList>
    <comment ref="A10" authorId="0" shapeId="0">
      <text>
        <r>
          <rPr>
            <b/>
            <sz val="9"/>
            <rFont val="宋体"/>
            <charset val="134"/>
          </rPr>
          <t>Administrator:</t>
        </r>
        <r>
          <rPr>
            <sz val="9"/>
            <rFont val="宋体"/>
            <charset val="134"/>
          </rPr>
          <t xml:space="preserve">
第三季度调直接用信息价下浮，不用调差</t>
        </r>
      </text>
    </comment>
  </commentList>
</comments>
</file>

<file path=xl/comments33.xml><?xml version="1.0" encoding="utf-8"?>
<comments xmlns="http://schemas.openxmlformats.org/spreadsheetml/2006/main">
  <authors>
    <author>Administrator</author>
  </authors>
  <commentList>
    <comment ref="A12" authorId="0" shapeId="0">
      <text>
        <r>
          <rPr>
            <b/>
            <sz val="9"/>
            <rFont val="宋体"/>
            <charset val="134"/>
          </rPr>
          <t>Administrator:</t>
        </r>
        <r>
          <rPr>
            <sz val="9"/>
            <rFont val="宋体"/>
            <charset val="134"/>
          </rPr>
          <t xml:space="preserve">
长兴开票</t>
        </r>
      </text>
    </comment>
    <comment ref="A13" authorId="0" shapeId="0">
      <text>
        <r>
          <rPr>
            <b/>
            <sz val="9"/>
            <rFont val="宋体"/>
            <charset val="134"/>
          </rPr>
          <t>Administrator:</t>
        </r>
        <r>
          <rPr>
            <sz val="9"/>
            <rFont val="宋体"/>
            <charset val="134"/>
          </rPr>
          <t xml:space="preserve">
长兴开票</t>
        </r>
      </text>
    </comment>
  </commentList>
</comments>
</file>

<file path=xl/comments34.xml><?xml version="1.0" encoding="utf-8"?>
<comments xmlns="http://schemas.openxmlformats.org/spreadsheetml/2006/main">
  <authors>
    <author>Administrator</author>
  </authors>
  <commentList>
    <comment ref="A11" authorId="0" shapeId="0">
      <text>
        <r>
          <rPr>
            <b/>
            <sz val="9"/>
            <rFont val="宋体"/>
            <charset val="134"/>
          </rPr>
          <t>Administrator:</t>
        </r>
        <r>
          <rPr>
            <sz val="9"/>
            <rFont val="宋体"/>
            <charset val="134"/>
          </rPr>
          <t xml:space="preserve">
长兴开票
</t>
        </r>
      </text>
    </comment>
  </commentList>
</comments>
</file>

<file path=xl/comments35.xml><?xml version="1.0" encoding="utf-8"?>
<comments xmlns="http://schemas.openxmlformats.org/spreadsheetml/2006/main">
  <authors>
    <author>Administrator</author>
  </authors>
  <commentList>
    <comment ref="E3" authorId="0" shapeId="0">
      <text>
        <r>
          <rPr>
            <b/>
            <sz val="9"/>
            <rFont val="宋体"/>
            <charset val="134"/>
          </rPr>
          <t>Administrator:</t>
        </r>
        <r>
          <rPr>
            <sz val="9"/>
            <rFont val="宋体"/>
            <charset val="134"/>
          </rPr>
          <t xml:space="preserve">
超出5万方需另外补充协议</t>
        </r>
      </text>
    </comment>
  </commentList>
</comments>
</file>

<file path=xl/comments36.xml><?xml version="1.0" encoding="utf-8"?>
<comments xmlns="http://schemas.openxmlformats.org/spreadsheetml/2006/main">
  <authors>
    <author>Administrator</author>
  </authors>
  <commentList>
    <comment ref="A10" authorId="0" shapeId="0">
      <text>
        <r>
          <rPr>
            <b/>
            <sz val="9"/>
            <rFont val="宋体"/>
            <charset val="134"/>
          </rPr>
          <t>Administrator:</t>
        </r>
        <r>
          <rPr>
            <sz val="9"/>
            <rFont val="宋体"/>
            <charset val="134"/>
          </rPr>
          <t xml:space="preserve">
发票已开</t>
        </r>
      </text>
    </comment>
  </commentList>
</comments>
</file>

<file path=xl/comments37.xml><?xml version="1.0" encoding="utf-8"?>
<comments xmlns="http://schemas.openxmlformats.org/spreadsheetml/2006/main">
  <authors>
    <author>Administrator</author>
  </authors>
  <commentList>
    <comment ref="A9" authorId="0" shapeId="0">
      <text>
        <r>
          <rPr>
            <b/>
            <sz val="9"/>
            <rFont val="宋体"/>
            <charset val="134"/>
          </rPr>
          <t>Administrator:长兴开票</t>
        </r>
      </text>
    </comment>
  </commentList>
</comments>
</file>

<file path=xl/comments38.xml><?xml version="1.0" encoding="utf-8"?>
<comments xmlns="http://schemas.openxmlformats.org/spreadsheetml/2006/main">
  <authors>
    <author>Administrator</author>
  </authors>
  <commentList>
    <comment ref="E4" authorId="0" shapeId="0">
      <text>
        <r>
          <rPr>
            <sz val="9"/>
            <rFont val="宋体"/>
            <charset val="134"/>
          </rPr>
          <t>Administrator:2015年10月6日将合同金额调整为3645万元。</t>
        </r>
      </text>
    </comment>
    <comment ref="A18" authorId="0" shapeId="0">
      <text>
        <r>
          <rPr>
            <sz val="9"/>
            <rFont val="宋体"/>
            <charset val="134"/>
          </rPr>
          <t>Administrator:
2013年至2014年7月结算单都没盖项目章</t>
        </r>
      </text>
    </comment>
    <comment ref="C21" authorId="0" shapeId="0">
      <text>
        <r>
          <rPr>
            <sz val="9"/>
            <rFont val="宋体"/>
            <charset val="134"/>
          </rPr>
          <t>Administrator:
其中287980元是杨箕复建的数。</t>
        </r>
      </text>
    </comment>
    <comment ref="A34" authorId="0" shapeId="0">
      <text>
        <r>
          <rPr>
            <sz val="9"/>
            <rFont val="宋体"/>
            <charset val="134"/>
          </rPr>
          <t xml:space="preserve">Administrator:
2015.7.3主体封顶
</t>
        </r>
      </text>
    </comment>
    <comment ref="A39" authorId="0" shapeId="0">
      <text>
        <r>
          <rPr>
            <sz val="9"/>
            <rFont val="宋体"/>
            <charset val="134"/>
          </rPr>
          <t>Administrator:
水下桩部分</t>
        </r>
      </text>
    </comment>
    <comment ref="A58" authorId="0" shapeId="0">
      <text>
        <r>
          <rPr>
            <b/>
            <sz val="9"/>
            <rFont val="宋体"/>
            <charset val="134"/>
          </rPr>
          <t>Administrator:</t>
        </r>
        <r>
          <rPr>
            <sz val="9"/>
            <rFont val="宋体"/>
            <charset val="134"/>
          </rPr>
          <t xml:space="preserve">
2017年第一季度不超过不用调差。</t>
        </r>
      </text>
    </comment>
    <comment ref="A62" authorId="0" shapeId="0">
      <text>
        <r>
          <rPr>
            <b/>
            <sz val="9"/>
            <rFont val="宋体"/>
            <charset val="134"/>
          </rPr>
          <t>Administrator:</t>
        </r>
        <r>
          <rPr>
            <sz val="9"/>
            <rFont val="宋体"/>
            <charset val="134"/>
          </rPr>
          <t xml:space="preserve">
加3月1日至7.15日 上调8元的调差</t>
        </r>
      </text>
    </comment>
  </commentList>
</comments>
</file>

<file path=xl/comments39.xml><?xml version="1.0" encoding="utf-8"?>
<comments xmlns="http://schemas.openxmlformats.org/spreadsheetml/2006/main">
  <authors>
    <author>Administrator</author>
  </authors>
  <commentList>
    <comment ref="B13" authorId="0" shapeId="0">
      <text>
        <r>
          <rPr>
            <sz val="9"/>
            <rFont val="宋体"/>
            <charset val="134"/>
          </rPr>
          <t>Administrator:
103方；32690.5为场地硬化；
337方；112895元为场地硬化</t>
        </r>
      </text>
    </comment>
    <comment ref="M25" authorId="0" shapeId="0">
      <text>
        <r>
          <rPr>
            <sz val="9"/>
            <rFont val="宋体"/>
            <charset val="134"/>
          </rPr>
          <t>Administrator:
2016年01月27日付1922000元；1.26付1350000元；2月2日付15万元；先抵扣广南货款1758972.21元；减去税款120565.17元；剩下1542462.62元；</t>
        </r>
      </text>
    </comment>
  </commentList>
</comments>
</file>

<file path=xl/comments4.xml><?xml version="1.0" encoding="utf-8"?>
<comments xmlns="http://schemas.openxmlformats.org/spreadsheetml/2006/main">
  <authors>
    <author>Administrator</author>
  </authors>
  <commentList>
    <comment ref="D3" authorId="0" shapeId="0">
      <text>
        <r>
          <rPr>
            <b/>
            <sz val="9"/>
            <rFont val="宋体"/>
            <charset val="134"/>
          </rPr>
          <t>Administrator:</t>
        </r>
        <r>
          <rPr>
            <sz val="9"/>
            <rFont val="宋体"/>
            <charset val="134"/>
          </rPr>
          <t xml:space="preserve">
合同价</t>
        </r>
      </text>
    </comment>
    <comment ref="A15" authorId="0" shapeId="0">
      <text>
        <r>
          <rPr>
            <b/>
            <sz val="9"/>
            <rFont val="宋体"/>
            <charset val="134"/>
          </rPr>
          <t>Administrator:</t>
        </r>
        <r>
          <rPr>
            <sz val="9"/>
            <rFont val="宋体"/>
            <charset val="134"/>
          </rPr>
          <t xml:space="preserve">
2017年第二季度调差为0.</t>
        </r>
      </text>
    </comment>
  </commentList>
</comments>
</file>

<file path=xl/comments40.xml><?xml version="1.0" encoding="utf-8"?>
<comments xmlns="http://schemas.openxmlformats.org/spreadsheetml/2006/main">
  <authors>
    <author>Administrator</author>
  </authors>
  <commentList>
    <comment ref="B44" authorId="0" shapeId="0">
      <text>
        <r>
          <rPr>
            <sz val="9"/>
            <rFont val="宋体"/>
            <charset val="134"/>
          </rPr>
          <t xml:space="preserve">Administrator:
主体部分
</t>
        </r>
      </text>
    </comment>
  </commentList>
</comments>
</file>

<file path=xl/comments41.xml><?xml version="1.0" encoding="utf-8"?>
<comments xmlns="http://schemas.openxmlformats.org/spreadsheetml/2006/main">
  <authors>
    <author>Administrator</author>
  </authors>
  <commentList>
    <comment ref="C24" authorId="0" shapeId="0">
      <text>
        <r>
          <rPr>
            <sz val="9"/>
            <rFont val="宋体"/>
            <charset val="134"/>
          </rPr>
          <t>Administrator:
第三季度调差-2210.69元</t>
        </r>
      </text>
    </comment>
    <comment ref="A29" authorId="0" shapeId="0">
      <text>
        <r>
          <rPr>
            <sz val="9"/>
            <rFont val="宋体"/>
            <charset val="134"/>
          </rPr>
          <t>Administrator:
加入第四季度调差：-18362.92元；</t>
        </r>
      </text>
    </comment>
    <comment ref="A30" authorId="0" shapeId="0">
      <text>
        <r>
          <rPr>
            <sz val="9"/>
            <rFont val="宋体"/>
            <charset val="134"/>
          </rPr>
          <t>Administrator:
加入第一季度调差：-487.82元；</t>
        </r>
      </text>
    </comment>
    <comment ref="A35" authorId="0" shapeId="0">
      <text>
        <r>
          <rPr>
            <b/>
            <sz val="9"/>
            <rFont val="宋体"/>
            <charset val="134"/>
          </rPr>
          <t>Administrator:</t>
        </r>
        <r>
          <rPr>
            <sz val="9"/>
            <rFont val="宋体"/>
            <charset val="134"/>
          </rPr>
          <t xml:space="preserve">
2016年第二季度调差已加入</t>
        </r>
      </text>
    </comment>
  </commentList>
</comments>
</file>

<file path=xl/comments42.xml><?xml version="1.0" encoding="utf-8"?>
<comments xmlns="http://schemas.openxmlformats.org/spreadsheetml/2006/main">
  <authors>
    <author>Administrator</author>
  </authors>
  <commentList>
    <comment ref="I24" authorId="0" shapeId="0">
      <text>
        <r>
          <rPr>
            <b/>
            <sz val="9"/>
            <rFont val="宋体"/>
            <charset val="134"/>
          </rPr>
          <t>Administrator:</t>
        </r>
        <r>
          <rPr>
            <sz val="9"/>
            <rFont val="宋体"/>
            <charset val="134"/>
          </rPr>
          <t xml:space="preserve">
移到</t>
        </r>
      </text>
    </comment>
  </commentList>
</comments>
</file>

<file path=xl/comments43.xml><?xml version="1.0" encoding="utf-8"?>
<comments xmlns="http://schemas.openxmlformats.org/spreadsheetml/2006/main">
  <authors>
    <author>Administrator</author>
  </authors>
  <commentList>
    <comment ref="B3" authorId="0" shapeId="0">
      <text>
        <r>
          <rPr>
            <sz val="9"/>
            <rFont val="宋体"/>
            <charset val="134"/>
          </rPr>
          <t>Administrator:
D4-D7</t>
        </r>
      </text>
    </comment>
    <comment ref="A9" authorId="0" shapeId="0">
      <text>
        <r>
          <rPr>
            <sz val="9"/>
            <rFont val="宋体"/>
            <charset val="134"/>
          </rPr>
          <t>Administrat2016.1.24:C40早强三天达100%混凝土55m3，55*45=2475元；工地要求减免。</t>
        </r>
      </text>
    </comment>
    <comment ref="E28" authorId="0" shapeId="0">
      <text>
        <r>
          <rPr>
            <b/>
            <sz val="9"/>
            <rFont val="宋体"/>
            <charset val="134"/>
          </rPr>
          <t>Administrator:</t>
        </r>
        <r>
          <rPr>
            <sz val="9"/>
            <rFont val="宋体"/>
            <charset val="134"/>
          </rPr>
          <t xml:space="preserve">
财务未加调差款
</t>
        </r>
      </text>
    </comment>
  </commentList>
</comments>
</file>

<file path=xl/comments44.xml><?xml version="1.0" encoding="utf-8"?>
<comments xmlns="http://schemas.openxmlformats.org/spreadsheetml/2006/main">
  <authors>
    <author>Administrator</author>
  </authors>
  <commentList>
    <comment ref="C10" authorId="0" shapeId="0">
      <text>
        <r>
          <rPr>
            <sz val="9"/>
            <rFont val="宋体"/>
            <charset val="134"/>
          </rPr>
          <t>Administrator:
100元空载费财务多算出给工地</t>
        </r>
      </text>
    </comment>
  </commentList>
</comments>
</file>

<file path=xl/comments45.xml><?xml version="1.0" encoding="utf-8"?>
<comments xmlns="http://schemas.openxmlformats.org/spreadsheetml/2006/main">
  <authors>
    <author>Administrator</author>
  </authors>
  <commentList>
    <comment ref="I1" authorId="0" shapeId="0">
      <text>
        <r>
          <rPr>
            <sz val="9"/>
            <rFont val="宋体"/>
            <charset val="134"/>
          </rPr>
          <t>Administrator:
泵送砼与普通砼单价相同</t>
        </r>
      </text>
    </comment>
    <comment ref="E3" authorId="0" shapeId="0">
      <text>
        <r>
          <rPr>
            <sz val="9"/>
            <rFont val="宋体"/>
            <charset val="134"/>
          </rPr>
          <t>Administrator:
4000万元</t>
        </r>
      </text>
    </comment>
    <comment ref="A22" authorId="0" shapeId="0">
      <text>
        <r>
          <rPr>
            <b/>
            <sz val="9"/>
            <rFont val="宋体"/>
            <charset val="134"/>
          </rPr>
          <t>Administrator:</t>
        </r>
        <r>
          <rPr>
            <sz val="9"/>
            <rFont val="宋体"/>
            <charset val="134"/>
          </rPr>
          <t xml:space="preserve">
税金</t>
        </r>
      </text>
    </comment>
  </commentList>
</comments>
</file>

<file path=xl/comments46.xml><?xml version="1.0" encoding="utf-8"?>
<comments xmlns="http://schemas.openxmlformats.org/spreadsheetml/2006/main">
  <authors>
    <author>Administrator</author>
  </authors>
  <commentList>
    <comment ref="C13" authorId="0" shapeId="0">
      <text>
        <r>
          <rPr>
            <sz val="9"/>
            <rFont val="宋体"/>
            <charset val="134"/>
          </rPr>
          <t>Administrator:
2016年6月16日工地扣除6方；工地要求在结算单扣除，2016.6.6号作异常报告，申请扣除此6方；梁总、黄站签名确认。</t>
        </r>
      </text>
    </comment>
    <comment ref="A23" authorId="0" shapeId="0">
      <text>
        <r>
          <rPr>
            <b/>
            <sz val="9"/>
            <rFont val="宋体"/>
            <charset val="134"/>
          </rPr>
          <t>Administrator:</t>
        </r>
        <r>
          <rPr>
            <sz val="9"/>
            <rFont val="宋体"/>
            <charset val="134"/>
          </rPr>
          <t xml:space="preserve">
2016年第一、第二、第三、第四季度；2017年第一季度不超过5%不予调差。</t>
        </r>
      </text>
    </comment>
  </commentList>
</comments>
</file>

<file path=xl/comments47.xml><?xml version="1.0" encoding="utf-8"?>
<comments xmlns="http://schemas.openxmlformats.org/spreadsheetml/2006/main">
  <authors>
    <author>Administrator</author>
  </authors>
  <commentList>
    <comment ref="A12" authorId="0" shapeId="0">
      <text>
        <r>
          <rPr>
            <b/>
            <sz val="9"/>
            <rFont val="宋体"/>
            <charset val="134"/>
          </rPr>
          <t>Administrator:</t>
        </r>
        <r>
          <rPr>
            <sz val="9"/>
            <rFont val="宋体"/>
            <charset val="134"/>
          </rPr>
          <t xml:space="preserve">
加了2015年11月至16年4月税金21084.78元</t>
        </r>
      </text>
    </comment>
    <comment ref="A27" authorId="0" shapeId="0">
      <text>
        <r>
          <rPr>
            <b/>
            <sz val="9"/>
            <rFont val="宋体"/>
            <charset val="134"/>
          </rPr>
          <t>Administrator:</t>
        </r>
        <r>
          <rPr>
            <sz val="9"/>
            <rFont val="宋体"/>
            <charset val="134"/>
          </rPr>
          <t xml:space="preserve">
加入16年10月至17年1月税金35072.14元+5万元税金。</t>
        </r>
      </text>
    </comment>
  </commentList>
</comments>
</file>

<file path=xl/comments48.xml><?xml version="1.0" encoding="utf-8"?>
<comments xmlns="http://schemas.openxmlformats.org/spreadsheetml/2006/main">
  <authors>
    <author>Administrator</author>
  </authors>
  <commentList>
    <comment ref="I1" authorId="0" shapeId="0">
      <text>
        <r>
          <rPr>
            <sz val="9"/>
            <rFont val="宋体"/>
            <charset val="134"/>
          </rPr>
          <t>Administrator:
泵送砼与普通砼单价相同</t>
        </r>
      </text>
    </comment>
    <comment ref="E3" authorId="0" shapeId="0">
      <text>
        <r>
          <rPr>
            <sz val="9"/>
            <rFont val="宋体"/>
            <charset val="134"/>
          </rPr>
          <t>Administrator:
4000万元</t>
        </r>
      </text>
    </comment>
    <comment ref="A23" authorId="0" shapeId="0">
      <text>
        <r>
          <rPr>
            <b/>
            <sz val="9"/>
            <rFont val="宋体"/>
            <charset val="134"/>
          </rPr>
          <t>Administrator:</t>
        </r>
        <r>
          <rPr>
            <sz val="9"/>
            <rFont val="宋体"/>
            <charset val="134"/>
          </rPr>
          <t xml:space="preserve">
长兴结算单</t>
        </r>
      </text>
    </comment>
    <comment ref="A25" authorId="0" shapeId="0">
      <text>
        <r>
          <rPr>
            <b/>
            <sz val="9"/>
            <rFont val="宋体"/>
            <charset val="134"/>
          </rPr>
          <t>Administrator
从2017年4月23日上调8元调差款：45643.12元</t>
        </r>
      </text>
    </comment>
    <comment ref="I27" authorId="0" shapeId="0">
      <text>
        <r>
          <rPr>
            <sz val="9"/>
            <rFont val="宋体"/>
            <charset val="134"/>
          </rPr>
          <t>Administrator:
泵送砼与普通砼单价相同</t>
        </r>
      </text>
    </comment>
    <comment ref="E29" authorId="0" shapeId="0">
      <text>
        <r>
          <rPr>
            <sz val="9"/>
            <rFont val="宋体"/>
            <charset val="134"/>
          </rPr>
          <t>Administrator:
4000万元</t>
        </r>
      </text>
    </comment>
    <comment ref="A33" authorId="0" shapeId="0">
      <text>
        <r>
          <rPr>
            <b/>
            <sz val="9"/>
            <rFont val="宋体"/>
            <charset val="134"/>
          </rPr>
          <t>Administrator:</t>
        </r>
        <r>
          <rPr>
            <sz val="9"/>
            <rFont val="宋体"/>
            <charset val="134"/>
          </rPr>
          <t xml:space="preserve">
长兴结算单</t>
        </r>
      </text>
    </comment>
    <comment ref="A35" authorId="0" shapeId="0">
      <text>
        <r>
          <rPr>
            <b/>
            <sz val="9"/>
            <rFont val="宋体"/>
            <charset val="134"/>
          </rPr>
          <t>Administrator
从2017年4月23日上调8元调差款：45643.12元</t>
        </r>
      </text>
    </comment>
  </commentList>
</comments>
</file>

<file path=xl/comments49.xml><?xml version="1.0" encoding="utf-8"?>
<comments xmlns="http://schemas.openxmlformats.org/spreadsheetml/2006/main">
  <authors>
    <author>Administrator</author>
  </authors>
  <commentList>
    <comment ref="A20" authorId="0" shapeId="0">
      <text>
        <r>
          <rPr>
            <b/>
            <sz val="9"/>
            <rFont val="宋体"/>
            <charset val="134"/>
          </rPr>
          <t>Administrator:</t>
        </r>
        <r>
          <rPr>
            <sz val="9"/>
            <rFont val="宋体"/>
            <charset val="134"/>
          </rPr>
          <t xml:space="preserve">
加入2017.3.1至7.15日上调20元调差：481010元；</t>
        </r>
      </text>
    </comment>
  </commentList>
</comments>
</file>

<file path=xl/comments5.xml><?xml version="1.0" encoding="utf-8"?>
<comments xmlns="http://schemas.openxmlformats.org/spreadsheetml/2006/main">
  <authors>
    <author>Administrator</author>
  </authors>
  <commentList>
    <comment ref="D3" authorId="0" shapeId="0">
      <text>
        <r>
          <rPr>
            <b/>
            <sz val="9"/>
            <rFont val="宋体"/>
            <charset val="134"/>
          </rPr>
          <t>Administrator:</t>
        </r>
        <r>
          <rPr>
            <sz val="9"/>
            <rFont val="宋体"/>
            <charset val="134"/>
          </rPr>
          <t xml:space="preserve">
合同价</t>
        </r>
      </text>
    </comment>
    <comment ref="A7" authorId="0" shapeId="0">
      <text>
        <r>
          <rPr>
            <b/>
            <sz val="9"/>
            <rFont val="宋体"/>
            <charset val="134"/>
          </rPr>
          <t>Administrator:</t>
        </r>
        <r>
          <rPr>
            <sz val="9"/>
            <rFont val="宋体"/>
            <charset val="134"/>
          </rPr>
          <t xml:space="preserve">
长兴开票</t>
        </r>
      </text>
    </comment>
  </commentList>
</comments>
</file>

<file path=xl/comments50.xml><?xml version="1.0" encoding="utf-8"?>
<comments xmlns="http://schemas.openxmlformats.org/spreadsheetml/2006/main">
  <authors>
    <author>Administrator</author>
  </authors>
  <commentList>
    <comment ref="A13" authorId="0" shapeId="0">
      <text>
        <r>
          <rPr>
            <b/>
            <sz val="9"/>
            <rFont val="宋体"/>
            <charset val="134"/>
          </rPr>
          <t>Administrator:</t>
        </r>
        <r>
          <rPr>
            <sz val="9"/>
            <rFont val="宋体"/>
            <charset val="134"/>
          </rPr>
          <t xml:space="preserve">
加入中建三局唯品会523.5方；2017年第一季度不超过5%，不予调差</t>
        </r>
      </text>
    </comment>
  </commentList>
</comments>
</file>

<file path=xl/comments51.xml><?xml version="1.0" encoding="utf-8"?>
<comments xmlns="http://schemas.openxmlformats.org/spreadsheetml/2006/main">
  <authors>
    <author>Administrator</author>
  </authors>
  <commentList>
    <comment ref="A15" authorId="0" shapeId="0">
      <text>
        <r>
          <rPr>
            <b/>
            <sz val="9"/>
            <rFont val="宋体"/>
            <charset val="134"/>
          </rPr>
          <t xml:space="preserve">Administrat
</t>
        </r>
        <r>
          <rPr>
            <sz val="9"/>
            <rFont val="宋体"/>
            <charset val="134"/>
          </rPr>
          <t>2017年第一季度用固定价，不用调差</t>
        </r>
      </text>
    </comment>
    <comment ref="A16" authorId="0" shapeId="0">
      <text>
        <r>
          <rPr>
            <b/>
            <sz val="9"/>
            <rFont val="宋体"/>
            <charset val="134"/>
          </rPr>
          <t>Administrator:</t>
        </r>
        <r>
          <rPr>
            <sz val="9"/>
            <rFont val="宋体"/>
            <charset val="134"/>
          </rPr>
          <t xml:space="preserve">
加入金融科技大楼42方；2017年第二季度调差不超过，不用调差。</t>
        </r>
      </text>
    </comment>
  </commentList>
</comments>
</file>

<file path=xl/comments52.xml><?xml version="1.0" encoding="utf-8"?>
<comments xmlns="http://schemas.openxmlformats.org/spreadsheetml/2006/main">
  <authors>
    <author>Administrator</author>
  </authors>
  <commentList>
    <comment ref="A11" authorId="0" shapeId="0">
      <text>
        <r>
          <rPr>
            <b/>
            <sz val="9"/>
            <rFont val="宋体"/>
            <charset val="134"/>
          </rPr>
          <t>Administrator:</t>
        </r>
        <r>
          <rPr>
            <sz val="9"/>
            <rFont val="宋体"/>
            <charset val="134"/>
          </rPr>
          <t xml:space="preserve">
加入中建三芳村唯品会</t>
        </r>
      </text>
    </comment>
  </commentList>
</comments>
</file>

<file path=xl/comments53.xml><?xml version="1.0" encoding="utf-8"?>
<comments xmlns="http://schemas.openxmlformats.org/spreadsheetml/2006/main">
  <authors>
    <author>Administrator</author>
  </authors>
  <commentList>
    <comment ref="A10" authorId="0" shapeId="0">
      <text>
        <r>
          <rPr>
            <b/>
            <sz val="9"/>
            <rFont val="宋体"/>
            <charset val="134"/>
          </rPr>
          <t>Administrator:</t>
        </r>
        <r>
          <rPr>
            <sz val="9"/>
            <rFont val="宋体"/>
            <charset val="134"/>
          </rPr>
          <t xml:space="preserve">
2017年第一季度不超过，不用调差。</t>
        </r>
      </text>
    </comment>
    <comment ref="A13" authorId="0" shapeId="0">
      <text>
        <r>
          <rPr>
            <b/>
            <sz val="9"/>
            <rFont val="宋体"/>
            <charset val="134"/>
          </rPr>
          <t>Administrator:</t>
        </r>
        <r>
          <rPr>
            <sz val="9"/>
            <rFont val="宋体"/>
            <charset val="134"/>
          </rPr>
          <t xml:space="preserve">
2017年3月1日至8月15日上调20元267690</t>
        </r>
      </text>
    </comment>
  </commentList>
</comments>
</file>

<file path=xl/comments54.xml><?xml version="1.0" encoding="utf-8"?>
<comments xmlns="http://schemas.openxmlformats.org/spreadsheetml/2006/main">
  <authors>
    <author>User</author>
  </authors>
  <commentList>
    <comment ref="C25" authorId="0" shapeId="0">
      <text>
        <r>
          <rPr>
            <sz val="9"/>
            <rFont val="宋体"/>
            <charset val="134"/>
          </rPr>
          <t>2012年9月22日有5m3料，工地指出料不足，并将单据扣下，扣1550元，未解决</t>
        </r>
      </text>
    </comment>
  </commentList>
</comments>
</file>

<file path=xl/comments55.xml><?xml version="1.0" encoding="utf-8"?>
<comments xmlns="http://schemas.openxmlformats.org/spreadsheetml/2006/main">
  <authors>
    <author>Administrator</author>
  </authors>
  <commentList>
    <comment ref="A30" authorId="0" shapeId="0">
      <text>
        <r>
          <rPr>
            <sz val="9"/>
            <rFont val="宋体"/>
            <charset val="134"/>
          </rPr>
          <t>Administrator:
高文接手</t>
        </r>
      </text>
    </comment>
    <comment ref="A57" authorId="0" shapeId="0">
      <text>
        <r>
          <rPr>
            <b/>
            <sz val="9"/>
            <rFont val="宋体"/>
            <charset val="134"/>
          </rPr>
          <t>Administrator:</t>
        </r>
        <r>
          <rPr>
            <sz val="9"/>
            <rFont val="宋体"/>
            <charset val="134"/>
          </rPr>
          <t xml:space="preserve">
本月发票已开</t>
        </r>
      </text>
    </comment>
  </commentList>
</comments>
</file>

<file path=xl/comments56.xml><?xml version="1.0" encoding="utf-8"?>
<comments xmlns="http://schemas.openxmlformats.org/spreadsheetml/2006/main">
  <authors>
    <author>Administrator</author>
  </authors>
  <commentList>
    <comment ref="A17" authorId="0" shapeId="0">
      <text>
        <r>
          <rPr>
            <b/>
            <sz val="9"/>
            <rFont val="宋体"/>
            <charset val="134"/>
          </rPr>
          <t>Administrator:</t>
        </r>
        <r>
          <rPr>
            <sz val="9"/>
            <rFont val="宋体"/>
            <charset val="134"/>
          </rPr>
          <t xml:space="preserve">
收回复印件结算单</t>
        </r>
      </text>
    </comment>
  </commentList>
</comments>
</file>

<file path=xl/comments57.xml><?xml version="1.0" encoding="utf-8"?>
<comments xmlns="http://schemas.openxmlformats.org/spreadsheetml/2006/main">
  <authors>
    <author>Administrator</author>
  </authors>
  <commentList>
    <comment ref="E12" authorId="0" shapeId="0">
      <text>
        <r>
          <rPr>
            <sz val="9"/>
            <rFont val="宋体"/>
            <charset val="134"/>
          </rPr>
          <t>Administrator:
此货款为含税，因该3月至8月不用开票，工地要求不用不含税单价来结算，故不含税的总货款为245892.5元；</t>
        </r>
      </text>
    </comment>
    <comment ref="C13" authorId="0" shapeId="0">
      <text>
        <r>
          <rPr>
            <sz val="9"/>
            <rFont val="宋体"/>
            <charset val="134"/>
          </rPr>
          <t xml:space="preserve">Administrator:
不含税单价
</t>
        </r>
      </text>
    </comment>
    <comment ref="C14" authorId="0" shapeId="0">
      <text>
        <r>
          <rPr>
            <sz val="9"/>
            <rFont val="宋体"/>
            <charset val="134"/>
          </rPr>
          <t>Administrator:
不含税单价</t>
        </r>
      </text>
    </comment>
    <comment ref="C15" authorId="0" shapeId="0">
      <text>
        <r>
          <rPr>
            <sz val="9"/>
            <rFont val="宋体"/>
            <charset val="134"/>
          </rPr>
          <t>Administrator:
不含税单价</t>
        </r>
      </text>
    </comment>
    <comment ref="C16" authorId="0" shapeId="0">
      <text>
        <r>
          <rPr>
            <sz val="9"/>
            <rFont val="宋体"/>
            <charset val="134"/>
          </rPr>
          <t>Administrator:
不含税单价1248321元；</t>
        </r>
      </text>
    </comment>
    <comment ref="C17" authorId="0" shapeId="0">
      <text>
        <r>
          <rPr>
            <sz val="9"/>
            <rFont val="宋体"/>
            <charset val="134"/>
          </rPr>
          <t>Administrator:
不含税单价540101.5元；</t>
        </r>
      </text>
    </comment>
    <comment ref="C18" authorId="0" shapeId="0">
      <text>
        <r>
          <rPr>
            <sz val="9"/>
            <rFont val="宋体"/>
            <charset val="134"/>
          </rPr>
          <t>Administrator:
不含税单价</t>
        </r>
      </text>
    </comment>
    <comment ref="C22" authorId="0" shapeId="0">
      <text>
        <r>
          <rPr>
            <b/>
            <sz val="9"/>
            <rFont val="宋体"/>
            <charset val="134"/>
          </rPr>
          <t>Administrator:</t>
        </r>
        <r>
          <rPr>
            <sz val="9"/>
            <rFont val="宋体"/>
            <charset val="134"/>
          </rPr>
          <t xml:space="preserve">
不含税金额</t>
        </r>
      </text>
    </comment>
  </commentList>
</comments>
</file>

<file path=xl/comments58.xml><?xml version="1.0" encoding="utf-8"?>
<comments xmlns="http://schemas.openxmlformats.org/spreadsheetml/2006/main">
  <authors>
    <author>Administrator</author>
  </authors>
  <commentList>
    <comment ref="I1" authorId="0" shapeId="0">
      <text>
        <r>
          <rPr>
            <sz val="9"/>
            <rFont val="宋体"/>
            <charset val="134"/>
          </rPr>
          <t>Administrator:
本暂定价暂以2015年第三季度广州市建设工程造价管理站发布的《广州地区建设工程常用综合价格》泵送混凝土价格下浮25%为单价，实际结算时则按当季度广州市建设工程造价管理站公布的《广州地区建设工程常用综合价格》泵送混凝土单价下浮25%结算，每季度调差一次。调差款于当月付清。</t>
        </r>
      </text>
    </comment>
    <comment ref="E20" authorId="0" shapeId="0">
      <text>
        <r>
          <rPr>
            <b/>
            <sz val="9"/>
            <rFont val="宋体"/>
            <charset val="134"/>
          </rPr>
          <t>Administrator:</t>
        </r>
        <r>
          <rPr>
            <sz val="9"/>
            <rFont val="宋体"/>
            <charset val="134"/>
          </rPr>
          <t xml:space="preserve">
核对过结算单
</t>
        </r>
      </text>
    </comment>
  </commentList>
</comments>
</file>

<file path=xl/comments59.xml><?xml version="1.0" encoding="utf-8"?>
<comments xmlns="http://schemas.openxmlformats.org/spreadsheetml/2006/main">
  <authors>
    <author>Administrator</author>
  </authors>
  <commentList>
    <comment ref="A14" authorId="0" shapeId="0">
      <text>
        <r>
          <rPr>
            <b/>
            <sz val="9"/>
            <rFont val="宋体"/>
            <charset val="134"/>
          </rPr>
          <t>Administrator:</t>
        </r>
        <r>
          <rPr>
            <sz val="9"/>
            <rFont val="宋体"/>
            <charset val="134"/>
          </rPr>
          <t xml:space="preserve">
2017年5月1日起签订三方协议，由长兴供应</t>
        </r>
      </text>
    </comment>
  </commentList>
</comments>
</file>

<file path=xl/comments6.xml><?xml version="1.0" encoding="utf-8"?>
<comments xmlns="http://schemas.openxmlformats.org/spreadsheetml/2006/main">
  <authors>
    <author>Administrator</author>
  </authors>
  <commentList>
    <comment ref="E3" authorId="0" shapeId="0">
      <text>
        <r>
          <rPr>
            <sz val="9"/>
            <rFont val="宋体"/>
            <charset val="134"/>
          </rPr>
          <t xml:space="preserve">Administrator:
</t>
        </r>
      </text>
    </comment>
    <comment ref="A17" authorId="0" shapeId="0">
      <text>
        <r>
          <rPr>
            <b/>
            <sz val="9"/>
            <rFont val="宋体"/>
            <charset val="134"/>
          </rPr>
          <t>Administrator:</t>
        </r>
        <r>
          <rPr>
            <sz val="9"/>
            <rFont val="宋体"/>
            <charset val="134"/>
          </rPr>
          <t xml:space="preserve">
2016年第一季度、第二季度、第三季度、第四季度、2017年第一季度调差不超过正负5%，不予调差。</t>
        </r>
      </text>
    </comment>
  </commentList>
</comments>
</file>

<file path=xl/comments60.xml><?xml version="1.0" encoding="utf-8"?>
<comments xmlns="http://schemas.openxmlformats.org/spreadsheetml/2006/main">
  <authors>
    <author>Administrator</author>
  </authors>
  <commentList>
    <comment ref="A16" authorId="0" shapeId="0">
      <text>
        <r>
          <rPr>
            <b/>
            <sz val="9"/>
            <rFont val="宋体"/>
            <charset val="134"/>
          </rPr>
          <t>Administrator:</t>
        </r>
        <r>
          <rPr>
            <sz val="9"/>
            <rFont val="宋体"/>
            <charset val="134"/>
          </rPr>
          <t xml:space="preserve">
长兴合同</t>
        </r>
      </text>
    </comment>
  </commentList>
</comments>
</file>

<file path=xl/comments61.xml><?xml version="1.0" encoding="utf-8"?>
<comments xmlns="http://schemas.openxmlformats.org/spreadsheetml/2006/main">
  <authors>
    <author>Administrator</author>
  </authors>
  <commentList>
    <comment ref="A7" authorId="0" shapeId="0">
      <text>
        <r>
          <rPr>
            <b/>
            <sz val="9"/>
            <rFont val="宋体"/>
            <charset val="134"/>
          </rPr>
          <t>Administrator:</t>
        </r>
        <r>
          <rPr>
            <sz val="9"/>
            <rFont val="宋体"/>
            <charset val="134"/>
          </rPr>
          <t xml:space="preserve">
华南理工大学</t>
        </r>
      </text>
    </comment>
  </commentList>
</comments>
</file>

<file path=xl/comments62.xml><?xml version="1.0" encoding="utf-8"?>
<comments xmlns="http://schemas.openxmlformats.org/spreadsheetml/2006/main">
  <authors>
    <author>Administrator</author>
  </authors>
  <commentList>
    <comment ref="D29" authorId="0" shapeId="0">
      <text>
        <r>
          <rPr>
            <sz val="9"/>
            <rFont val="宋体"/>
            <charset val="134"/>
          </rPr>
          <t>Administrator:
相差115方；</t>
        </r>
      </text>
    </comment>
    <comment ref="J29" authorId="0" shapeId="0">
      <text>
        <r>
          <rPr>
            <sz val="9"/>
            <rFont val="宋体"/>
            <charset val="134"/>
          </rPr>
          <t>Administrator:
2016.8.8和财务核对过</t>
        </r>
      </text>
    </comment>
    <comment ref="M34" authorId="0" shapeId="0">
      <text>
        <r>
          <rPr>
            <b/>
            <sz val="9"/>
            <rFont val="宋体"/>
            <charset val="134"/>
          </rPr>
          <t>Administrator:</t>
        </r>
        <r>
          <rPr>
            <sz val="9"/>
            <rFont val="宋体"/>
            <charset val="134"/>
          </rPr>
          <t xml:space="preserve">
2015年5月8日实际支付300万；其中17770.06元为海珠城砂浆款。</t>
        </r>
      </text>
    </comment>
    <comment ref="M39" authorId="0" shapeId="0">
      <text>
        <r>
          <rPr>
            <sz val="9"/>
            <rFont val="宋体"/>
            <charset val="134"/>
          </rPr>
          <t>Administrator:
2016年11月16付400万；富利新港东298995元；D栋1010050元</t>
        </r>
      </text>
    </comment>
    <comment ref="M41" authorId="0" shapeId="0">
      <text>
        <r>
          <rPr>
            <sz val="9"/>
            <rFont val="宋体"/>
            <charset val="134"/>
          </rPr>
          <t>Administrator:
2016年2月5日付200万</t>
        </r>
      </text>
    </comment>
  </commentList>
</comments>
</file>

<file path=xl/comments63.xml><?xml version="1.0" encoding="utf-8"?>
<comments xmlns="http://schemas.openxmlformats.org/spreadsheetml/2006/main">
  <authors>
    <author>Administrator</author>
  </authors>
  <commentList>
    <comment ref="M24" authorId="0" shapeId="0">
      <text>
        <r>
          <rPr>
            <sz val="9"/>
            <rFont val="宋体"/>
            <charset val="134"/>
          </rPr>
          <t xml:space="preserve">Administrator:
</t>
        </r>
      </text>
    </comment>
  </commentList>
</comments>
</file>

<file path=xl/comments64.xml><?xml version="1.0" encoding="utf-8"?>
<comments xmlns="http://schemas.openxmlformats.org/spreadsheetml/2006/main">
  <authors>
    <author>Administrator</author>
  </authors>
  <commentList>
    <comment ref="I46" authorId="0" shapeId="0">
      <text>
        <r>
          <rPr>
            <b/>
            <sz val="9"/>
            <rFont val="宋体"/>
            <charset val="134"/>
          </rPr>
          <t>Administrator:</t>
        </r>
        <r>
          <rPr>
            <sz val="9"/>
            <rFont val="宋体"/>
            <charset val="134"/>
          </rPr>
          <t xml:space="preserve">
9月30日付300万（84360元录入到公建五收款）</t>
        </r>
      </text>
    </comment>
  </commentList>
</comments>
</file>

<file path=xl/comments65.xml><?xml version="1.0" encoding="utf-8"?>
<comments xmlns="http://schemas.openxmlformats.org/spreadsheetml/2006/main">
  <authors>
    <author>Administrator</author>
  </authors>
  <commentList>
    <comment ref="G3" authorId="0" shapeId="0">
      <text>
        <r>
          <rPr>
            <sz val="9"/>
            <rFont val="宋体"/>
            <charset val="134"/>
          </rPr>
          <t>Administrator:2015年12月25日申请减免空运费。</t>
        </r>
      </text>
    </comment>
  </commentList>
</comments>
</file>

<file path=xl/comments66.xml><?xml version="1.0" encoding="utf-8"?>
<comments xmlns="http://schemas.openxmlformats.org/spreadsheetml/2006/main">
  <authors>
    <author>Administrator</author>
  </authors>
  <commentList>
    <comment ref="G3" authorId="0" shapeId="0">
      <text>
        <r>
          <rPr>
            <sz val="9"/>
            <rFont val="宋体"/>
            <charset val="134"/>
          </rPr>
          <t>Administrator:2015年12月25日申请减免空运费。</t>
        </r>
      </text>
    </comment>
    <comment ref="B7" authorId="0" shapeId="0">
      <text>
        <r>
          <rPr>
            <sz val="9"/>
            <rFont val="宋体"/>
            <charset val="134"/>
          </rPr>
          <t xml:space="preserve">Administrator:
金沙洲工建五：259.5方
</t>
        </r>
      </text>
    </comment>
    <comment ref="C7" authorId="0" shapeId="0">
      <text>
        <r>
          <rPr>
            <sz val="9"/>
            <rFont val="宋体"/>
            <charset val="134"/>
          </rPr>
          <t>Administrator:
金沙洲工建五：84360元</t>
        </r>
      </text>
    </comment>
  </commentList>
</comments>
</file>

<file path=xl/comments67.xml><?xml version="1.0" encoding="utf-8"?>
<comments xmlns="http://schemas.openxmlformats.org/spreadsheetml/2006/main">
  <authors>
    <author>User</author>
  </authors>
  <commentList>
    <comment ref="C8" authorId="0" shapeId="0">
      <text>
        <r>
          <rPr>
            <sz val="9"/>
            <rFont val="宋体"/>
            <charset val="134"/>
          </rPr>
          <t>9月25日减少3立方。</t>
        </r>
      </text>
    </comment>
    <comment ref="C11" authorId="0" shapeId="0">
      <text>
        <r>
          <rPr>
            <sz val="9"/>
            <rFont val="宋体"/>
            <charset val="134"/>
          </rPr>
          <t xml:space="preserve">结算单注明，46号桩砼到现场后初凝，已更换一车，砼存在缺陷
</t>
        </r>
      </text>
    </comment>
  </commentList>
</comments>
</file>

<file path=xl/comments68.xml><?xml version="1.0" encoding="utf-8"?>
<comments xmlns="http://schemas.openxmlformats.org/spreadsheetml/2006/main">
  <authors>
    <author>Administrator</author>
  </authors>
  <commentList>
    <comment ref="E5" authorId="0" shapeId="0">
      <text>
        <r>
          <rPr>
            <sz val="9"/>
            <rFont val="宋体"/>
            <charset val="134"/>
          </rPr>
          <t>Administrator:
2015.12.28申请减免运费。</t>
        </r>
      </text>
    </comment>
  </commentList>
</comments>
</file>

<file path=xl/comments69.xml><?xml version="1.0" encoding="utf-8"?>
<comments xmlns="http://schemas.openxmlformats.org/spreadsheetml/2006/main">
  <authors>
    <author>Administrator</author>
  </authors>
  <commentList>
    <comment ref="B7" authorId="0" shapeId="0">
      <text>
        <r>
          <rPr>
            <sz val="9"/>
            <rFont val="宋体"/>
            <charset val="134"/>
          </rPr>
          <t xml:space="preserve">Administrator:
2014年8月914方；287980元录入保利琶洲
</t>
        </r>
      </text>
    </comment>
    <comment ref="C10" authorId="0" shapeId="0">
      <text>
        <r>
          <rPr>
            <sz val="9"/>
            <rFont val="宋体"/>
            <charset val="134"/>
          </rPr>
          <t xml:space="preserve">Administrator:
2014年第三季度67011.1
</t>
        </r>
      </text>
    </comment>
    <comment ref="C21" authorId="0" shapeId="0">
      <text>
        <r>
          <rPr>
            <sz val="9"/>
            <rFont val="宋体"/>
            <charset val="134"/>
          </rPr>
          <t>Administrator:
该18150为纯水泥货款</t>
        </r>
      </text>
    </comment>
    <comment ref="C30" authorId="0" shapeId="0">
      <text>
        <r>
          <rPr>
            <sz val="9"/>
            <rFont val="宋体"/>
            <charset val="134"/>
          </rPr>
          <t>Administrator:
纯水泥25元；</t>
        </r>
      </text>
    </comment>
    <comment ref="A35" authorId="0" shapeId="0">
      <text>
        <r>
          <rPr>
            <b/>
            <sz val="9"/>
            <rFont val="宋体"/>
            <charset val="134"/>
          </rPr>
          <t>Administrator:</t>
        </r>
        <r>
          <rPr>
            <sz val="9"/>
            <rFont val="宋体"/>
            <charset val="134"/>
          </rPr>
          <t xml:space="preserve">
2016年第一、第二季度不用调差（不超过）</t>
        </r>
      </text>
    </comment>
  </commentList>
</comments>
</file>

<file path=xl/comments7.xml><?xml version="1.0" encoding="utf-8"?>
<comments xmlns="http://schemas.openxmlformats.org/spreadsheetml/2006/main">
  <authors>
    <author>Administrator</author>
  </authors>
  <commentList>
    <comment ref="H2" authorId="0" shapeId="0">
      <text>
        <r>
          <rPr>
            <sz val="9"/>
            <rFont val="宋体"/>
            <charset val="134"/>
          </rPr>
          <t>Administrator:
开票信息合同有备注。</t>
        </r>
      </text>
    </comment>
    <comment ref="A20" authorId="0" shapeId="0">
      <text>
        <r>
          <rPr>
            <b/>
            <sz val="9"/>
            <rFont val="宋体"/>
            <charset val="134"/>
          </rPr>
          <t>Administrator:</t>
        </r>
        <r>
          <rPr>
            <sz val="9"/>
            <rFont val="宋体"/>
            <charset val="134"/>
          </rPr>
          <t xml:space="preserve">
园林景观180方；51625元</t>
        </r>
      </text>
    </comment>
    <comment ref="A21" authorId="0" shapeId="0">
      <text>
        <r>
          <rPr>
            <b/>
            <sz val="9"/>
            <rFont val="宋体"/>
            <charset val="134"/>
          </rPr>
          <t>Administrator:</t>
        </r>
        <r>
          <rPr>
            <sz val="9"/>
            <rFont val="宋体"/>
            <charset val="134"/>
          </rPr>
          <t xml:space="preserve">
1310工程：6方；1590元</t>
        </r>
      </text>
    </comment>
    <comment ref="A23" authorId="0" shapeId="0">
      <text>
        <r>
          <rPr>
            <b/>
            <sz val="9"/>
            <rFont val="宋体"/>
            <charset val="134"/>
          </rPr>
          <t>Administrator:</t>
        </r>
        <r>
          <rPr>
            <sz val="9"/>
            <rFont val="宋体"/>
            <charset val="134"/>
          </rPr>
          <t xml:space="preserve">
1310共6方；1590元</t>
        </r>
      </text>
    </comment>
  </commentList>
</comments>
</file>

<file path=xl/comments70.xml><?xml version="1.0" encoding="utf-8"?>
<comments xmlns="http://schemas.openxmlformats.org/spreadsheetml/2006/main">
  <authors>
    <author>User</author>
  </authors>
  <commentList>
    <comment ref="C6" authorId="0" shapeId="0">
      <text>
        <r>
          <rPr>
            <sz val="9"/>
            <rFont val="宋体"/>
            <charset val="134"/>
          </rPr>
          <t>User:
新洲出料</t>
        </r>
      </text>
    </comment>
  </commentList>
</comments>
</file>

<file path=xl/comments71.xml><?xml version="1.0" encoding="utf-8"?>
<comments xmlns="http://schemas.openxmlformats.org/spreadsheetml/2006/main">
  <authors>
    <author>Administrator</author>
  </authors>
  <commentList>
    <comment ref="A20" authorId="0" shapeId="0">
      <text>
        <r>
          <rPr>
            <b/>
            <sz val="9"/>
            <rFont val="宋体"/>
            <charset val="134"/>
          </rPr>
          <t>Administrator:</t>
        </r>
        <r>
          <rPr>
            <sz val="9"/>
            <rFont val="宋体"/>
            <charset val="134"/>
          </rPr>
          <t xml:space="preserve">
怡人园林结算单还未回</t>
        </r>
      </text>
    </comment>
  </commentList>
</comments>
</file>

<file path=xl/comments72.xml><?xml version="1.0" encoding="utf-8"?>
<comments xmlns="http://schemas.openxmlformats.org/spreadsheetml/2006/main">
  <authors>
    <author>Administrator</author>
  </authors>
  <commentList>
    <comment ref="A12" authorId="0" shapeId="0">
      <text>
        <r>
          <rPr>
            <b/>
            <sz val="9"/>
            <rFont val="宋体"/>
            <charset val="134"/>
          </rPr>
          <t>Administrator:</t>
        </r>
        <r>
          <rPr>
            <sz val="9"/>
            <rFont val="宋体"/>
            <charset val="134"/>
          </rPr>
          <t xml:space="preserve">
怡人园林结算单还未回</t>
        </r>
      </text>
    </comment>
  </commentList>
</comments>
</file>

<file path=xl/comments73.xml><?xml version="1.0" encoding="utf-8"?>
<comments xmlns="http://schemas.openxmlformats.org/spreadsheetml/2006/main">
  <authors>
    <author>Administrator</author>
  </authors>
  <commentList>
    <comment ref="A9" authorId="0" shapeId="0">
      <text>
        <r>
          <rPr>
            <b/>
            <sz val="9"/>
            <rFont val="宋体"/>
            <charset val="134"/>
          </rPr>
          <t>Administrator:</t>
        </r>
        <r>
          <rPr>
            <sz val="9"/>
            <rFont val="宋体"/>
            <charset val="134"/>
          </rPr>
          <t xml:space="preserve">
长兴发票已开（至6月）</t>
        </r>
      </text>
    </comment>
  </commentList>
</comments>
</file>

<file path=xl/comments74.xml><?xml version="1.0" encoding="utf-8"?>
<comments xmlns="http://schemas.openxmlformats.org/spreadsheetml/2006/main">
  <authors>
    <author>Administrator</author>
  </authors>
  <commentList>
    <comment ref="E51" authorId="0" shapeId="0">
      <text>
        <r>
          <rPr>
            <b/>
            <sz val="9"/>
            <rFont val="宋体"/>
            <charset val="134"/>
          </rPr>
          <t>Administrator:</t>
        </r>
        <r>
          <rPr>
            <sz val="9"/>
            <rFont val="宋体"/>
            <charset val="134"/>
          </rPr>
          <t xml:space="preserve">
与财务核对过数据</t>
        </r>
      </text>
    </comment>
  </commentList>
</comments>
</file>

<file path=xl/comments75.xml><?xml version="1.0" encoding="utf-8"?>
<comments xmlns="http://schemas.openxmlformats.org/spreadsheetml/2006/main">
  <authors>
    <author>微软用户</author>
  </authors>
  <commentList>
    <comment ref="C12" authorId="0" shapeId="0">
      <text>
        <r>
          <rPr>
            <sz val="9"/>
            <rFont val="宋体"/>
            <charset val="134"/>
          </rPr>
          <t>C30：按270元计算，应核减</t>
        </r>
      </text>
    </comment>
  </commentList>
</comments>
</file>

<file path=xl/comments76.xml><?xml version="1.0" encoding="utf-8"?>
<comments xmlns="http://schemas.openxmlformats.org/spreadsheetml/2006/main">
  <authors>
    <author>999宝藏网</author>
    <author>微软用户</author>
    <author>User</author>
  </authors>
  <commentList>
    <comment ref="C20" authorId="0" shapeId="0">
      <text>
        <r>
          <rPr>
            <sz val="9"/>
            <rFont val="宋体"/>
            <charset val="134"/>
          </rPr>
          <t>减少525元运费，在11月份结算单中补回</t>
        </r>
      </text>
    </comment>
    <comment ref="C21" authorId="0" shapeId="0">
      <text>
        <r>
          <rPr>
            <sz val="9"/>
            <rFont val="宋体"/>
            <charset val="134"/>
          </rPr>
          <t>减少240元运费，在11月结算单中补回</t>
        </r>
      </text>
    </comment>
    <comment ref="C29" authorId="0" shapeId="0">
      <text>
        <r>
          <rPr>
            <sz val="9"/>
            <rFont val="宋体"/>
            <charset val="134"/>
          </rPr>
          <t xml:space="preserve">减少早强3560元
</t>
        </r>
      </text>
    </comment>
    <comment ref="C30" authorId="0" shapeId="0">
      <text>
        <r>
          <rPr>
            <sz val="9"/>
            <rFont val="宋体"/>
            <charset val="134"/>
          </rPr>
          <t xml:space="preserve">减少早强6660元
</t>
        </r>
      </text>
    </comment>
    <comment ref="C42" authorId="1" shapeId="0">
      <text>
        <r>
          <rPr>
            <sz val="9"/>
            <rFont val="宋体"/>
            <charset val="134"/>
          </rPr>
          <t>已减少运费2775元</t>
        </r>
      </text>
    </comment>
    <comment ref="C43" authorId="1" shapeId="0">
      <text>
        <r>
          <rPr>
            <sz val="9"/>
            <rFont val="宋体"/>
            <charset val="134"/>
          </rPr>
          <t xml:space="preserve">已减少厚德变电站水下桩运费5985元
</t>
        </r>
      </text>
    </comment>
    <comment ref="C44" authorId="1" shapeId="0">
      <text>
        <r>
          <rPr>
            <sz val="9"/>
            <rFont val="宋体"/>
            <charset val="134"/>
          </rPr>
          <t>减少运费855元</t>
        </r>
      </text>
    </comment>
    <comment ref="C47" authorId="1" shapeId="0">
      <text>
        <r>
          <rPr>
            <sz val="9"/>
            <rFont val="宋体"/>
            <charset val="134"/>
          </rPr>
          <t xml:space="preserve">早强单价有误,应减
</t>
        </r>
      </text>
    </comment>
    <comment ref="C50" authorId="2" shapeId="0">
      <text>
        <r>
          <rPr>
            <sz val="9"/>
            <rFont val="宋体"/>
            <charset val="134"/>
          </rPr>
          <t>统计出错，减少早强款360元</t>
        </r>
      </text>
    </comment>
    <comment ref="C59" authorId="2" shapeId="0">
      <text>
        <r>
          <rPr>
            <sz val="9"/>
            <rFont val="宋体"/>
            <charset val="134"/>
          </rPr>
          <t>本月收款砂浆收少145元</t>
        </r>
      </text>
    </comment>
  </commentList>
</comments>
</file>

<file path=xl/comments77.xml><?xml version="1.0" encoding="utf-8"?>
<comments xmlns="http://schemas.openxmlformats.org/spreadsheetml/2006/main">
  <authors>
    <author>User</author>
  </authors>
  <commentList>
    <comment ref="C9" authorId="0" shapeId="0">
      <text>
        <r>
          <rPr>
            <sz val="9"/>
            <rFont val="宋体"/>
            <charset val="134"/>
          </rPr>
          <t xml:space="preserve">其中159.5m3，42242.50元。国际金融城起步。
</t>
        </r>
      </text>
    </comment>
  </commentList>
</comments>
</file>

<file path=xl/comments78.xml><?xml version="1.0" encoding="utf-8"?>
<comments xmlns="http://schemas.openxmlformats.org/spreadsheetml/2006/main">
  <authors>
    <author>Administrator</author>
  </authors>
  <commentList>
    <comment ref="A25" authorId="0" shapeId="0">
      <text>
        <r>
          <rPr>
            <b/>
            <sz val="9"/>
            <rFont val="宋体"/>
            <charset val="134"/>
          </rPr>
          <t>Administrator:</t>
        </r>
        <r>
          <rPr>
            <sz val="9"/>
            <rFont val="宋体"/>
            <charset val="134"/>
          </rPr>
          <t xml:space="preserve">
2月15日买发票1000260元；税金3%：30007.8元（税金）2017年5月5日买发票300万元税金3%；税金9000元；</t>
        </r>
      </text>
    </comment>
  </commentList>
</comments>
</file>

<file path=xl/comments79.xml><?xml version="1.0" encoding="utf-8"?>
<comments xmlns="http://schemas.openxmlformats.org/spreadsheetml/2006/main">
  <authors>
    <author>User</author>
    <author>微软用户</author>
    <author>Administrator</author>
  </authors>
  <commentList>
    <comment ref="B12" authorId="0" shapeId="0">
      <text>
        <r>
          <rPr>
            <sz val="9"/>
            <rFont val="宋体"/>
            <charset val="134"/>
          </rPr>
          <t>其中33立方，共8910元，因质量问题未结算</t>
        </r>
      </text>
    </comment>
    <comment ref="C37" authorId="0" shapeId="0">
      <text>
        <r>
          <rPr>
            <sz val="9"/>
            <rFont val="宋体"/>
            <charset val="134"/>
          </rPr>
          <t xml:space="preserve">因水下桩问题，共42m3未结算，共13566元广东金辉华集团有限公司
</t>
        </r>
      </text>
    </comment>
    <comment ref="C48" authorId="1" shapeId="0">
      <text>
        <r>
          <rPr>
            <sz val="9"/>
            <rFont val="宋体"/>
            <charset val="134"/>
          </rPr>
          <t xml:space="preserve">微软用户:
结算单工地要求减去327.5元，收不回此款由业务员负责。
</t>
        </r>
      </text>
    </comment>
    <comment ref="C54" authorId="0" shapeId="0">
      <text>
        <r>
          <rPr>
            <sz val="9"/>
            <rFont val="宋体"/>
            <charset val="134"/>
          </rPr>
          <t>User:
扣掉120元运费，因合同无规定运费</t>
        </r>
      </text>
    </comment>
    <comment ref="C57" authorId="2" shapeId="0">
      <text>
        <r>
          <rPr>
            <sz val="9"/>
            <rFont val="宋体"/>
            <charset val="134"/>
          </rPr>
          <t>Administrator:
C40砂浆泵单价有错，财务多打15元；</t>
        </r>
      </text>
    </comment>
    <comment ref="K82" authorId="2" shapeId="0">
      <text>
        <r>
          <rPr>
            <b/>
            <sz val="9"/>
            <rFont val="宋体"/>
            <charset val="134"/>
          </rPr>
          <t>Administrator:</t>
        </r>
        <r>
          <rPr>
            <sz val="9"/>
            <rFont val="宋体"/>
            <charset val="134"/>
          </rPr>
          <t xml:space="preserve">
与财务核对过欠款，新洲欠款-197335元；</t>
        </r>
      </text>
    </comment>
  </commentList>
</comments>
</file>

<file path=xl/comments8.xml><?xml version="1.0" encoding="utf-8"?>
<comments xmlns="http://schemas.openxmlformats.org/spreadsheetml/2006/main">
  <authors>
    <author>Administrator</author>
  </authors>
  <commentList>
    <comment ref="E3" authorId="0" shapeId="0">
      <text>
        <r>
          <rPr>
            <b/>
            <sz val="9"/>
            <rFont val="宋体"/>
            <charset val="134"/>
          </rPr>
          <t>Administrator:</t>
        </r>
        <r>
          <rPr>
            <sz val="9"/>
            <rFont val="宋体"/>
            <charset val="134"/>
          </rPr>
          <t xml:space="preserve">
4500080元</t>
        </r>
      </text>
    </comment>
  </commentList>
</comments>
</file>

<file path=xl/comments80.xml><?xml version="1.0" encoding="utf-8"?>
<comments xmlns="http://schemas.openxmlformats.org/spreadsheetml/2006/main">
  <authors>
    <author>Administrator</author>
  </authors>
  <commentList>
    <comment ref="C18" authorId="0" shapeId="0">
      <text>
        <r>
          <rPr>
            <sz val="9"/>
            <rFont val="宋体"/>
            <charset val="134"/>
          </rPr>
          <t>Administrator:
一方砂浆420元；还没申请计量</t>
        </r>
      </text>
    </comment>
    <comment ref="C19" authorId="0" shapeId="0">
      <text>
        <r>
          <rPr>
            <sz val="9"/>
            <rFont val="宋体"/>
            <charset val="134"/>
          </rPr>
          <t>Administrator:
其中55方；20200元（本月未结算）砂浆、C25混凝土</t>
        </r>
      </text>
    </comment>
    <comment ref="E26" authorId="0" shapeId="0">
      <text>
        <r>
          <rPr>
            <sz val="9"/>
            <rFont val="宋体"/>
            <charset val="134"/>
          </rPr>
          <t>Administrator:
2016年3月26日M15砂浆、M15砂浆找平层；砂浆共8方；3412.5元；</t>
        </r>
      </text>
    </comment>
    <comment ref="D30" authorId="0" shapeId="0">
      <text>
        <r>
          <rPr>
            <sz val="9"/>
            <rFont val="宋体"/>
            <charset val="134"/>
          </rPr>
          <t>Administrator:
因CFG桩的混凝土因发票方量变动，增加了14.6方；金额与工地相同。</t>
        </r>
      </text>
    </comment>
  </commentList>
</comments>
</file>

<file path=xl/comments81.xml><?xml version="1.0" encoding="utf-8"?>
<comments xmlns="http://schemas.openxmlformats.org/spreadsheetml/2006/main">
  <authors>
    <author>Administrator</author>
  </authors>
  <commentList>
    <comment ref="C7" authorId="0" shapeId="0">
      <text>
        <r>
          <rPr>
            <sz val="9"/>
            <rFont val="宋体"/>
            <charset val="134"/>
          </rPr>
          <t>Administrator:
300元运费没加入</t>
        </r>
      </text>
    </comment>
    <comment ref="C9" authorId="0" shapeId="0">
      <text>
        <r>
          <rPr>
            <sz val="9"/>
            <rFont val="宋体"/>
            <charset val="134"/>
          </rPr>
          <t>Administrator:
运费540元没结算。</t>
        </r>
      </text>
    </comment>
    <comment ref="C10" authorId="0" shapeId="0">
      <text>
        <r>
          <rPr>
            <sz val="9"/>
            <rFont val="宋体"/>
            <charset val="134"/>
          </rPr>
          <t>Administrator:
减去运费855元</t>
        </r>
      </text>
    </comment>
    <comment ref="C12" authorId="0" shapeId="0">
      <text>
        <r>
          <rPr>
            <sz val="9"/>
            <rFont val="宋体"/>
            <charset val="134"/>
          </rPr>
          <t>Administrator:
运费255元没结算</t>
        </r>
      </text>
    </comment>
    <comment ref="C13" authorId="0" shapeId="0">
      <text>
        <r>
          <rPr>
            <sz val="9"/>
            <rFont val="宋体"/>
            <charset val="134"/>
          </rPr>
          <t>Administrator:
6月未结算的货款（到8月份录入）：1051680元（其中2015年6月23日C15出4方；1120元；（运费210没录入）</t>
        </r>
      </text>
    </comment>
    <comment ref="C14" authorId="0" shapeId="0">
      <text>
        <r>
          <rPr>
            <sz val="9"/>
            <rFont val="宋体"/>
            <charset val="134"/>
          </rPr>
          <t>Administrator:
7月货款374850元（其中2015年7月24日C30水下29方；9425元到下个月结算）1月至7月运费2160.5元没加入货款</t>
        </r>
      </text>
    </comment>
    <comment ref="C15" authorId="0" shapeId="0">
      <text>
        <r>
          <rPr>
            <sz val="9"/>
            <rFont val="宋体"/>
            <charset val="134"/>
          </rPr>
          <t>Administrator:
8月运费210元；没结算</t>
        </r>
      </text>
    </comment>
    <comment ref="C16" authorId="0" shapeId="0">
      <text>
        <r>
          <rPr>
            <sz val="9"/>
            <rFont val="宋体"/>
            <charset val="134"/>
          </rPr>
          <t>Administrator:
工地结算363490元；</t>
        </r>
      </text>
    </comment>
    <comment ref="C17" authorId="0" shapeId="0">
      <text>
        <r>
          <rPr>
            <sz val="9"/>
            <rFont val="宋体"/>
            <charset val="134"/>
          </rPr>
          <t>Administrator:
工地结算单263270元；</t>
        </r>
      </text>
    </comment>
    <comment ref="C20" authorId="0" shapeId="0">
      <text>
        <r>
          <rPr>
            <sz val="9"/>
            <rFont val="宋体"/>
            <charset val="134"/>
          </rPr>
          <t>Administrator:
2016.1.30  C30 216方；到下月结算。</t>
        </r>
      </text>
    </comment>
    <comment ref="C25" authorId="0" shapeId="0">
      <text>
        <r>
          <rPr>
            <b/>
            <sz val="9"/>
            <rFont val="宋体"/>
            <charset val="134"/>
          </rPr>
          <t>Administrator:</t>
        </r>
        <r>
          <rPr>
            <sz val="9"/>
            <rFont val="宋体"/>
            <charset val="134"/>
          </rPr>
          <t xml:space="preserve">
4.30未结算，C30抗折4.5共96方；35040元；
5月份共出抗折204方；74460元；
共109500元</t>
        </r>
      </text>
    </comment>
    <comment ref="A34" authorId="0" shapeId="0">
      <text>
        <r>
          <rPr>
            <b/>
            <sz val="9"/>
            <rFont val="宋体"/>
            <charset val="134"/>
          </rPr>
          <t>Administrator:</t>
        </r>
        <r>
          <rPr>
            <sz val="9"/>
            <rFont val="宋体"/>
            <charset val="134"/>
          </rPr>
          <t xml:space="preserve">
2015年第三季度、2015年第四季度、2016年第一季度；第二季度、第三季度；第四季度；2017年第一季度不超过不用调差。</t>
        </r>
      </text>
    </comment>
  </commentList>
</comments>
</file>

<file path=xl/comments82.xml><?xml version="1.0" encoding="utf-8"?>
<comments xmlns="http://schemas.openxmlformats.org/spreadsheetml/2006/main">
  <authors>
    <author>Administrator</author>
  </authors>
  <commentList>
    <comment ref="A16" authorId="0" shapeId="0">
      <text>
        <r>
          <rPr>
            <b/>
            <sz val="9"/>
            <rFont val="宋体"/>
            <charset val="134"/>
          </rPr>
          <t>Administrator:</t>
        </r>
        <r>
          <rPr>
            <sz val="9"/>
            <rFont val="宋体"/>
            <charset val="134"/>
          </rPr>
          <t xml:space="preserve">
与红单168.2元</t>
        </r>
      </text>
    </comment>
  </commentList>
</comments>
</file>

<file path=xl/comments83.xml><?xml version="1.0" encoding="utf-8"?>
<comments xmlns="http://schemas.openxmlformats.org/spreadsheetml/2006/main">
  <authors>
    <author>Administrator</author>
  </authors>
  <commentList>
    <comment ref="I1" authorId="0" shapeId="0">
      <text>
        <r>
          <rPr>
            <sz val="9"/>
            <rFont val="宋体"/>
            <charset val="134"/>
          </rPr>
          <t>Administrator:
泵送单价在此单价基础上增加6元/m3</t>
        </r>
      </text>
    </comment>
    <comment ref="B2" authorId="0" shapeId="0">
      <text>
        <r>
          <rPr>
            <b/>
            <sz val="9"/>
            <rFont val="宋体"/>
            <charset val="134"/>
          </rPr>
          <t>Administrator:</t>
        </r>
        <r>
          <rPr>
            <sz val="9"/>
            <rFont val="宋体"/>
            <charset val="134"/>
          </rPr>
          <t xml:space="preserve">
从2017年6月起修改名称。</t>
        </r>
      </text>
    </comment>
    <comment ref="C27" authorId="0" shapeId="0">
      <text>
        <r>
          <rPr>
            <b/>
            <sz val="9"/>
            <rFont val="宋体"/>
            <charset val="134"/>
          </rPr>
          <t xml:space="preserve">Administrator
</t>
        </r>
        <r>
          <rPr>
            <sz val="9"/>
            <rFont val="宋体"/>
            <charset val="134"/>
          </rPr>
          <t>财务收税金44178.7元（收了2016年11月开具发票150万元的税金6万元的税金6000*0.04=2400元）</t>
        </r>
      </text>
    </comment>
  </commentList>
</comments>
</file>

<file path=xl/comments84.xml><?xml version="1.0" encoding="utf-8"?>
<comments xmlns="http://schemas.openxmlformats.org/spreadsheetml/2006/main">
  <authors>
    <author>Administrator</author>
  </authors>
  <commentList>
    <comment ref="I1" authorId="0" shapeId="0">
      <text>
        <r>
          <rPr>
            <sz val="9"/>
            <rFont val="宋体"/>
            <charset val="134"/>
          </rPr>
          <t>Administrator:
泵送单价在此单价基础上增加6元/m3</t>
        </r>
      </text>
    </comment>
  </commentList>
</comments>
</file>

<file path=xl/comments85.xml><?xml version="1.0" encoding="utf-8"?>
<comments xmlns="http://schemas.openxmlformats.org/spreadsheetml/2006/main">
  <authors>
    <author>Administrator</author>
  </authors>
  <commentList>
    <comment ref="I1" authorId="0" shapeId="0">
      <text>
        <r>
          <rPr>
            <sz val="9"/>
            <rFont val="宋体"/>
            <charset val="134"/>
          </rPr>
          <t>Administrator:
泵送单价在此单价基础上增加6元/m3</t>
        </r>
      </text>
    </comment>
  </commentList>
</comments>
</file>

<file path=xl/comments86.xml><?xml version="1.0" encoding="utf-8"?>
<comments xmlns="http://schemas.openxmlformats.org/spreadsheetml/2006/main">
  <authors>
    <author>Administrator</author>
  </authors>
  <commentList>
    <comment ref="I1" authorId="0" shapeId="0">
      <text>
        <r>
          <rPr>
            <sz val="9"/>
            <rFont val="宋体"/>
            <charset val="134"/>
          </rPr>
          <t>Administrator:
泵送单价在此单价基础上增加6元/m3</t>
        </r>
      </text>
    </comment>
  </commentList>
</comments>
</file>

<file path=xl/comments87.xml><?xml version="1.0" encoding="utf-8"?>
<comments xmlns="http://schemas.openxmlformats.org/spreadsheetml/2006/main">
  <authors>
    <author>Administrator</author>
  </authors>
  <commentList>
    <comment ref="I1" authorId="0" shapeId="0">
      <text>
        <r>
          <rPr>
            <sz val="9"/>
            <rFont val="宋体"/>
            <charset val="134"/>
          </rPr>
          <t>Administrator:
泵送单价在此单价基础上增加6元/m3</t>
        </r>
      </text>
    </comment>
  </commentList>
</comments>
</file>

<file path=xl/comments88.xml><?xml version="1.0" encoding="utf-8"?>
<comments xmlns="http://schemas.openxmlformats.org/spreadsheetml/2006/main">
  <authors>
    <author>微软用户</author>
    <author>User</author>
  </authors>
  <commentList>
    <comment ref="C13" authorId="0" shapeId="0">
      <text>
        <r>
          <rPr>
            <sz val="9"/>
            <rFont val="宋体"/>
            <charset val="134"/>
          </rPr>
          <t>微软用户:
结算单实付：1107390元</t>
        </r>
      </text>
    </comment>
    <comment ref="B23" authorId="1" shapeId="0">
      <text>
        <r>
          <rPr>
            <sz val="9"/>
            <rFont val="宋体"/>
            <charset val="134"/>
          </rPr>
          <t>User:
地下通道：
方量：347.5</t>
        </r>
      </text>
    </comment>
    <comment ref="C23" authorId="1" shapeId="0">
      <text>
        <r>
          <rPr>
            <sz val="9"/>
            <rFont val="宋体"/>
            <charset val="134"/>
          </rPr>
          <t>User:
地下通道：
金额：109462.5</t>
        </r>
      </text>
    </comment>
    <comment ref="B24" authorId="1" shapeId="0">
      <text>
        <r>
          <rPr>
            <sz val="9"/>
            <rFont val="宋体"/>
            <charset val="134"/>
          </rPr>
          <t xml:space="preserve">User:
地下通道：
方量：370.5
</t>
        </r>
      </text>
    </comment>
    <comment ref="C24" authorId="1" shapeId="0">
      <text>
        <r>
          <rPr>
            <sz val="9"/>
            <rFont val="宋体"/>
            <charset val="134"/>
          </rPr>
          <t xml:space="preserve">User:
地下通道：
金额：115477.5
</t>
        </r>
      </text>
    </comment>
    <comment ref="B25" authorId="1" shapeId="0">
      <text>
        <r>
          <rPr>
            <sz val="9"/>
            <rFont val="宋体"/>
            <charset val="134"/>
          </rPr>
          <t>User:
地下通道：
方量：28.5</t>
        </r>
      </text>
    </comment>
    <comment ref="C25" authorId="1" shapeId="0">
      <text>
        <r>
          <rPr>
            <sz val="9"/>
            <rFont val="宋体"/>
            <charset val="134"/>
          </rPr>
          <t xml:space="preserve">User:
地下通道：
金额：8377.5
</t>
        </r>
      </text>
    </comment>
    <comment ref="B26" authorId="1" shapeId="0">
      <text>
        <r>
          <rPr>
            <sz val="9"/>
            <rFont val="宋体"/>
            <charset val="134"/>
          </rPr>
          <t xml:space="preserve">User:
地下通道：
方量：61
</t>
        </r>
      </text>
    </comment>
    <comment ref="C26" authorId="1" shapeId="0">
      <text>
        <r>
          <rPr>
            <sz val="9"/>
            <rFont val="宋体"/>
            <charset val="134"/>
          </rPr>
          <t>User:
地下通道：
金额：17535</t>
        </r>
      </text>
    </comment>
  </commentList>
</comments>
</file>

<file path=xl/comments89.xml><?xml version="1.0" encoding="utf-8"?>
<comments xmlns="http://schemas.openxmlformats.org/spreadsheetml/2006/main">
  <authors>
    <author>Administrator</author>
  </authors>
  <commentList>
    <comment ref="E3" authorId="0" shapeId="0">
      <text>
        <r>
          <rPr>
            <sz val="9"/>
            <rFont val="宋体"/>
            <charset val="134"/>
          </rPr>
          <t>Administrator:
合同价款为陆佰万元；若供应量超过上述暂定数量或金额的，供需双方需另行签订补充协议，否则，需方有权拒绝支付超额部分的货款。</t>
        </r>
      </text>
    </comment>
  </commentList>
</comments>
</file>

<file path=xl/comments9.xml><?xml version="1.0" encoding="utf-8"?>
<comments xmlns="http://schemas.openxmlformats.org/spreadsheetml/2006/main">
  <authors>
    <author>Administrator</author>
  </authors>
  <commentList>
    <comment ref="I1" authorId="0" shapeId="0">
      <text>
        <r>
          <rPr>
            <b/>
            <sz val="9"/>
            <rFont val="宋体"/>
            <charset val="134"/>
          </rPr>
          <t>Administrator:</t>
        </r>
        <r>
          <rPr>
            <sz val="9"/>
            <rFont val="宋体"/>
            <charset val="134"/>
          </rPr>
          <t xml:space="preserve">
从2016年7月15日开始，每立方增加15元，从2017年3月份开始每立方增加30元，在增加的空单量费用中抵扣给公司</t>
        </r>
      </text>
    </comment>
    <comment ref="A15" authorId="0" shapeId="0">
      <text>
        <r>
          <rPr>
            <sz val="9"/>
            <rFont val="宋体"/>
            <charset val="134"/>
          </rPr>
          <t>Administrator:
2015.6.12已完成首层梁板。</t>
        </r>
      </text>
    </comment>
    <comment ref="C29" authorId="0" shapeId="0">
      <text>
        <r>
          <rPr>
            <b/>
            <sz val="9"/>
            <rFont val="宋体"/>
            <charset val="134"/>
          </rPr>
          <t>Administrator:</t>
        </r>
        <r>
          <rPr>
            <sz val="9"/>
            <rFont val="宋体"/>
            <charset val="134"/>
          </rPr>
          <t xml:space="preserve">
8月份入空单数3851方；1029818元；收税金30894.54元; 实际出料176.5方；</t>
        </r>
      </text>
    </comment>
    <comment ref="C32" authorId="0" shapeId="0">
      <text>
        <r>
          <rPr>
            <b/>
            <sz val="9"/>
            <rFont val="宋体"/>
            <charset val="134"/>
          </rPr>
          <t>Administrator:</t>
        </r>
        <r>
          <rPr>
            <sz val="9"/>
            <rFont val="宋体"/>
            <charset val="134"/>
          </rPr>
          <t xml:space="preserve">
金额316960元；</t>
        </r>
      </text>
    </comment>
    <comment ref="C35" authorId="0" shapeId="0">
      <text>
        <r>
          <rPr>
            <b/>
            <sz val="9"/>
            <rFont val="宋体"/>
            <charset val="134"/>
          </rPr>
          <t>Administrator:</t>
        </r>
        <r>
          <rPr>
            <sz val="9"/>
            <rFont val="宋体"/>
            <charset val="134"/>
          </rPr>
          <t xml:space="preserve">
加入2016年12月砂石材等材料上升，调价20元的金额</t>
        </r>
      </text>
    </comment>
    <comment ref="M36" authorId="0" shapeId="0">
      <text>
        <r>
          <rPr>
            <b/>
            <sz val="9"/>
            <rFont val="宋体"/>
            <charset val="134"/>
          </rPr>
          <t>Administrator:</t>
        </r>
        <r>
          <rPr>
            <sz val="9"/>
            <rFont val="宋体"/>
            <charset val="134"/>
          </rPr>
          <t xml:space="preserve">
1月20日收900000元；其中50万录入二期；40万录入一期。</t>
        </r>
      </text>
    </comment>
  </commentList>
</comments>
</file>

<file path=xl/comments90.xml><?xml version="1.0" encoding="utf-8"?>
<comments xmlns="http://schemas.openxmlformats.org/spreadsheetml/2006/main">
  <authors>
    <author>Administrator</author>
  </authors>
  <commentList>
    <comment ref="E3" authorId="0" shapeId="0">
      <text>
        <r>
          <rPr>
            <sz val="9"/>
            <rFont val="宋体"/>
            <charset val="134"/>
          </rPr>
          <t>Administrator:
合同价款为陆佰万元；若供应量超过上述暂定数量或金额的，供需双方需另行签订补充协议，否则，需方有权拒绝支付超额部分的货款。</t>
        </r>
      </text>
    </comment>
  </commentList>
</comments>
</file>

<file path=xl/comments91.xml><?xml version="1.0" encoding="utf-8"?>
<comments xmlns="http://schemas.openxmlformats.org/spreadsheetml/2006/main">
  <authors>
    <author>Administrator</author>
  </authors>
  <commentList>
    <comment ref="B17" authorId="0" shapeId="0">
      <text>
        <r>
          <rPr>
            <sz val="9"/>
            <rFont val="宋体"/>
            <charset val="134"/>
          </rPr>
          <t>Administrator:
2015年9月20日浇筑的混凝土出现异常，公司领导（陈林涛）签名不做此结算。</t>
        </r>
      </text>
    </comment>
    <comment ref="B19" authorId="0" shapeId="0">
      <text>
        <r>
          <rPr>
            <sz val="9"/>
            <rFont val="宋体"/>
            <charset val="134"/>
          </rPr>
          <t>Administrator:
2015年9月20日浇筑的混凝土出现异常，公司领导（陈林涛）签名不做此结算。</t>
        </r>
      </text>
    </comment>
  </commentList>
</comments>
</file>

<file path=xl/comments92.xml><?xml version="1.0" encoding="utf-8"?>
<comments xmlns="http://schemas.openxmlformats.org/spreadsheetml/2006/main">
  <authors>
    <author>Administrator</author>
  </authors>
  <commentList>
    <comment ref="J32" authorId="0" shapeId="0">
      <text>
        <r>
          <rPr>
            <b/>
            <sz val="9"/>
            <rFont val="宋体"/>
            <charset val="134"/>
          </rPr>
          <t>Administrator:</t>
        </r>
        <r>
          <rPr>
            <sz val="9"/>
            <rFont val="宋体"/>
            <charset val="134"/>
          </rPr>
          <t xml:space="preserve">
与财务相差空单的数</t>
        </r>
      </text>
    </comment>
  </commentList>
</comments>
</file>

<file path=xl/comments93.xml><?xml version="1.0" encoding="utf-8"?>
<comments xmlns="http://schemas.openxmlformats.org/spreadsheetml/2006/main">
  <authors>
    <author>Administrator</author>
  </authors>
  <commentList>
    <comment ref="A19" authorId="0" shapeId="0">
      <text>
        <r>
          <rPr>
            <b/>
            <sz val="9"/>
            <rFont val="宋体"/>
            <charset val="134"/>
          </rPr>
          <t>Administrator:</t>
        </r>
        <r>
          <rPr>
            <sz val="9"/>
            <rFont val="宋体"/>
            <charset val="134"/>
          </rPr>
          <t xml:space="preserve">
2016年第一、第二、第三、第四季度调差、2017年第一季度调差不超过5%，不用调差。</t>
        </r>
      </text>
    </comment>
  </commentList>
</comments>
</file>

<file path=xl/comments94.xml><?xml version="1.0" encoding="utf-8"?>
<comments xmlns="http://schemas.openxmlformats.org/spreadsheetml/2006/main">
  <authors>
    <author>Administrator</author>
  </authors>
  <commentList>
    <comment ref="C20" authorId="0" shapeId="0">
      <text>
        <r>
          <rPr>
            <b/>
            <sz val="9"/>
            <rFont val="宋体"/>
            <charset val="134"/>
          </rPr>
          <t>Administrator:</t>
        </r>
        <r>
          <rPr>
            <sz val="9"/>
            <rFont val="宋体"/>
            <charset val="134"/>
          </rPr>
          <t xml:space="preserve">
未加入调价部分，下个月一起结算。</t>
        </r>
      </text>
    </comment>
  </commentList>
</comments>
</file>

<file path=xl/comments95.xml><?xml version="1.0" encoding="utf-8"?>
<comments xmlns="http://schemas.openxmlformats.org/spreadsheetml/2006/main">
  <authors>
    <author>Administrator</author>
  </authors>
  <commentList>
    <comment ref="E4" authorId="0" shapeId="0">
      <text>
        <r>
          <rPr>
            <sz val="9"/>
            <rFont val="宋体"/>
            <charset val="134"/>
          </rPr>
          <t>Administrator:
签订金额16760018.1元</t>
        </r>
      </text>
    </comment>
    <comment ref="A10" authorId="0" shapeId="0">
      <text>
        <r>
          <rPr>
            <sz val="9"/>
            <rFont val="宋体"/>
            <charset val="134"/>
          </rPr>
          <t>Administrator:
TC-01/防水剂加30元未结算。</t>
        </r>
      </text>
    </comment>
    <comment ref="E31" authorId="0" shapeId="0">
      <text>
        <r>
          <rPr>
            <b/>
            <sz val="9"/>
            <rFont val="宋体"/>
            <charset val="134"/>
          </rPr>
          <t>Administrator:</t>
        </r>
        <r>
          <rPr>
            <sz val="9"/>
            <rFont val="宋体"/>
            <charset val="134"/>
          </rPr>
          <t xml:space="preserve">
TC-01防水剂加价部分</t>
        </r>
      </text>
    </comment>
  </commentList>
</comments>
</file>

<file path=xl/comments96.xml><?xml version="1.0" encoding="utf-8"?>
<comments xmlns="http://schemas.openxmlformats.org/spreadsheetml/2006/main">
  <authors>
    <author>Administrator</author>
  </authors>
  <commentList>
    <comment ref="A25" authorId="0" shapeId="0">
      <text>
        <r>
          <rPr>
            <b/>
            <sz val="9"/>
            <rFont val="宋体"/>
            <charset val="134"/>
          </rPr>
          <t>Administrator:</t>
        </r>
        <r>
          <rPr>
            <sz val="9"/>
            <rFont val="宋体"/>
            <charset val="134"/>
          </rPr>
          <t xml:space="preserve">
</t>
        </r>
      </text>
    </comment>
    <comment ref="A26" authorId="0" shapeId="0">
      <text>
        <r>
          <rPr>
            <b/>
            <sz val="9"/>
            <rFont val="宋体"/>
            <charset val="134"/>
          </rPr>
          <t>Administrator:</t>
        </r>
        <r>
          <rPr>
            <sz val="9"/>
            <rFont val="宋体"/>
            <charset val="134"/>
          </rPr>
          <t xml:space="preserve">
AB栋49方；13328元
</t>
        </r>
      </text>
    </comment>
    <comment ref="A27" authorId="0" shapeId="0">
      <text>
        <r>
          <rPr>
            <b/>
            <sz val="9"/>
            <rFont val="宋体"/>
            <charset val="134"/>
          </rPr>
          <t>Administrator:</t>
        </r>
        <r>
          <rPr>
            <sz val="9"/>
            <rFont val="宋体"/>
            <charset val="134"/>
          </rPr>
          <t xml:space="preserve">
AB栋13方；3874元</t>
        </r>
      </text>
    </comment>
  </commentList>
</comments>
</file>

<file path=xl/comments97.xml><?xml version="1.0" encoding="utf-8"?>
<comments xmlns="http://schemas.openxmlformats.org/spreadsheetml/2006/main">
  <authors>
    <author>微软用户</author>
    <author>User</author>
  </authors>
  <commentList>
    <comment ref="C6" authorId="0" shapeId="0">
      <text>
        <r>
          <rPr>
            <sz val="9"/>
            <rFont val="宋体"/>
            <charset val="134"/>
          </rPr>
          <t xml:space="preserve">2011年1月份单价按C30:270元结算,为不含税价.
</t>
        </r>
      </text>
    </comment>
    <comment ref="C9" authorId="0" shapeId="0">
      <text>
        <r>
          <rPr>
            <sz val="9"/>
            <rFont val="宋体"/>
            <charset val="134"/>
          </rPr>
          <t xml:space="preserve">本月18m3为大塘小区幼儿园,另600元运费在余广介提成中扣除
</t>
        </r>
      </text>
    </comment>
    <comment ref="C10" authorId="0" shapeId="0">
      <text>
        <r>
          <rPr>
            <sz val="9"/>
            <rFont val="宋体"/>
            <charset val="134"/>
          </rPr>
          <t xml:space="preserve">运费统计计算出错,减少240元
</t>
        </r>
      </text>
    </comment>
    <comment ref="C11" authorId="0" shapeId="0">
      <text>
        <r>
          <rPr>
            <sz val="9"/>
            <rFont val="宋体"/>
            <charset val="134"/>
          </rPr>
          <t xml:space="preserve">2011年4月26日22时，搅拌车在赤岗路污染路面，给予罚款10000元
</t>
        </r>
      </text>
    </comment>
    <comment ref="C17" authorId="0" shapeId="0">
      <text>
        <r>
          <rPr>
            <sz val="9"/>
            <rFont val="宋体"/>
            <charset val="134"/>
          </rPr>
          <t xml:space="preserve">早强单价有误，应核减315元
</t>
        </r>
      </text>
    </comment>
    <comment ref="C21" authorId="1" shapeId="0">
      <text>
        <r>
          <rPr>
            <sz val="9"/>
            <rFont val="宋体"/>
            <charset val="134"/>
          </rPr>
          <t>工地减少方量3m，如最终结算未能支付，由业务员负责。</t>
        </r>
      </text>
    </comment>
  </commentList>
</comments>
</file>

<file path=xl/comments98.xml><?xml version="1.0" encoding="utf-8"?>
<comments xmlns="http://schemas.openxmlformats.org/spreadsheetml/2006/main">
  <authors>
    <author>Administrator</author>
  </authors>
  <commentList>
    <comment ref="E3" authorId="0" shapeId="0">
      <text>
        <r>
          <rPr>
            <b/>
            <sz val="9"/>
            <rFont val="宋体"/>
            <charset val="134"/>
          </rPr>
          <t>Administrator:</t>
        </r>
        <r>
          <rPr>
            <sz val="9"/>
            <rFont val="宋体"/>
            <charset val="134"/>
          </rPr>
          <t xml:space="preserve">
合同总额11837500元；</t>
        </r>
      </text>
    </comment>
    <comment ref="A18" authorId="0" shapeId="0">
      <text>
        <r>
          <rPr>
            <b/>
            <sz val="9"/>
            <rFont val="宋体"/>
            <charset val="134"/>
          </rPr>
          <t>Administrator:</t>
        </r>
        <r>
          <rPr>
            <sz val="9"/>
            <rFont val="宋体"/>
            <charset val="134"/>
          </rPr>
          <t xml:space="preserve">
加入16年12月至17年6月的调差</t>
        </r>
      </text>
    </comment>
  </commentList>
</comments>
</file>

<file path=xl/comments99.xml><?xml version="1.0" encoding="utf-8"?>
<comments xmlns="http://schemas.openxmlformats.org/spreadsheetml/2006/main">
  <authors>
    <author>微软用户</author>
  </authors>
  <commentList>
    <comment ref="C65" authorId="0" shapeId="0">
      <text>
        <r>
          <rPr>
            <sz val="9"/>
            <rFont val="宋体"/>
            <charset val="134"/>
          </rPr>
          <t>2011年4月3日供砼</t>
        </r>
      </text>
    </comment>
    <comment ref="C68" authorId="0" shapeId="0">
      <text>
        <r>
          <rPr>
            <sz val="9"/>
            <rFont val="宋体"/>
            <charset val="134"/>
          </rPr>
          <t>2011年7月1日起重新计算120天，提成已另行计算</t>
        </r>
      </text>
    </comment>
  </commentList>
</comments>
</file>

<file path=xl/sharedStrings.xml><?xml version="1.0" encoding="utf-8"?>
<sst xmlns="http://schemas.openxmlformats.org/spreadsheetml/2006/main" count="13098" uniqueCount="5215">
  <si>
    <t>张文彬</t>
  </si>
  <si>
    <t>广新品牌</t>
  </si>
  <si>
    <t>画院</t>
  </si>
  <si>
    <t>1015工程项目</t>
  </si>
  <si>
    <t>广钢新城</t>
  </si>
  <si>
    <t>广钢新城 (2期)</t>
  </si>
  <si>
    <t>广佛线</t>
  </si>
  <si>
    <t>花地河治理!A1</t>
  </si>
  <si>
    <t>商业楼主体项目</t>
  </si>
  <si>
    <t>会展中心-商学院黄埔涌桥</t>
  </si>
  <si>
    <t>荔港南湾</t>
  </si>
  <si>
    <t>合鸿达大厦</t>
  </si>
  <si>
    <t>金沙洲</t>
  </si>
  <si>
    <t>猎德、西朗</t>
  </si>
  <si>
    <t>复星南方总部</t>
  </si>
  <si>
    <t>广钢振业城</t>
  </si>
  <si>
    <t>大坦沙</t>
  </si>
  <si>
    <t>广商中心</t>
  </si>
  <si>
    <t>亚运城</t>
  </si>
  <si>
    <t>林宏标</t>
  </si>
  <si>
    <t>人和保障性住房（三个标段）</t>
  </si>
  <si>
    <t>黄汉益</t>
  </si>
  <si>
    <t>华盛大学城</t>
  </si>
  <si>
    <t>五眼桥</t>
  </si>
  <si>
    <t>富林 竹料中学 橄榄公园 白云派出所</t>
  </si>
  <si>
    <t>武警BC栋</t>
  </si>
  <si>
    <t xml:space="preserve">林素炳 </t>
  </si>
  <si>
    <t>金沙洲B37E02</t>
  </si>
  <si>
    <t>数字家庭</t>
  </si>
  <si>
    <t>珠岛花园</t>
  </si>
  <si>
    <t>百信广场</t>
  </si>
  <si>
    <t>赫基国际大厦</t>
  </si>
  <si>
    <t>贵州武警公寓</t>
  </si>
  <si>
    <t>瑞华武警公寓楼房</t>
  </si>
  <si>
    <t>星港国际</t>
  </si>
  <si>
    <t>石井污水!A1</t>
  </si>
  <si>
    <t>菠萝山二标（标段四）</t>
  </si>
  <si>
    <t>龙归污水处理系统管网</t>
  </si>
  <si>
    <t>黄埔八标</t>
  </si>
  <si>
    <t>奥园国际中心</t>
  </si>
  <si>
    <t>钟落潭校区</t>
  </si>
  <si>
    <t>大坦沙污水处理</t>
  </si>
  <si>
    <t>石井-环西</t>
  </si>
  <si>
    <t>云产业园</t>
  </si>
  <si>
    <t>黄伟生</t>
  </si>
  <si>
    <t>东沙大道</t>
  </si>
  <si>
    <t>下西关涌</t>
  </si>
  <si>
    <t>沥滘马涌</t>
  </si>
  <si>
    <t>黄埔东延线七标</t>
  </si>
  <si>
    <t>菠萝山三标（南区）</t>
  </si>
  <si>
    <t>太和镇医院</t>
  </si>
  <si>
    <t>龙苑城</t>
  </si>
  <si>
    <t>南方钢厂</t>
  </si>
  <si>
    <t>新华污水</t>
  </si>
  <si>
    <t>第八医院</t>
  </si>
  <si>
    <t>动物园工程</t>
  </si>
  <si>
    <t>上诚万科新隆沙</t>
  </si>
  <si>
    <t>芳村高尔夫地块</t>
  </si>
  <si>
    <t>新广从路二标</t>
  </si>
  <si>
    <t>天宸原著</t>
  </si>
  <si>
    <t>中国人民解放军</t>
  </si>
  <si>
    <t>小谷围大学城一标</t>
  </si>
  <si>
    <t>小谷围大学城二标</t>
  </si>
  <si>
    <t>小谷围大学城三标</t>
  </si>
  <si>
    <t>科学城香山路道路</t>
  </si>
  <si>
    <t>第一中学</t>
  </si>
  <si>
    <t>小东景</t>
  </si>
  <si>
    <t>菠萝山</t>
  </si>
  <si>
    <t>石榴岗</t>
  </si>
  <si>
    <t>科研办公楼</t>
  </si>
  <si>
    <t>白云机场商务航空</t>
  </si>
  <si>
    <t>保瑞抗癌</t>
  </si>
  <si>
    <t>医药研究</t>
  </si>
  <si>
    <t>科研办公楼 (恒盛)</t>
  </si>
  <si>
    <t>生物岛</t>
  </si>
  <si>
    <t>真光中学</t>
  </si>
  <si>
    <t>海珠生态城1标</t>
  </si>
  <si>
    <t>海珠生态城2标</t>
  </si>
  <si>
    <t>上城南站</t>
  </si>
  <si>
    <t>天河干休所</t>
  </si>
  <si>
    <t>花地河</t>
  </si>
  <si>
    <t>一江两岸</t>
  </si>
  <si>
    <t>美术馆</t>
  </si>
  <si>
    <t>呼吸中心</t>
  </si>
  <si>
    <t>逸彩中心</t>
  </si>
  <si>
    <t>江高镇</t>
  </si>
  <si>
    <t>白云嘉禾火车南站</t>
  </si>
  <si>
    <t>脑科医院</t>
  </si>
  <si>
    <t>蔡镇汉</t>
  </si>
  <si>
    <t>保利琶洲</t>
  </si>
  <si>
    <t>石湖停车场</t>
  </si>
  <si>
    <t>坑口</t>
  </si>
  <si>
    <t>番禺天骄时代</t>
  </si>
  <si>
    <t>雅瑶</t>
  </si>
  <si>
    <t>水博苑</t>
  </si>
  <si>
    <t>中海广钢幼儿园</t>
  </si>
  <si>
    <t>广纸地块项目</t>
  </si>
  <si>
    <t>南通广钢</t>
  </si>
  <si>
    <t>中太广钢!A1</t>
  </si>
  <si>
    <t>江海大厦</t>
  </si>
  <si>
    <t>红云涂料厂</t>
  </si>
  <si>
    <t>东新高速公路</t>
  </si>
  <si>
    <t>鸣翠花园</t>
  </si>
  <si>
    <t>广铝、远大总部经济大厦</t>
  </si>
  <si>
    <t>恒辉广钢</t>
  </si>
  <si>
    <t>中城广钢</t>
  </si>
  <si>
    <t>唯品会</t>
  </si>
  <si>
    <t>星河湾</t>
  </si>
  <si>
    <t>芳村唯品会</t>
  </si>
  <si>
    <t>芳村唯品会主体</t>
  </si>
  <si>
    <t>保利广钢224</t>
  </si>
  <si>
    <t>金融科技大厦</t>
  </si>
  <si>
    <t>百花香料厂</t>
  </si>
  <si>
    <t>猎德处理厂</t>
  </si>
  <si>
    <t>华发中央公园</t>
  </si>
  <si>
    <t>二沙岛</t>
  </si>
  <si>
    <t>110KV番禺新城</t>
  </si>
  <si>
    <t>陈祥坚</t>
  </si>
  <si>
    <t>省人民医院</t>
  </si>
  <si>
    <t>大塘商业中心</t>
  </si>
  <si>
    <t>茂达天骄时代</t>
  </si>
  <si>
    <t>哥弟总部</t>
  </si>
  <si>
    <t>涛景国际</t>
  </si>
  <si>
    <t>南方医院</t>
  </si>
  <si>
    <t>侨建 大厦</t>
  </si>
  <si>
    <t>盛邦大厦</t>
  </si>
  <si>
    <t>海珠涌拓宽工程</t>
  </si>
  <si>
    <t>航空护林</t>
  </si>
  <si>
    <t>红十字会</t>
  </si>
  <si>
    <t>海航酒店</t>
  </si>
  <si>
    <t>海航酒店2期</t>
  </si>
  <si>
    <t>金融城</t>
  </si>
  <si>
    <t>慧源山庄</t>
  </si>
  <si>
    <t>时代天骄广场</t>
  </si>
  <si>
    <t>中岱国际品牌广场</t>
  </si>
  <si>
    <t>科技楼</t>
  </si>
  <si>
    <t>芳村高尔夫</t>
  </si>
  <si>
    <t>变电站及输电监测中心</t>
  </si>
  <si>
    <t>冼村</t>
  </si>
  <si>
    <t>云城花海</t>
  </si>
  <si>
    <t>科大讯飞</t>
  </si>
  <si>
    <t>冰交易市场</t>
  </si>
  <si>
    <t>邱荣卫</t>
  </si>
  <si>
    <t>杨箕村  杨箕村D栋</t>
  </si>
  <si>
    <t>富力海珠城</t>
  </si>
  <si>
    <t>天力金沙洲保障房  商业用房</t>
  </si>
  <si>
    <t>中煤金沙洲保障房</t>
  </si>
  <si>
    <t>珠江帝景</t>
  </si>
  <si>
    <t>南方钢厂二期二标</t>
  </si>
  <si>
    <t>荣庆二期</t>
  </si>
  <si>
    <t>中建三局杨箕村</t>
  </si>
  <si>
    <t>广发证券</t>
  </si>
  <si>
    <t>深圳建设 金碧花园</t>
  </si>
  <si>
    <t>小新塘</t>
  </si>
  <si>
    <t>小新塘 主体</t>
  </si>
  <si>
    <t>碧讯幼儿园</t>
  </si>
  <si>
    <t>中慧睿元</t>
  </si>
  <si>
    <t>笔村项目</t>
  </si>
  <si>
    <t>解放军深圳旭生</t>
  </si>
  <si>
    <t>大学城足球训练基地</t>
  </si>
  <si>
    <t>广钢新城开拓</t>
  </si>
  <si>
    <t>生物岛二地块</t>
  </si>
  <si>
    <t>西郊村</t>
  </si>
  <si>
    <t>220千伏隧道</t>
  </si>
  <si>
    <t>林国德</t>
  </si>
  <si>
    <t>南方航空</t>
  </si>
  <si>
    <t>保利M1S2</t>
  </si>
  <si>
    <t>大洲车辆段</t>
  </si>
  <si>
    <t>大洲车辆段施工2标</t>
  </si>
  <si>
    <t>龙门苑</t>
  </si>
  <si>
    <t>兴业国际仓储</t>
  </si>
  <si>
    <t>中山大学球场</t>
  </si>
  <si>
    <t>农垦科技中心</t>
  </si>
  <si>
    <t>佛教文化</t>
  </si>
  <si>
    <t>南洲路</t>
  </si>
  <si>
    <t>中山大学</t>
  </si>
  <si>
    <t>公司</t>
  </si>
  <si>
    <t>合祥供电项目</t>
  </si>
  <si>
    <t>超级计算中心  金融城</t>
  </si>
  <si>
    <t xml:space="preserve"> </t>
  </si>
  <si>
    <t>郑潮通</t>
  </si>
  <si>
    <t>湖南星沙江南西人防</t>
  </si>
  <si>
    <t>绿地</t>
  </si>
  <si>
    <t>绿地2期</t>
  </si>
  <si>
    <t>冠磊广钢新城桩</t>
  </si>
  <si>
    <t>纺织城</t>
  </si>
  <si>
    <t>保利地产</t>
  </si>
  <si>
    <t>大一山庄</t>
  </si>
  <si>
    <t>罗银海</t>
  </si>
  <si>
    <t>师范学院</t>
  </si>
  <si>
    <t>广州大桥</t>
  </si>
  <si>
    <t>正升东圃项目一期二期</t>
  </si>
  <si>
    <t>正升东圃项目三期</t>
  </si>
  <si>
    <t>华发广钢新城</t>
  </si>
  <si>
    <t>白云国际机场第三跑道</t>
  </si>
  <si>
    <t>白云国际机场东区西地块</t>
  </si>
  <si>
    <t>第二高速公路</t>
  </si>
  <si>
    <t>珠三角广佛线</t>
  </si>
  <si>
    <t>江奕群</t>
  </si>
  <si>
    <t>侨建大厦</t>
  </si>
  <si>
    <t>联合交易园</t>
  </si>
  <si>
    <t>金沙洲地块</t>
  </si>
  <si>
    <t>菠萝山二标</t>
  </si>
  <si>
    <t>高文</t>
  </si>
  <si>
    <t>新墟村复建</t>
  </si>
  <si>
    <t>东圃立交改造工程</t>
  </si>
  <si>
    <t>名车博览会</t>
  </si>
  <si>
    <t>中三保利广钢新城!A1</t>
  </si>
  <si>
    <t>中建三中海广钢C4c5栋</t>
  </si>
  <si>
    <t>中交集团南方总部</t>
  </si>
  <si>
    <t>国际港航</t>
  </si>
  <si>
    <t>出入境边防</t>
  </si>
  <si>
    <t>花都都湖</t>
  </si>
  <si>
    <t>小米科技</t>
  </si>
  <si>
    <t>恒基中心</t>
  </si>
  <si>
    <t>泰康商住楼</t>
  </si>
  <si>
    <t>保利广钢0809</t>
  </si>
  <si>
    <t>北亭大社涌</t>
  </si>
  <si>
    <t>南亭大社涌</t>
  </si>
  <si>
    <t>迎宾大道</t>
  </si>
  <si>
    <t>余广介</t>
  </si>
  <si>
    <t>大塘小区</t>
  </si>
  <si>
    <t>陈桂瑛</t>
  </si>
  <si>
    <t>医药港</t>
  </si>
  <si>
    <t>保利琶洲地块三</t>
  </si>
  <si>
    <t>胡一波</t>
  </si>
  <si>
    <t>国光智能电子</t>
  </si>
  <si>
    <t>山河广钢</t>
  </si>
  <si>
    <t>李榄雄</t>
  </si>
  <si>
    <t>东境建筑 李橄雄</t>
  </si>
  <si>
    <t>范国强</t>
  </si>
  <si>
    <t>范围强</t>
  </si>
  <si>
    <t>起诉工地</t>
  </si>
  <si>
    <t xml:space="preserve">
林彩霞 2017-8-25 16:39:22
650705</t>
  </si>
  <si>
    <t>签定日期：2013年6月9日</t>
  </si>
  <si>
    <t>合同编号:CX13-0329
（长兴合同）</t>
  </si>
  <si>
    <t>供应日期：</t>
  </si>
  <si>
    <t>结算单价</t>
  </si>
  <si>
    <r>
      <t>C15:225  C20:235   C25:245  C30:255  C35:270  C40:285  C45:300   C50:320  C55:340  C60:370，2013年8月1日上调5元，2013年10月1日上调30元，</t>
    </r>
    <r>
      <rPr>
        <sz val="11"/>
        <color indexed="10"/>
        <rFont val="宋体"/>
        <charset val="134"/>
      </rPr>
      <t>2013年11月1日至2014年1月30日单价C30：325元，2014年2月1日起，单价c30：325</t>
    </r>
  </si>
  <si>
    <t>砂浆单价320元，水下桩加10元  自密实混凝土加收单价：每立方在原等级单价基础上增加100元/m³</t>
  </si>
  <si>
    <t>施工单位</t>
  </si>
  <si>
    <t>广东省第一建筑工程有限公司</t>
  </si>
  <si>
    <t>盖章单位</t>
  </si>
  <si>
    <t>发票类型</t>
  </si>
  <si>
    <t>不含税价，含税加7%</t>
  </si>
  <si>
    <t>提成</t>
  </si>
  <si>
    <r>
      <t>按公司规定，业务费3元，</t>
    </r>
    <r>
      <rPr>
        <sz val="12"/>
        <rFont val="宋体"/>
        <charset val="134"/>
      </rPr>
      <t>2013年11月份介绍费5元/m3</t>
    </r>
  </si>
  <si>
    <t>工程名称</t>
  </si>
  <si>
    <t>广新品牌推广中心工程</t>
  </si>
  <si>
    <t>签约方量</t>
  </si>
  <si>
    <t>34330m3，暂定金额9024445元</t>
  </si>
  <si>
    <t>签约代表</t>
  </si>
  <si>
    <t>联系电话</t>
  </si>
  <si>
    <t>混凝土单签收人</t>
  </si>
  <si>
    <t>姚平、杨</t>
  </si>
  <si>
    <t>结算单签收人</t>
  </si>
  <si>
    <t>林文庆</t>
  </si>
  <si>
    <t>质检单位</t>
  </si>
  <si>
    <t>试块送检单位</t>
  </si>
  <si>
    <t>广州市荔湾区建设工程质量监督检测室</t>
  </si>
  <si>
    <t>付款方式</t>
  </si>
  <si>
    <t>当月货款次月20天内付80%，余款20%主体结构封顶六个月后需方分三个月平均分三次无息付清砼余款，但最迟应于2014年6月30日前付清货款。同时供方提供本工程所有技术资料整齐交付给需方，需方用支票支付货款的，抬头必须填写供方单位名称。本工地在供应过程中如若因需方原因导致停供的，需方必须在最后一次供应砼之日起30天内将余款全部付清，逾期的按每日万分之五收取违约金；如若因供方原因导致停供的(包含但不限于每天所供应的混凝土)，供方需赔偿需方的所有经济损失，当天发生的费用以需方书面通知供方协商、供方确认后可在当月结算材料款中累计扣减，供方不得有任何异议。</t>
  </si>
  <si>
    <t>每批次浇捣的混凝土尾数只能有二车不足9m3，超出二车以上，按每车达不到9m3的差额部，另收取30元/m3空运费。</t>
  </si>
  <si>
    <t>每车混凝土从发料时间计起到工地之间的运送正常时间不超过60分钟，超过供应时间的、需方有权利要求供方无条件更换当车混凝土供方不得以任何理由推脱，需方也不做任何补贴。</t>
  </si>
  <si>
    <t>付款承诺</t>
  </si>
  <si>
    <t>2014年11月25日前支付50万元；2014年12月25前支付50万元；2015年1月25前支付100万元；2015年2月15前付清所有余款</t>
  </si>
  <si>
    <t>月份</t>
  </si>
  <si>
    <r>
      <t>当月生产方量(m</t>
    </r>
    <r>
      <rPr>
        <vertAlign val="superscript"/>
        <sz val="12"/>
        <rFont val="黑体"/>
        <family val="3"/>
        <charset val="134"/>
      </rPr>
      <t>3</t>
    </r>
    <r>
      <rPr>
        <sz val="12"/>
        <rFont val="楷体_GB2312"/>
        <family val="3"/>
        <charset val="134"/>
      </rPr>
      <t xml:space="preserve">)   </t>
    </r>
  </si>
  <si>
    <t>当月生产价值(元)</t>
  </si>
  <si>
    <r>
      <t>累计生产方量(m</t>
    </r>
    <r>
      <rPr>
        <vertAlign val="superscript"/>
        <sz val="12"/>
        <rFont val="黑体"/>
        <family val="3"/>
        <charset val="134"/>
      </rPr>
      <t>3</t>
    </r>
    <r>
      <rPr>
        <sz val="12"/>
        <rFont val="楷体_GB2312"/>
        <family val="3"/>
        <charset val="134"/>
      </rPr>
      <t xml:space="preserve">)  </t>
    </r>
  </si>
  <si>
    <t>累计生产价值(元)</t>
  </si>
  <si>
    <r>
      <t>余存方量(m</t>
    </r>
    <r>
      <rPr>
        <vertAlign val="superscript"/>
        <sz val="12"/>
        <rFont val="黑体"/>
        <family val="3"/>
        <charset val="134"/>
      </rPr>
      <t>3</t>
    </r>
    <r>
      <rPr>
        <sz val="12"/>
        <rFont val="楷体_GB2312"/>
        <family val="3"/>
        <charset val="134"/>
      </rPr>
      <t xml:space="preserve">)  </t>
    </r>
  </si>
  <si>
    <t>投资部份</t>
  </si>
  <si>
    <t>合同规定当月应收货款（元）</t>
  </si>
  <si>
    <t>当月实收货款（元）</t>
  </si>
  <si>
    <t>累计实收货款（元）</t>
  </si>
  <si>
    <t>合同规定未收货款累计（元）</t>
  </si>
  <si>
    <t>所欠货款总计（元）</t>
  </si>
  <si>
    <t>备注</t>
  </si>
  <si>
    <t>2013年7月19日付632680元</t>
  </si>
  <si>
    <t>2013年9月27日付1056728元</t>
  </si>
  <si>
    <t>2013年11月26日付338204元</t>
  </si>
  <si>
    <t>2014年1月24日付846896元</t>
  </si>
  <si>
    <t>2014年3月6日付1303247元</t>
  </si>
  <si>
    <t>2014年5月7日付1047983元</t>
  </si>
  <si>
    <t>2014年6月24收608668+391332（期票7月5）；收199060（期票7月31，减去砂浆租金45000）</t>
  </si>
  <si>
    <t>7月11付100万元</t>
  </si>
  <si>
    <t>2014年9月9付470000</t>
  </si>
  <si>
    <t>2014年10月31付35万元</t>
  </si>
  <si>
    <t>2014年12月2付30万元</t>
  </si>
  <si>
    <t>2015年1月1付30万元</t>
  </si>
  <si>
    <t>2015年10月30日付30万元（期票2015.11.15）+</t>
  </si>
  <si>
    <t>30万元（期票2015.12.15）</t>
  </si>
  <si>
    <t>30万元（期票2016.1.15--延期2月入账）+付30万元（期票2016.2.15）+308363.5元（期票2016.3.15--延期4.8）</t>
  </si>
  <si>
    <t>2016年7月26付15万</t>
  </si>
  <si>
    <t>2016年10月18日付158363元</t>
  </si>
  <si>
    <t>2017.3.10减免20万元；公司内部做申请；由风控部做申请。</t>
  </si>
  <si>
    <t>2017年6月2日付违约金32926.35元</t>
  </si>
  <si>
    <t>签定日期：2013年10月1日</t>
  </si>
  <si>
    <t>人和站供应，合同编号:CT13-1021</t>
  </si>
  <si>
    <t xml:space="preserve">C15:288  C20:298  C25:308  C30:318  C35:333  C40:348  C45:363  C50:383  C55:403  C60:433 </t>
  </si>
  <si>
    <t>特殊混凝土按公司规定加收。</t>
  </si>
  <si>
    <t>广州市长源园林绿化工程有限公司</t>
  </si>
  <si>
    <r>
      <t>按公司规定，业务费1</t>
    </r>
    <r>
      <rPr>
        <sz val="12"/>
        <rFont val="宋体"/>
        <charset val="134"/>
      </rPr>
      <t>1元/m3</t>
    </r>
  </si>
  <si>
    <t>广东画院新址建设项目</t>
  </si>
  <si>
    <t>30000m3</t>
  </si>
  <si>
    <t>陈文桂</t>
  </si>
  <si>
    <t>陈成洪、李素杰、纪伟波</t>
  </si>
  <si>
    <t>林炎明、陈畅瑞、陈海华</t>
  </si>
  <si>
    <t>广州市建设供需质量安全检测中心有限公司（市站）</t>
  </si>
  <si>
    <t>当月货款次月15天内付清。</t>
  </si>
  <si>
    <t>每批次浇捣的混凝土尾数只能有一车不足9m3，超出一车以上，按每车达不到9m3的差额民，另收取30元/m3空运费。</t>
  </si>
  <si>
    <t>2013年12月23日付27万</t>
  </si>
  <si>
    <t>2014年5月3日付77446元；</t>
  </si>
  <si>
    <t>签定日期：2013年12月31日</t>
  </si>
  <si>
    <t>人和站供应，合同编号:TX13-1021</t>
  </si>
  <si>
    <t>结算单价，材料+3%再调价</t>
  </si>
  <si>
    <r>
      <t>C15：313 C20：324 C25：335 C30：346 C35：362 C40：378 C45：394 C50：415 C55：436 C60：468砂浆：449 2014年5月15上调7元 C30：353   从2015年03月20日上调11元/M3;C30：364(含税）C30：339(不含税）砂浆含税467元； 不含税435元；从2015年5月1日下调20元/M3;C30：344(含税）C30：320(不含税）砂浆含税447元；不含税416元；从2015年9月20日下调15元/方；C30 329(含税）C30 305(不含税）；从2015年11月15日下调10元/方；C30 319(含税）C30 295(不含税</t>
    </r>
    <r>
      <rPr>
        <sz val="11"/>
        <color indexed="8"/>
        <rFont val="宋体"/>
        <charset val="134"/>
      </rPr>
      <t>）；2016年3月1日下调30元；C30 289(含税）C30 265(不含税）</t>
    </r>
  </si>
  <si>
    <t>介绍费2元/m³</t>
  </si>
  <si>
    <t>广州市市政集团有限公司</t>
  </si>
  <si>
    <t>广州市市政集团有限公司，地址：广州白云区支城西路东侧</t>
  </si>
  <si>
    <t>混凝土发票</t>
  </si>
  <si>
    <t>广东画院新址建设项目（泰兴合同）</t>
  </si>
  <si>
    <t>m3</t>
  </si>
  <si>
    <t>陈成洪和姚启源</t>
  </si>
  <si>
    <t>陈义桂和姚启源</t>
  </si>
  <si>
    <t>广州冠建工程质量检测有限公司</t>
  </si>
  <si>
    <t>画院项目部地址：白云区云城中二路广州建筑市政项目部-财务陈畅玲：13539903712</t>
  </si>
  <si>
    <t>当月生产价值(元)不含税</t>
  </si>
  <si>
    <t>2014年1月16日付80万元</t>
  </si>
  <si>
    <t>2014年3月5日付30万元</t>
  </si>
  <si>
    <t>2014年3月14日收到4月10日的150万元的期票</t>
  </si>
  <si>
    <t>2014年4月3日付200万元</t>
  </si>
  <si>
    <t>2014年4月30付50万元；4月30收到200万元（期票为5月25 ）</t>
  </si>
  <si>
    <t>2014 年6月23付1999978</t>
  </si>
  <si>
    <t>2014年7月28付100万元</t>
  </si>
  <si>
    <t>2014年8月付100万元</t>
  </si>
  <si>
    <t>2014年9月5付40万元；2014年9月13付60万元（期票为9月30</t>
  </si>
  <si>
    <t>2014年11月6付100万元（期票为11月13）+付20万元</t>
  </si>
  <si>
    <t>2014年12月1付100万元（期票为12月13</t>
  </si>
  <si>
    <t>2015年1月4付60万元；2015年1月25付40万元</t>
  </si>
  <si>
    <t>2015年3月31付80万元</t>
  </si>
  <si>
    <t>2015年8月18日付30万（期票9.20）</t>
  </si>
  <si>
    <t>2013年至2014年税金（已确认）</t>
  </si>
  <si>
    <t>2013年至2014年税金（未确认）</t>
  </si>
  <si>
    <t>2015年10月22日付30万（期票10.26）</t>
  </si>
  <si>
    <t>2015年12月16日付60万（期票1.23）</t>
  </si>
  <si>
    <t>2016年8月9日付38万；+525000万（期票2017.6.30）+411752.3元（期票2017.1.20）</t>
  </si>
  <si>
    <t>签订日期：</t>
  </si>
  <si>
    <t>合同编号:
（长泰站）</t>
  </si>
  <si>
    <t>CT15-0610</t>
  </si>
  <si>
    <t>建筑面积</t>
  </si>
  <si>
    <t>21068.32平方米总建筑面积25747平方米，包括1号楼11153平方米、2号楼1804平方米、3号楼3615平方米、4号楼880平方米、5号楼1032平方米、6号楼1743平方米、7号楼2080平方米、库房3000平方米以及相关配套用房440平方米。</t>
  </si>
  <si>
    <t>C15：240  C20：250 C25：260 C30：270       C35：285  C40：300  C45：320 C50：345   C55：375  C60：410  砂浆 385 从2016年3月20日下调10元/方；C30 260 M5砂浆 295 从2016年5月28日起上调10元/方；C30 270 砂浆 285；从2016年7月15日起上调10元/方；C30 280 从2016年10月25日起上调10元 C30 290  砂浆295; 从2016年12月13日上调30元；C30 310</t>
  </si>
  <si>
    <t>一、 抗渗砼P6-P8在原单价上另加收5元/m3；P10-P12在原单价上另加收10元/m3；
二、 水下桩或坍落度超过180mm时在原单价上另加收15元/ m3；细石混凝土在原单价上另加收15元/ m3；
三、 路面砼（包括耐磨层、球场、地坪、地面、道路、跑道、车道、找平层或找坡层（除天面、屋面）在原单价上另加收15元/ m3；
四、 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八、30层以上或100米以上泵送混凝土单价在原单价上另加收18元/m3，特殊混凝土价格另协商。</t>
  </si>
  <si>
    <t>广东艺高建设有限公司</t>
  </si>
  <si>
    <t>挂靠单位</t>
  </si>
  <si>
    <t>广州富利建筑安装公司</t>
  </si>
  <si>
    <t>黄礼浩</t>
  </si>
  <si>
    <t>朱贸达、陈武龙、黄潮木</t>
  </si>
  <si>
    <t>业务信息费</t>
  </si>
  <si>
    <t>按公司规定；业务信息费6元/m3</t>
  </si>
  <si>
    <t>当月货款次月20日内付清，否则，供方有权停止供货并且有权拒付技术资料，并追究需方违约责任。用支票支付货款的，抬头必须填写供方单价名称。</t>
  </si>
  <si>
    <t>需方每批浇捣的混凝土尾数只能有两车不足9m3，超出两车以上，按每车达不到9m3的差额部分，另向需方收取30元/m3空运费。不同标号或坍落度除外。</t>
  </si>
  <si>
    <t>2015年01月11日付636105元；（1.20-2月入账）</t>
  </si>
  <si>
    <t>2016年4月28日付401675元；（期票5.20）</t>
  </si>
  <si>
    <t>2016年5月24日付307970元；（期票6.30-延期）</t>
  </si>
  <si>
    <t>2016年7月11日付655830元（期票8.17）</t>
  </si>
  <si>
    <t>2016年7月31日付303560元（期票8.27）</t>
  </si>
  <si>
    <t>2016年9月29日付152515元</t>
  </si>
  <si>
    <t>2016年11月25日付10万</t>
  </si>
  <si>
    <t>2016年12月7日付78522.5元</t>
  </si>
  <si>
    <t>2017年1月3日付91267.5元；10日付79325元；</t>
  </si>
  <si>
    <t>2017年3月24日付258962.5元；</t>
  </si>
  <si>
    <t>2017年4月12日付62380元</t>
  </si>
  <si>
    <t>2017年5月8日付158905元</t>
  </si>
  <si>
    <t>合同编号:
（长兴站）CX-151214</t>
  </si>
  <si>
    <r>
      <t>C15：235 C20：245 C25：255 C30：265       C35：280  C40：295  C45：315 C50：340   C55：370  C60：405 砂浆 420 从2016年3月20日下调10元/方；（</t>
    </r>
    <r>
      <rPr>
        <sz val="11"/>
        <color indexed="10"/>
        <rFont val="宋体"/>
        <charset val="134"/>
      </rPr>
      <t xml:space="preserve">C30 255 </t>
    </r>
    <r>
      <rPr>
        <sz val="11"/>
        <rFont val="宋体"/>
        <charset val="134"/>
      </rPr>
      <t>砂浆400)从2016年5月28日上调10元 C30 265 ; 从2016年7月15日起上调15元/方；C30 280 从2016年12月12日上调30元；C30 310 从2017年5月1日起C30 285</t>
    </r>
  </si>
  <si>
    <t>一、抗渗砼P6-P8在原单价上另加收5元/m3；P10-P12在原单价上另加收10元/m3；
二、水下桩或坍落度超过180mm时在原单价上另加收15元/ m3；细石混凝土在原单价上另加收15元/ m3；
三、3天早强：≤C30混凝土达到70%加20元/m3；达到80%加25元/m3；达到90%加35元/m3；达到100%加45元/m3；≥C35混凝土强度值达到70%加25元/m3；达到80%加30元/m3；达到90%加40元/m3；达到100%加50元/m3。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</si>
  <si>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广州长利达建筑工程有限公司</t>
  </si>
  <si>
    <t>湛江市市政建设工程总公司</t>
  </si>
  <si>
    <t>广佛线工业大道中（新南路—南泰路）、工业大道南（水翠路－新业路）、南洲路（南洲名苑－东晓南路）道路修复工程施工总承包</t>
  </si>
  <si>
    <t>曾庆丰</t>
  </si>
  <si>
    <t>林福洲</t>
  </si>
  <si>
    <t>按公司提成算；业务信息信息费10元/m3</t>
  </si>
  <si>
    <t>当月货款次月15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</si>
  <si>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 xml:space="preserve">需方每批次浇捣的混凝土尾数只能有二车不足9m3，超出二车以上，按每车达不到9m3的差额部分，另向需方收取30元/m3空运费。
</t>
  </si>
  <si>
    <t>2016年02月3日付176102.5元；</t>
  </si>
  <si>
    <t>2016年8月9日付170900元；（期票8.30）</t>
  </si>
  <si>
    <t>2016年11月1日付17090元（期票11.27-延期12.3延期12月6日）</t>
  </si>
  <si>
    <t>2017年4月10日付153075元；（期票4.30）+59800元（期票4.30）</t>
  </si>
  <si>
    <t>2017年8月31日付71070元（期票9.20）</t>
  </si>
  <si>
    <t>2016.3.2</t>
  </si>
  <si>
    <t>合同编号:CX16-0113（长兴站）</t>
  </si>
  <si>
    <t>C15：235 C20：245 C25：255 C30：265       C35：280  C40：295  C45：315 C50：340   C55：370  C60：405 砂浆 420 从2016年7月15日起上调20元/方；C30 285 从2017年8月17日下调10元；C30 275</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</si>
  <si>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 m3；特殊混凝土价格双方另协商。路面抗折F4.5单价按路面C45单价计算。</t>
  </si>
  <si>
    <t>广东国粤建设工程有限公司</t>
  </si>
  <si>
    <t>不含税；如需要开发票另议</t>
  </si>
  <si>
    <t>花地河治理工程——20个城中村支管完善工程（石围塘分区支管完善工程）</t>
  </si>
  <si>
    <t>林总</t>
  </si>
  <si>
    <t>庆伟杰、林伟东、林妙亮</t>
  </si>
  <si>
    <t>郑振烽</t>
  </si>
  <si>
    <t>按公司规定提；业务信息费5元/方；</t>
  </si>
  <si>
    <t>当月货款次月25日内付清，否则，供方有权停止供货并且有权拒付技术资料，并追究需方违约责任。用支票支付货款的，抬头必须填写供方单位名称。此工地不论什么原因导致停供，需方必须在最后一次供应砼之日起25天内将余款全部付清。逾期的按每日万分之五收取违约金。</t>
  </si>
  <si>
    <t xml:space="preserve">需方每批次浇捣的混凝土尾数只能有一车不足9m3，超出一车以上，按每车达不到9m3的差额部分，另向需方收取30元/m3空运费。
</t>
  </si>
  <si>
    <t>2016年2月3日付5万</t>
  </si>
  <si>
    <t>2016年4月29日付49900元；</t>
  </si>
  <si>
    <t>2016年5月23日付74235元；</t>
  </si>
  <si>
    <t>2016年6月29日付35990元；</t>
  </si>
  <si>
    <t>2016年9月27日付18860万</t>
  </si>
  <si>
    <t>2016年12月14日付49900元</t>
  </si>
  <si>
    <t>2017年1月22日付88332.5元</t>
  </si>
  <si>
    <t>2017年5月19日付11432.5元</t>
  </si>
  <si>
    <t>2017年8月17日付11980元</t>
  </si>
  <si>
    <t>2016.12.19</t>
  </si>
  <si>
    <r>
      <t>长泰合同编号:</t>
    </r>
    <r>
      <rPr>
        <b/>
        <sz val="12"/>
        <color indexed="10"/>
        <rFont val="楷体_GB2312"/>
        <family val="3"/>
        <charset val="134"/>
      </rPr>
      <t>从2017年6月1日开始为长兴合同</t>
    </r>
  </si>
  <si>
    <t>天河区天坤路；地下四层；地上A 栋14层；B栋9层</t>
  </si>
  <si>
    <r>
      <t>C15：247.29 C20：256.84 C25：263.99 C30：271.15 C35：281.49  C40：291.82  C45：302.96 C50：313.29   C55：329.20  C60：345.10 从2016年12月17日起上调40元；C30 311.15； 从2017年3月1日起下调20元/方；C30 291.5；</t>
    </r>
    <r>
      <rPr>
        <sz val="11"/>
        <color indexed="10"/>
        <rFont val="宋体"/>
        <charset val="134"/>
      </rPr>
      <t>长兴合同暂定价：C30 351.23 C35 364.62 C40 378.02 C45 392.43 C50 405.82 C55 426.42</t>
    </r>
  </si>
  <si>
    <t>润泵混凝土砂浆按290元；1、抗渗砼P6-P8在原单价上另加收5元/m3；P10-P12在原单价上另加收10元/m3；
 2、水下桩或坍落度超过180mm时在原单价上另加收15元/ m3；细石混凝土在原单价上另加收15元/ m3；
 3、路面砼（包括耐磨层、球场、地坪、地面、道路、跑道、车道、找平层或找坡层（除天面、屋面）在原单价上另加收10元/ m3；
 4、3天早强：达到80%加25元/m3；达到100%加35元/m3。
 5、7天早强：达到80%加15元/m3；达到100%加25元/m3。
 7、掺膨胀剂：普通砼掺6%加25元/m3，掺8%加30元/m3，掺10%加45元/m3，掺12%加50元/m3。
6、清水或无粉煤灰（纯水泥）混凝土≤C35加25元/m3；≥C40加20元/m3；特殊混凝土价格双方另协商。</t>
  </si>
  <si>
    <t>深圳市政工程总公司</t>
  </si>
  <si>
    <t>深圳市福田区红荔西路市政大院建筑公司成本部 李永兵18319041000</t>
  </si>
  <si>
    <t>含税</t>
  </si>
  <si>
    <t>广州商业楼工程 2 幢</t>
  </si>
  <si>
    <t>7267558.83元；</t>
  </si>
  <si>
    <t>胡管红</t>
  </si>
  <si>
    <t>调差方式</t>
  </si>
  <si>
    <t>商品混凝土各规格型号各强度等级实际供货单价＝当季度广州地区建设工程常用材料税后综合价格中商品混凝土同规格型号同强度等级税后综合价格（税后综合价格=税前综合价格+税前综合价格×3%税率） × （1-22.8%）（如：4-6月供货泵送C30以第二季度信息价中泵送 C30税后综合价格为基准价进行下浮）</t>
  </si>
  <si>
    <t>按公司规定提；业务信息费13元/方</t>
  </si>
  <si>
    <t>长兴付款方式</t>
  </si>
  <si>
    <t>结算日 20 天内付计量月份总货款的 85%，在项目主体工程全部结构封顶后 3 个月内付总货款 95%（主体结构封顶时间不迟于 2017 年 12 月 30 日，否则 以该日期作为主体封顶之日）剩余总货款 5%在项目主体竣工验收后 3 个月内付清）（主体竣工验收最迟于2018年11月30日前完成。）</t>
  </si>
  <si>
    <t>结算日 20 天内付计量月份总货款的 85%，在项目主体工程全部结构封顶后 3 个月内付总货款 95%（主体结构封顶时间不迟于 2017 年 12 月 30 日，否则 以该日期作为主体封顶之日）剩余总货款 5%在项目主体竣工验收后 3 个月内付清）</t>
  </si>
  <si>
    <t>肖帅15019425003；</t>
  </si>
  <si>
    <t>2017年1月20日付240万</t>
  </si>
  <si>
    <t>2016年第四季度调差</t>
  </si>
  <si>
    <t>2017年第一季度调差</t>
  </si>
  <si>
    <t>2017年4月20日付120万</t>
  </si>
  <si>
    <t>2017年5月23日付65万</t>
  </si>
  <si>
    <t>2017年6月28日付95万</t>
  </si>
  <si>
    <t>2017年5月1日至6月20日</t>
  </si>
  <si>
    <t>2017年6月21日至7月19日</t>
  </si>
  <si>
    <t>2017年7月28日付70万（长兴）</t>
  </si>
  <si>
    <t>2017年7月20日至8月20日</t>
  </si>
  <si>
    <t>2017年9月4日付40万</t>
  </si>
  <si>
    <t>2016.6.12</t>
  </si>
  <si>
    <t>长泰合同编号:CT16-03162；2017.5.1变更长兴合同，合同编号：CT16-031601</t>
  </si>
  <si>
    <t>宽35.5米，长106米</t>
  </si>
  <si>
    <t xml:space="preserve">C15：225 C20：235 C25：245 C30：255   C35：270  C40：285  C45：305 C50：330   C55：360  C60：395 砂浆 300 从2016年7月15日起上调25元/方；C30 280 从2016年12月12日起上调30元；C30 310 </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</si>
  <si>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 m3；特殊混凝土价格双方另协商。</t>
  </si>
  <si>
    <t>广州市长利达建筑工程有限公司</t>
  </si>
  <si>
    <t>广州市市政工程维修处</t>
  </si>
  <si>
    <t>5%%</t>
  </si>
  <si>
    <t>黄浦桥（会展中心-广东商学院）工程施工总承包</t>
  </si>
  <si>
    <t>5000方；</t>
  </si>
  <si>
    <t>曾总</t>
  </si>
  <si>
    <t>曾繁文</t>
  </si>
  <si>
    <t>按公司规定提；业务信息费10元/方；</t>
  </si>
  <si>
    <t>2016年3月至6月30日</t>
  </si>
  <si>
    <t>2016年8月9日付160717.5元（期票8.30）</t>
  </si>
  <si>
    <t>2016年11月1日付330270元（期票11.27延期12.3-延期12月6日）</t>
  </si>
  <si>
    <t>2017年1月14日付218885元</t>
  </si>
  <si>
    <t>2017年4月10日付237130元（期票4.30）4月10日付2000元</t>
  </si>
  <si>
    <t>2017年8月31日付31760元（期票9.20）</t>
  </si>
  <si>
    <t>长兴合同编号:</t>
  </si>
  <si>
    <t>2016-一建-荔港南二期12-14栋-购-材-商品砼-016</t>
  </si>
  <si>
    <t>建筑面积约97667平方米，地上共3栋；二栋为53层；一栋15层</t>
  </si>
  <si>
    <t>C15 242 C20 252 C25 262 C30 270 C35 282 C40 297 C45 312 C50 327 C55 347 C60 367 C65 440 C70 470 砂浆（不分类型）270 从2016年12月12日至2017年2月15日上调35元 C30:305</t>
  </si>
  <si>
    <t>细石砼加10元/方；抗渗等级为P6、P8、P10的抗渗砼在同强度等级同类型商品砼的基础上分别加5元/m3、5元/m3、10元/m3;
按本工程设计要求掺加SY-G膨胀剂的膨胀砼在同强度等级同类型商品砼的基础上增加40元/m3;
按本工程设计要求掺加ZY膨胀剂的膨胀砼在同强度等级同类型商品砼的基础上增加40元/m3;
掺加普通HEA膨胀剂的膨胀砼在同强度等级同类型商品砼的基础上增加40元/m3;
掺加普通UEA膨胀剂的膨胀砼在同强度等级同类型商品砼的基础上增加40元/m3;
预应力商品砼在同强度等级同类型商品砼的基础上增加25元/m3;
路面砼在同强度等级同类型商品砼的基础上增加15元/m3;
砂浆不分类型，一律按270元/m3；
如果商品砼既为膨胀砼又为抗渗砼时，只需在同等级同类型商品砼的基础上加收相应掺膨胀剂的费用。如甲方提出膨胀剂等外加剂由甲方采购乙方添加时，乙方应配合甲方做好外加剂添加工作，乙方收取5元/方的人工费。</t>
  </si>
  <si>
    <t>深圳市建工集团股份有限公司</t>
  </si>
  <si>
    <t>广州荔湾南湾南区二期（12-14栋）工程项目</t>
  </si>
  <si>
    <t xml:space="preserve">30000方；合同签约金额8723368.84元
</t>
  </si>
  <si>
    <t>刘志忠</t>
  </si>
  <si>
    <t>联系电话13760408486</t>
  </si>
  <si>
    <r>
      <t>以2015年第四季度信息价中C30普通泵送砼价格为基准价格。施工期间，若该标号价格波动幅度在±5%以内（含±5%），合同单价不作调整，若波动幅度在±5%以外（不含±5%）部分的单价进行调整。如二</t>
    </r>
    <r>
      <rPr>
        <sz val="12"/>
        <rFont val="宋体"/>
        <charset val="134"/>
      </rPr>
      <t>〇</t>
    </r>
    <r>
      <rPr>
        <sz val="12"/>
        <rFont val="楷体_GB2312"/>
        <family val="3"/>
        <charset val="134"/>
      </rPr>
      <t>一五年第四季度广州地区建设过程常用材料综合价格中C30普通泵送混凝土单价为351元/m</t>
    </r>
    <r>
      <rPr>
        <sz val="12"/>
        <rFont val="宋体"/>
        <charset val="134"/>
      </rPr>
      <t>³</t>
    </r>
    <r>
      <rPr>
        <sz val="12"/>
        <rFont val="楷体_GB2312"/>
        <family val="3"/>
        <charset val="134"/>
      </rPr>
      <t>，供货期广州地区建设过程常用材料综合价格中C30普通泵送混凝土单价为369元/m</t>
    </r>
    <r>
      <rPr>
        <sz val="12"/>
        <rFont val="宋体"/>
        <charset val="134"/>
      </rPr>
      <t>³</t>
    </r>
    <r>
      <rPr>
        <sz val="12"/>
        <rFont val="楷体_GB2312"/>
        <family val="3"/>
        <charset val="134"/>
      </rPr>
      <t>，则供货期结算单价计算=270+（369-351-351*5%）=270.45元/ m</t>
    </r>
    <r>
      <rPr>
        <sz val="12"/>
        <rFont val="宋体"/>
        <charset val="134"/>
      </rPr>
      <t>³</t>
    </r>
    <r>
      <rPr>
        <sz val="12"/>
        <rFont val="楷体_GB2312"/>
        <family val="3"/>
        <charset val="134"/>
      </rPr>
      <t>。</t>
    </r>
  </si>
  <si>
    <t>甘亦波、贺娟、张进军</t>
  </si>
  <si>
    <t>每月21日结算完后，下个月20日前付上月结算款的70%，剩余30%在主体结构封顶六个月内付清。</t>
  </si>
  <si>
    <t>履约保证金：乙方在签订合同前，需缴纳相当于合同价款3%的履约保证金或同等金额的履约保函（可在首批货款中暂扣）合同签约金额8723368.84元*0.03=261701.06元</t>
  </si>
  <si>
    <t>2016年5月1日至2016年6月18日</t>
  </si>
  <si>
    <t>2016年6月21日至2016年7月20日</t>
  </si>
  <si>
    <t>2016年7月21日至2016年8月20日</t>
  </si>
  <si>
    <t>2016年7月22日付40万</t>
  </si>
  <si>
    <t>2016年8月21日至2016年9月20日</t>
  </si>
  <si>
    <t>2016年9月26日付150万</t>
  </si>
  <si>
    <t>2016年9月21日至2016年10月20日</t>
  </si>
  <si>
    <t>2016年10月27日付120万</t>
  </si>
  <si>
    <t>2016年10月21日至2016年11月18日</t>
  </si>
  <si>
    <t>2016年11月24日付80万</t>
  </si>
  <si>
    <t>2016年11月19日至2016年12月15日</t>
  </si>
  <si>
    <t>2016年12月19日付85万</t>
  </si>
  <si>
    <t>2016年12月16日至2017年3月15日</t>
  </si>
  <si>
    <t>2017年1月20日付128万</t>
  </si>
  <si>
    <t>2017年3月16日至2017年4月15日</t>
  </si>
  <si>
    <t>2017年4月16日至2017年5月13日</t>
  </si>
  <si>
    <t>2017年5月19日付68万</t>
  </si>
  <si>
    <t>2017年5月14日至2017年6月13日</t>
  </si>
  <si>
    <t>2016年12月份调差</t>
  </si>
  <si>
    <t>2017年6月15日至2017年7月12日</t>
  </si>
  <si>
    <t>2017年7月28付16万</t>
  </si>
  <si>
    <t>2017年7月13日至2017年8月13日</t>
  </si>
  <si>
    <t>+</t>
  </si>
  <si>
    <t>2016.4.25</t>
  </si>
  <si>
    <t>长泰合同编号:CT16-0328</t>
  </si>
  <si>
    <t>基坑支护5862m2；地下5层；</t>
  </si>
  <si>
    <t>结算单价（原材料超过5%须调差）</t>
  </si>
  <si>
    <t>C15 225 C20 235 C25 245 C30 255 C35 270 C40 285 C45 305 C50 330 C55 360 C60 395 砂浆360 从2016年7月25日上调15元 C30 270 从2016年10月25日上调7元 C30 277元  从2016年12月15日起上调30元；C30 307 从2017年3月15日起下调7元；C30 300；从2017年5月26日起下调15元；C30 285</t>
  </si>
  <si>
    <t>一、抗渗砼P6-P8在原单价上另加收5元/m3；P10-P12在单价上另加收10元/m3；二、水下桩或坍落度超过180mm时在原单价上另加收15元/m3；细石混凝土在原单价上另加15元/m3；三、路面砼（包括耐磨层、球场、地坪、地面、道路、跑道、车道、找平层或找坡层（除天面、屋面））在原单价上另加15元/m3；四、3天早强：≤C30混凝土达到70%加20元/m3；达到80%加22元/m3；达到90%加35元/m3；达到100%加25元/m3；≥C35混凝土达到70%加25元/m3；达到80%加30元/m3；达到90%加40元/m3；达到100%加50元/m3；五、7天早强：≤C30混凝土达到80%加10元/m3；达到90%加15元/m3；达到100%加25元/m3；≥C35混凝土达到80%加15元/m3；达到90%加20元/m3；达到100%加30元/m3；六、清水或无粉煤灰（纯水泥）混凝土≤C35加25元/m3；≥C40加20元/m3；七、掺膨胀剂：普通砼掺6%加35元/m3，掺8%加40元/m3，掺10%加45元/m3，掺12%加50元/m3，</t>
  </si>
  <si>
    <t>广东海外建设集团有限公司</t>
  </si>
  <si>
    <t>合鸿达大厦基坑支护及土石方工程</t>
  </si>
  <si>
    <t>郑爱鹏</t>
  </si>
  <si>
    <t>联系电话13929531145</t>
  </si>
  <si>
    <t>如遇市场单一原材料价格浮动超过±5%时，双方再协商调整单价。双方应在10天过渡期内协商一致调整混凝土价格：若双方协商不成，应于一个月内结算付清货款并解除本合同。</t>
  </si>
  <si>
    <t>增加项目</t>
  </si>
  <si>
    <t>工程名称：1310园林景观工程；广东绿皇园林建筑有限公司；供方委托：广州市泰兴混凝土有限公司供应。</t>
  </si>
  <si>
    <t>郑炜坤、郑晓杰、温浩</t>
  </si>
  <si>
    <t>郑爱鹏、陆进和、温浩</t>
  </si>
  <si>
    <t>当月（指第一个月）货款于三个月整第4个月10日前付80%，基坑支护工程混凝土供应完毕一个月内支付所供货款的10%，余款10%于基坑支护工程验收合格一个月内付10%，余款10%于基坑支护工程验收合格一个月内付清（如2017年4月30日前基坑支护工程未验收合格，则视为已验收合格，则最迟应于2017年4月30日前付清所供货款）。否则，供方有权停止供货，并追究需方违约责任。用支票支付贷款的，抬头必须填写供方单位名称。如需方工地原因导致停供，需方必须在最后一次供应砼之日起1个月内将余款全部付清。如若供方原因导致停供，供方必须承担一切法律责任。</t>
  </si>
  <si>
    <t>需方每批次浇捣的混凝土尾数只能有两车不足9m3，超出一车以上，按每车达不到9m3的差额部分，另向需方收取30元/m3空运费。</t>
  </si>
  <si>
    <t>2016年9月1日付381136元</t>
  </si>
  <si>
    <t>2016年10月12日付696410元</t>
  </si>
  <si>
    <t>2016年11月3日付526360元</t>
  </si>
  <si>
    <t>2016年11月14日付380394元</t>
  </si>
  <si>
    <t>2017年1月13日付184604.08元</t>
  </si>
  <si>
    <t>2017年5月26日付214708.40元</t>
  </si>
  <si>
    <t>2017年9月5日付125601.6元</t>
  </si>
  <si>
    <t>2016 年9月23日</t>
  </si>
  <si>
    <t>长兴合同编号:CX16-0918房建合（分）字（2016）252号</t>
  </si>
  <si>
    <t>2016.9.23</t>
  </si>
  <si>
    <t>建筑面积15000方；地上6层；地下三层</t>
  </si>
  <si>
    <t>C15 235 C20 245 C25 255 C30 265 C30水下砼 280 C35P6-P8 270 C35P8 300 C40P8 320 从2016年10月25日起上调10元C30 275；从2016年12月13日上调30元；C30 305；从2017年5月1起C30:290元</t>
  </si>
  <si>
    <t>1、P6-P8增加 5 元/m3；P10-P12增加10 元/m3。
2、砂浆  320 元/m3；
3、泵送坍落度要求超过180mm时（不含水下砼），则另增加  10元/m3的材料费用。
4、水下混凝土在各相应标号价格基础上增加15  元/m3；7天早强砼增加15 元/m3。3天早强砼增加30元/m3。
5、掺加微膨胀剂“HEA”,增加  40元/m3；（8%以内），超8%加45元m3。
6、细石砼增加 15 元/m3。
7、路面（含地面或属耐磨层）混凝土增加10元/m3。
要求掺加特殊材料的混凝土，价格另议。掺6%SY-K纤维抗裂膨胀剂在原等级混凝土单价基础上增加35元/m3；掺8%SY-K纤维抗裂膨胀剂在原等级混凝土单价基础上增加40元/m3；掺10%SY-K纤维抗裂膨胀剂在原等级混凝土单价基础上增加45元/m3；掺12%SY-K纤维抗裂膨胀剂在原等级混凝土单价基础上增加50元/m3。</t>
  </si>
  <si>
    <t>广州市房屋开发建设有限公司</t>
  </si>
  <si>
    <t>在供货期限内，如市场单一原材料价格浮动超过+5%时，双方协商调整单价。</t>
  </si>
  <si>
    <t>商业、公建配套项目（金沙洲B3702A02号地块项目）</t>
  </si>
  <si>
    <t>16544 m3</t>
  </si>
  <si>
    <t xml:space="preserve"> 邱淋  电话： 18819345143 ， 黄礼浩 电话： 13430315259 </t>
  </si>
  <si>
    <t xml:space="preserve">姚颖超 </t>
  </si>
  <si>
    <t>还款计划：于2017年4月将342570元全部付清。</t>
  </si>
  <si>
    <t>按公司规定提；业务信息费5元</t>
  </si>
  <si>
    <t>供需双方每月结付一次，次月1号前供方应向需方发出上月供应混凝土凭证和结算单，需方应在收到结算单5天内盖章签认，并于第三个月10日前支付第一个月的混凝土款95 %（即2016年6月份的货款于2016年第8月10日前付95%），余款5%待工程混凝土供应完毕，最后一批龄期达到28天，质量达到验收标准且进行结算签认后十五天内付清，每次在收取款项时，乙方同时提交等额增值税专用发票给甲方,否则，甲方有权拒绝付款。</t>
  </si>
  <si>
    <t>无尾数</t>
  </si>
  <si>
    <t>2016年6月24日至7月23日共318方；2016年11月10日申请退15元；318*15=4770元（扣除税金143元）实际退回4626元。</t>
  </si>
  <si>
    <t>2016年6月至8月</t>
  </si>
  <si>
    <t>2016年10月25日付297530元</t>
  </si>
  <si>
    <t>2016年12月19日付519960元</t>
  </si>
  <si>
    <t>2017年1月19日付256225元</t>
  </si>
  <si>
    <t>2017年3月27日付470827.5元</t>
  </si>
  <si>
    <t>2017-5-1付1433855元</t>
  </si>
  <si>
    <t>2017年6月16日付544887.5元</t>
  </si>
  <si>
    <t>2017年8月12日付703480元</t>
  </si>
  <si>
    <t>长泰合同编号:</t>
  </si>
  <si>
    <t>C30 260 （临供）</t>
  </si>
  <si>
    <t>大坦沙污水处理厂厂内污水泥干化减量工程</t>
  </si>
  <si>
    <t>2016年12月26日付9110元</t>
  </si>
  <si>
    <t>C15 218</t>
  </si>
  <si>
    <t>广东恒辉建设有限公司</t>
  </si>
  <si>
    <r>
      <t>猎德、沥</t>
    </r>
    <r>
      <rPr>
        <sz val="12"/>
        <rFont val="宋体"/>
        <charset val="134"/>
      </rPr>
      <t>滘</t>
    </r>
    <r>
      <rPr>
        <sz val="12"/>
        <rFont val="楷体_GB2312"/>
        <family val="3"/>
        <charset val="134"/>
      </rPr>
      <t>、西朗、大坦沙、污水外理厂改造工程项目</t>
    </r>
  </si>
  <si>
    <t>2017年1月10日付7412元</t>
  </si>
  <si>
    <t>签定日期：</t>
  </si>
  <si>
    <t>合同编号：C251201400013ET002</t>
  </si>
  <si>
    <t>供应日期：2014-11-17</t>
  </si>
  <si>
    <t>1.抗渗混凝土P6增加 5元/M3，P8增加 5元/M3；水下混凝土（180-220㎜）增加15元/M3；细石混凝土增加 15元/M3；砂浆价格按320元/M3；UEA的微膨胀混凝土增加 45   元/M3；不加灰砼增加 10元/M3.2、对于已添加UEA的微膨胀混凝土若带抗渗要求（P6、P8、P10、P12），供方不能另外收取抗渗费用。3、地下室掺入10%UEA应与微膨胀同价，价格不再变化。4、供方的混凝土质量需满足本工程的图纸设计及规范要求。6、该价格为包运输、装卸到工地的包干含税价格。7、混凝土工程量为暂定量，以工地实际需要为准。8、此单价为送至工地砼的价格，不包括泵送机械等费用；1.1本合同标的为商品混凝土，双方确定混凝土单价，7天早强混凝土每立方增加  15  元，5天早强混凝土每立方增加  20  元，3天早强混凝土每立方增加  25  元，细石混凝土增加  15  元/m³，润管砂浆  320   元/m³。</t>
  </si>
  <si>
    <t>含税结算单价</t>
  </si>
  <si>
    <t>六个月银行承兑单价：C15:274.5 C20：274.5 C25：294.5 C30：304.5 C35：319.5 C40：334.5 C45：349.5 C50：369.5 C55：389.5 C60：409.5                            现付单价：C15:284.5 C20：294.5 C25：304.5 C30：314.5 C35：329.5 C40：344.5 C45：359.5 C50：379.5 C55：399.5 C60：419.5 从2016年1月20号起C30 263</t>
  </si>
  <si>
    <t>资料更改费用每立方10元</t>
  </si>
  <si>
    <t>中建二局第三建筑工程有限公司</t>
  </si>
  <si>
    <t>属公司业务张文彬按1.5元/方；郑潮通提成1元/m3；业务信息费用现付单价2元/方；中建领导帮忙处理进度款和中标费用共4元/方；</t>
  </si>
  <si>
    <t>混凝土签收人</t>
  </si>
  <si>
    <t xml:space="preserve">熊加良13922855503      陈明勇13682597386 </t>
  </si>
  <si>
    <t>龚宪铮13682597386</t>
  </si>
  <si>
    <t xml:space="preserve">第一种支付方式：1双方每月25日前书面对帐确认完上月24日至本月25日发生的货款，核对结果仅作为已完混凝土款确认依据返回乙方。甲方暂不按核对结果支付，但作为封顶后的货款支付的依据，具体进度支付按以下方案执行：2地下室垫资到地下室主体结构封顶，封顶后按双方核对地下室货款70%支付（含前期临建及零星使用商品混凝土），地上部分货款每月按双方核对货款70%支付；3项目商品砼停供后一个月内办理结算，办理完结算后三个月内按总货款额度支付至90%，剩余工程款在项目完工质量检验合格后予以支付（无息）。
</t>
  </si>
  <si>
    <t>第二种付款方式：
1双方每月25日前书面对帐确认完上月24日至本月25日发生的货款，核对结果仅作为已完混凝土款确认依据返回乙方。甲方暂不按核对结果支付，但作为封顶后的货款支付的依据，具体进度支付按以下方案执行：
1.1地下室垫资到地下室主体结构封顶，甲方按地下室所供货款的80%（含前期临建及零星使用商品混凝土）支付乙方承兑汇票（甲方不承担承兑汇票的贴息）；地上部分货款每月按双方核对货款80%支付乙方承兑汇票（甲方不承担承兑汇票的贴息）；
1.2项目商品砼停供后一个月内办理结算，办理完结算后三个月内按总货款额度支付至90%，剩余工程款在项目完工质量检验合格后予以支付（无息）。
2、停供后三月内办理完结算，办理完结算后三个月内无息支付余款。
3、按甲方公司财务通知：甲方每月21日-次月5日期间不因任何原因支付任何款项。
4、若因乙方提供的发票不真实而导致的一切责任由乙方承担。
5、结算方式：单价×双方确定供货量。
6、本工程混凝土发票由乙方负责，在甲方支付货款时，由乙方按甲方财务要求开出合法有效的混凝土发票给甲方。
7、乙方最后一次供货完成需办理该次对账确认，须有甲方项目确认的《材料结算书》办理货款总结算。</t>
  </si>
  <si>
    <t>试件送检单位：</t>
  </si>
  <si>
    <t>2015年3月9日至3月15日</t>
  </si>
  <si>
    <t>2015年3月16日至4月15日</t>
  </si>
  <si>
    <t>2015年4月16日至5月15日</t>
  </si>
  <si>
    <t>2015年5月16日至6月15日</t>
  </si>
  <si>
    <t>2015年6月16日至7月15日</t>
  </si>
  <si>
    <t>2015年7月16日至8月15日</t>
  </si>
  <si>
    <t>2015年8月16日至9月15日</t>
  </si>
  <si>
    <t>2015年9月29日付200万</t>
  </si>
  <si>
    <t>2015年9月16日至10月15日</t>
  </si>
  <si>
    <r>
      <t>2015年10月13日付500万</t>
    </r>
    <r>
      <rPr>
        <b/>
        <sz val="12"/>
        <color indexed="10"/>
        <rFont val="宋体"/>
        <charset val="134"/>
      </rPr>
      <t>（承兑2016年3月29）1666元（税金）</t>
    </r>
  </si>
  <si>
    <t>2015年10月16日至11月15日</t>
  </si>
  <si>
    <t>2015年11月6日付300万（2015年4月29日）</t>
  </si>
  <si>
    <t>2015年11月16日至12月15日</t>
  </si>
  <si>
    <t>2015年12月11日付150万元（2016.6.3）</t>
  </si>
  <si>
    <t>2015年12月16日至2016年1月15日</t>
  </si>
  <si>
    <t>2015年1月30日付600万（承兑汇票7.21）</t>
  </si>
  <si>
    <t>2016年1月16日至2016年2月15日</t>
  </si>
  <si>
    <t>2016年2月16日至2016年3月15日</t>
  </si>
  <si>
    <t>一期</t>
  </si>
  <si>
    <t>2016年3月16日至2016年4月15日</t>
  </si>
  <si>
    <t>2016年4月29日付300万（承兑9.30-5月份入账）</t>
  </si>
  <si>
    <t>2016年4月16日至2016年5月15日</t>
  </si>
  <si>
    <t>2016年5月16日至2016年6月15日</t>
  </si>
  <si>
    <t>2016年6月16日至2016年7月15日</t>
  </si>
  <si>
    <t>2016年7月16日至2016年8月15日</t>
  </si>
  <si>
    <t>2016年8月16日至2016年9月15日</t>
  </si>
  <si>
    <t>2016年9月16日至2016年10月16日</t>
  </si>
  <si>
    <t>2016年10月16日至2016年11月17日</t>
  </si>
  <si>
    <t>2016年11月29日付35万</t>
  </si>
  <si>
    <t>2016年11月16日至2016年12月18日</t>
  </si>
  <si>
    <t>2016年12月16日至2017年1月18日</t>
  </si>
  <si>
    <t>2016年7月25日付50万（商票2017.1.12）+2016年12月28日付307804.51元</t>
  </si>
  <si>
    <t>1月20日收900000元；其中10万录入二期；80万录入一期。</t>
  </si>
  <si>
    <t>2016年3月1日至2017年4月15日</t>
  </si>
  <si>
    <t>2016年9月1日付100万（商承汇票2017.2.2）+2016年10月14日付100万（2017.3.29商业承兑汇票-入账日期为9月）</t>
  </si>
  <si>
    <t>1.16收款42195.49转入二期</t>
  </si>
  <si>
    <r>
      <t>2017年1月20日付90万（商承汇票2017.7.16--</t>
    </r>
    <r>
      <rPr>
        <b/>
        <sz val="12"/>
        <color indexed="10"/>
        <rFont val="宋体"/>
        <charset val="134"/>
      </rPr>
      <t>财务还未入账</t>
    </r>
    <r>
      <rPr>
        <b/>
        <sz val="12"/>
        <rFont val="宋体"/>
        <charset val="134"/>
      </rPr>
      <t>）2017年1月16日付42195.49元</t>
    </r>
  </si>
  <si>
    <t>合计</t>
  </si>
  <si>
    <t>合同编号C251201400013-1ET005</t>
  </si>
  <si>
    <t>六个月银行承兑单价：C15:233 C20：243 C25：253 C30：263 C35：273 C40：288 C45：303 C50：323 C55：348 C60：409.5                            现付单价：C15:284.5 C20：294.5 C25：304.5 C30：314.5 C35：329.5 C40：344.5 C45：359.5 C50：379.5 C55：399.5 C60：419.5 从2016年1月20号起C30 263</t>
  </si>
  <si>
    <t>1.抗渗混凝土P6增加 5元/M3，P8增加 5元/M3；三天早强加15元；细石加15元；润管砂浆300元；1.抗渗混凝土P6增加 5元/M3，P8增加 5元/M3；水下混凝土（180-220㎜）增加15元/M3；细石混凝土增加 15元/M3；普通早强加15元；砂浆300元；UEA的微膨胀混凝土增加 45   元/M3；不加灰砼增加 10元/M3.2、对于已添加UEA的微膨胀混凝土若带抗渗要求（P6、P8、P10、P12），供方不能另外收取抗渗费用。3、地下室掺入10%UEA应与微膨胀同价，价格不再变化。4、供方的混凝土质量需满足本工程的图纸设计及规范要求。6、该价格为包运输、装卸到工地的包干含税价格。7、混凝土工程量为暂定量，以工地实际需要为准。8、此单价为送至工地砼的价格，不包括泵送机械等费用；</t>
  </si>
  <si>
    <t>张文彬1.5元/方；郑潮通1元/方；业务信息费4元/方；</t>
  </si>
  <si>
    <t>双方每月25日前书面对账确认完上月16日至本月发生的货款，核对结果仅作为已完混凝土款确认依据返回乙方。甲方暂不按核对结果支付，但作为封顶后的货款支付的依据，具体进度支付按以下方案执行：1本工程货款按月支付，甲方按当月所供货款的70%支付乙方承兑汇票或80%支付商业汇票（甲方不承担承兑汇票或商业汇票的贴息，商业汇票执行六个月承兑方式单价）；2项目商品砼停供后一个月内办理结算，剩余工程款在办理完结算后三个月内甲方无息支付余下货款给乙方。</t>
  </si>
  <si>
    <t>二期</t>
  </si>
  <si>
    <t>其中50万退还给工地</t>
  </si>
  <si>
    <r>
      <t>2016</t>
    </r>
    <r>
      <rPr>
        <b/>
        <sz val="12"/>
        <rFont val="宋体"/>
        <charset val="134"/>
      </rPr>
      <t>年</t>
    </r>
    <r>
      <rPr>
        <b/>
        <sz val="12"/>
        <rFont val="Times New Roman"/>
        <family val="1"/>
      </rPr>
      <t>9</t>
    </r>
    <r>
      <rPr>
        <b/>
        <sz val="12"/>
        <rFont val="宋体"/>
        <charset val="134"/>
      </rPr>
      <t>月</t>
    </r>
    <r>
      <rPr>
        <b/>
        <sz val="12"/>
        <rFont val="Times New Roman"/>
        <family val="1"/>
      </rPr>
      <t>1</t>
    </r>
    <r>
      <rPr>
        <b/>
        <sz val="12"/>
        <rFont val="宋体"/>
        <charset val="134"/>
      </rPr>
      <t>日付</t>
    </r>
    <r>
      <rPr>
        <b/>
        <sz val="12"/>
        <rFont val="Times New Roman"/>
        <family val="1"/>
      </rPr>
      <t>100</t>
    </r>
    <r>
      <rPr>
        <b/>
        <sz val="12"/>
        <rFont val="宋体"/>
        <charset val="134"/>
      </rPr>
      <t>万（商业承汇票</t>
    </r>
    <r>
      <rPr>
        <b/>
        <sz val="12"/>
        <rFont val="Times New Roman"/>
        <family val="1"/>
      </rPr>
      <t>2017.2.2</t>
    </r>
    <r>
      <rPr>
        <b/>
        <sz val="12"/>
        <rFont val="宋体"/>
        <charset val="134"/>
      </rPr>
      <t>）</t>
    </r>
    <r>
      <rPr>
        <b/>
        <sz val="12"/>
        <rFont val="Times New Roman"/>
        <family val="1"/>
      </rPr>
      <t>+9</t>
    </r>
    <r>
      <rPr>
        <b/>
        <sz val="12"/>
        <rFont val="宋体"/>
        <charset val="134"/>
      </rPr>
      <t>月</t>
    </r>
    <r>
      <rPr>
        <b/>
        <sz val="12"/>
        <rFont val="Times New Roman"/>
        <family val="1"/>
      </rPr>
      <t>23</t>
    </r>
    <r>
      <rPr>
        <b/>
        <sz val="12"/>
        <rFont val="宋体"/>
        <charset val="134"/>
      </rPr>
      <t>日付</t>
    </r>
    <r>
      <rPr>
        <b/>
        <sz val="12"/>
        <rFont val="Times New Roman"/>
        <family val="1"/>
      </rPr>
      <t>50</t>
    </r>
    <r>
      <rPr>
        <b/>
        <sz val="12"/>
        <rFont val="宋体"/>
        <charset val="134"/>
      </rPr>
      <t>万（商业承兑汇票</t>
    </r>
    <r>
      <rPr>
        <b/>
        <sz val="12"/>
        <rFont val="Times New Roman"/>
        <family val="1"/>
      </rPr>
      <t>2017.3.1</t>
    </r>
    <r>
      <rPr>
        <b/>
        <sz val="12"/>
        <rFont val="宋体"/>
        <charset val="134"/>
      </rPr>
      <t>）</t>
    </r>
  </si>
  <si>
    <t>其中30万退还给工地</t>
  </si>
  <si>
    <t>2016年10月1日付150万</t>
  </si>
  <si>
    <r>
      <t>2016年11月29日付135万</t>
    </r>
    <r>
      <rPr>
        <b/>
        <sz val="12"/>
        <color indexed="10"/>
        <rFont val="宋体"/>
        <charset val="134"/>
      </rPr>
      <t>（退回30万元给工地）（其中50万退回工地）</t>
    </r>
  </si>
  <si>
    <t>从一期收款中转过来；一期付90万（转10万过二期）</t>
  </si>
  <si>
    <t>2016年12月28日付110万元</t>
  </si>
  <si>
    <t>从一期收款中转过来；</t>
  </si>
  <si>
    <t>2017年1月20日付20万（商承汇票2017.7.16）+付20万（商承汇票2017.7.16）</t>
  </si>
  <si>
    <t>2017年3月1日至2017年4月15日</t>
  </si>
  <si>
    <t>2017年4月16日至2017年5月15日</t>
  </si>
  <si>
    <t>2017年6月15日付65万</t>
  </si>
  <si>
    <t>2017年5月16日至2017年6月15日</t>
  </si>
  <si>
    <t>2017年6月27日付90万（电子承兑汇票12.26）</t>
  </si>
  <si>
    <t>2017年6月16日至2017年7月15日</t>
  </si>
  <si>
    <t>2017年7月16日至2017年8月15日</t>
  </si>
  <si>
    <t>9111000063370987XW</t>
  </si>
  <si>
    <t>广州市长兴混凝土有限公司</t>
  </si>
  <si>
    <t>91440103728204639P</t>
  </si>
  <si>
    <t>2016.8.12</t>
  </si>
  <si>
    <t>长兴合同编号：CSCEC2B-SZ-CZZYC-CG-2016002</t>
  </si>
  <si>
    <t>建筑面积为19万方；地下四层；地上三栋；一栋37层；两栋57层；</t>
  </si>
  <si>
    <t>以供货当期《广州市工程造价信息》中的同规格型号产品信息价格下浮27%作为结算单价；润泵砂浆320元</t>
  </si>
  <si>
    <t>细石10元；P6-P8加5元；P10-P12加10元；路面不加灰加10元；水下加10元；三天早强加20元；七天早强加10元；膨胀混凝土20元；补偿收缩渗量增加20元；渗量8%（不含8%）-10%增加25元；渗量10%（不含10%）-12%加40元；不加粉煤灰加10元；高抗裂高抗渗SY-T高效特种纤维膨胀混凝土掺量8%加30元；渗量8%（不含8%）-10%增加35元；渗量10%（不含10%）-12%加40元；自密实混凝土加60元；清水混凝土加30元</t>
  </si>
  <si>
    <t>姓名</t>
  </si>
  <si>
    <t>职务</t>
  </si>
  <si>
    <t>邮箱</t>
  </si>
  <si>
    <t>以供货当期《广州市工程造价信息》中的同规格型号产品信息价格下浮27%作为结算单价；</t>
  </si>
  <si>
    <t>第一次开票</t>
  </si>
  <si>
    <t>2016年1月至10月货款及调差11124.96元</t>
  </si>
  <si>
    <t>中国建筑第二工程局有限公司深圳分公司</t>
  </si>
  <si>
    <t xml:space="preserve">lwc443445@qq.com，电话13500273797，振业城，梁文才；深圳市福田区红荔西路8133号  农科商务办公楼8楼胜大控股邱15812399071；深圳市福田区红荔西路8133号  农科商务办公楼8楼胜大控股邱15812399071；深圳市福田区红荔西路8133号  农科商务办公楼8楼胜大控股潘工18677178214
</t>
  </si>
  <si>
    <t>按公司规定业务员提成率提；从提成中扣1.5元/方给予张文彬；业务信息费4元</t>
  </si>
  <si>
    <t>胡工</t>
  </si>
  <si>
    <t>项目副经理</t>
  </si>
  <si>
    <t>广州振业城项目</t>
  </si>
  <si>
    <t>50000m3</t>
  </si>
  <si>
    <t>胡工（项目副经理）</t>
  </si>
  <si>
    <t>13502853385</t>
  </si>
  <si>
    <t>吴士权</t>
  </si>
  <si>
    <t>韩工</t>
  </si>
  <si>
    <t>预算员</t>
  </si>
  <si>
    <t>1.开工至地下室正负零封顶.2.主体全部施工至14层.3.主体全部封顶。每个施工节点完工之日起20日内支付当期货款的70%，剩余30%在主体全部封顶之日起4个月内付清。主体结构封顶后的零星用量（累计少于200立方／月）按月结算，结算日后35天内以上述方式全额支付。</t>
  </si>
  <si>
    <t>朱工</t>
  </si>
  <si>
    <t>质保部副经理</t>
  </si>
  <si>
    <t>监理单位:</t>
  </si>
  <si>
    <t>吴工</t>
  </si>
  <si>
    <t>材料员</t>
  </si>
  <si>
    <t>小计</t>
  </si>
  <si>
    <t>第二次</t>
  </si>
  <si>
    <t>调差</t>
  </si>
  <si>
    <t>黄工</t>
  </si>
  <si>
    <t>资料员</t>
  </si>
  <si>
    <t>王工</t>
  </si>
  <si>
    <t>工长</t>
  </si>
  <si>
    <t>11月份货款</t>
  </si>
  <si>
    <t>12月份货款</t>
  </si>
  <si>
    <t>2016年第三季度调差</t>
  </si>
  <si>
    <t>1月货款</t>
  </si>
  <si>
    <t>2016年10月份地板完成</t>
  </si>
  <si>
    <t>2017年1月11日付100万+1月19日付250万</t>
  </si>
  <si>
    <t>2月货款</t>
  </si>
  <si>
    <t>3月货款</t>
  </si>
  <si>
    <t>第三次开票</t>
  </si>
  <si>
    <t>4月货款及2017年第一季调差</t>
  </si>
  <si>
    <t>2017年6月2日付180万</t>
  </si>
  <si>
    <t>第四次开票</t>
  </si>
  <si>
    <t>5月份货款</t>
  </si>
  <si>
    <t>2017年6月21日至2017年7月19日</t>
  </si>
  <si>
    <t>2017年7月25日付1125800元</t>
  </si>
  <si>
    <t>梁工</t>
  </si>
  <si>
    <t>施工员</t>
  </si>
  <si>
    <t>2017年第二季度调差</t>
  </si>
  <si>
    <t>2017年8月24日付979238.67元</t>
  </si>
  <si>
    <t>2017年7月20日至2017年8月22日</t>
  </si>
  <si>
    <t>共计</t>
  </si>
  <si>
    <r>
      <t>长泰合同编号：局三粤物CG2016051</t>
    </r>
    <r>
      <rPr>
        <b/>
        <sz val="10"/>
        <color indexed="10"/>
        <rFont val="宋体"/>
        <charset val="134"/>
      </rPr>
      <t>从2017.5.11变更为长兴合同编号：局三粤物CG2017065</t>
    </r>
  </si>
  <si>
    <t xml:space="preserve">广州市海珠区琶洲A区 </t>
  </si>
  <si>
    <t>复星南方总部项目由南北二个地块组成，总计容建筑面积219446 m2；南地块用地面12047 m2，拟建两栋150米高写字楼及商业裙房。</t>
  </si>
  <si>
    <t>结算单价（不含税）</t>
  </si>
  <si>
    <t xml:space="preserve">C10 250 C15 260 C20 270 C25 280 C30 289 C35 304 C40 318 C45 335 C50 354 C55 374 C60 393；第二季度C30 296；第三季度C30 298； 第四季度C30 298; 2017第一季度C30 298; 从2017年5月11日起长兴合同单价：C15 255 C20 265 C25 275 C30 285 C35 300 C40 315 C45 330 C50 350 C55 370 C60 390 </t>
  </si>
  <si>
    <t>早强（实际表示水下砼）15元；早强（三天达75%）20元；早强（7天达75%）10元；自密实混凝土100元；商品砂浆M5(实际表示润泵砂浆）按同</t>
  </si>
  <si>
    <r>
      <t>若市场混凝土价格有波动时，双方一致同意按以下方法进行调整：按混凝土供货当期的一个季度前（例：2016年二季度就按2016年一季度）《广州市建设工程信息指导价》公布的季度对应标号普通混凝土的价格与该站2015年一季度公布的《广州市建设工程信息指导价》对应标号普通混凝土的价格进行对比，超过+5%以外时，调整超过部分的价差，浮动在+5%（含5%）以内的不作调整；</t>
    </r>
    <r>
      <rPr>
        <sz val="11"/>
        <color indexed="10"/>
        <rFont val="宋体"/>
        <charset val="134"/>
      </rPr>
      <t>长兴合同调差方式：本合同中混凝土含增值税综合单价具体结算是按混凝土供货期间前一个季度前的《广州市建设工程造价管理信息网》对应标号普通混凝土和泵送混凝土的税前价格和2016年四季度公布的《广州市建设工程信息指导价》对应标号普通混凝土和泵送混凝土的税前综合价格进行对比，调整价差。</t>
    </r>
  </si>
  <si>
    <t>中建三局集团有限公司</t>
  </si>
  <si>
    <t>按公司项目1.5元/方；业务信息费8元</t>
  </si>
  <si>
    <t>复星南方总部工程</t>
  </si>
  <si>
    <t>姚颖超</t>
  </si>
  <si>
    <t>项目当月货款（上月20日至本月19日）验收合格后，在办理结算手续后的第五个月月底前以支票方式或其他非现金方式无息支付当月结算货款的70%，以此类推，余款在工程所需本合同材料全部供应完毕且该项目完全不再需用本合同第一条中的材料，且办理完最后一次结算手续后的半年内付至总结算额的95%，余款5%在工程竣工之日起的1个月内付清。</t>
  </si>
  <si>
    <t>11、毎批砼尾数必须严格计算准确方量后才能通知乙方供应，如连续出现多次尾数少于6m3/车的，从第二车（不含第二车）以后增加的车次运输开始按本合同规定的场外运输费（实际表示空载增加费）单价收取空载费；若不同级别不同部位单车用混凝土不足6m3/车的，不得收取空载费。</t>
  </si>
  <si>
    <t>2017.4.1还款承诺：2017年4月内付清150万元；2017年5月内付清150万元；</t>
  </si>
  <si>
    <t>2016.4.1至2016.5.19</t>
  </si>
  <si>
    <t>2016.5.20至2016.6.19</t>
  </si>
  <si>
    <t>2016.6.20至2016.7.19</t>
  </si>
  <si>
    <t>2016.7.20至2016.8.20</t>
  </si>
  <si>
    <t>2016.8.20至2016.9.20</t>
  </si>
  <si>
    <t>2016.9.20至2016.10.15</t>
  </si>
  <si>
    <t>2016.10.16至2016.11.15</t>
  </si>
  <si>
    <t>2016年12月29日付100万</t>
  </si>
  <si>
    <t>2016.11.16至2016.12.15</t>
  </si>
  <si>
    <t>2017年1月20日付200万</t>
  </si>
  <si>
    <t>2016.12.16至2017.1.15</t>
  </si>
  <si>
    <t>2017.1.16至2017.2.15</t>
  </si>
  <si>
    <t>2017.2.16至2017.3.15</t>
  </si>
  <si>
    <t>2017.3.16至2017.4.15</t>
  </si>
  <si>
    <t>2017年4月26日付100万</t>
  </si>
  <si>
    <t>2017年5月15日付100万</t>
  </si>
  <si>
    <t>2017年7月11日付100万</t>
  </si>
  <si>
    <t>2017年8月11日付100万</t>
  </si>
  <si>
    <t>从2017.5.11变更为长兴合同编号：局三粤物CG2017065</t>
  </si>
  <si>
    <t xml:space="preserve">C10 245 C15 255 C20 265 C25 275 C30 285 C35 300 C40 315 C45 330 C50 350 C55 370 C60 390 </t>
  </si>
  <si>
    <t>长兴合同调差方式：本合同中混凝土含增值税综合单价具体结算是按混凝土供货期间前一个季度前的《广州市建设工程造价管理信息网》对应标号普通混凝土和泵送混凝土的税前价格和2016年四季度公布的《广州市建设工程信息指导价》对应标号普通混凝土和泵送混凝土的税前综合价格进行对比，调整价差。</t>
  </si>
  <si>
    <t>当月所供货物（上月21日至本月20日）验收合格后，所供货物在办理完结算手续后的第三个月内以支票方式或其他非现金方式无息支付当前结算货款的70%,主体封顶后六个月内支付至砼累计结算款的95%，余款在工程竣工验收合格后一年内付清。</t>
  </si>
  <si>
    <t>2017.4.30至2017.5.16</t>
  </si>
  <si>
    <t>2017.5.17至2017.6.15</t>
  </si>
  <si>
    <t>2017.6.1</t>
  </si>
  <si>
    <t>长兴合同编号:局三粤物CG2017064</t>
  </si>
  <si>
    <t>C10 245 C15 255 C20 265 C25 275 C30 285 C35 300 C40 315 C45 330 C50 350 C55 370 C60 390 2017年第一季度信息C30 307; 2017年第二季度信息价C30 309</t>
  </si>
  <si>
    <t>商品砂浆M5按同标号砼计价；早强（实际表水下砼）14元；三天达75%加19元；7天达75%加9元；抗渗P6-P8加4元；P10-P12加9元；细石加14元；纤维加29元；微膨胀/无收缩砼/膨胀6-8%加29元；微膨胀/无收缩砼/膨胀10-12%加29元；空载费30元</t>
  </si>
  <si>
    <t>广商中心项目</t>
  </si>
  <si>
    <t>145600方；42913000元</t>
  </si>
  <si>
    <t>本合同中混凝土含增值税综合单价具体结算是按混凝土供货期间前一个季度前的《广州市建设工程造价管理信息网》对应标号普通混凝土和泵送混凝土的税前价格和2016年四季度公布的《广州市建设工程信息指导价》对应标号普通混凝土和泵送混凝土的税前综合价格进行对比，调整价差。</t>
  </si>
  <si>
    <t>李谟阳13926469946</t>
  </si>
  <si>
    <t>2017.4.9-2017.6.15</t>
  </si>
  <si>
    <t>2017.6.16-2017.7.15</t>
  </si>
  <si>
    <t>2017.7.15-2017.8.16</t>
  </si>
  <si>
    <t>中建三局第三建筑有限公司</t>
  </si>
  <si>
    <t xml:space="preserve">广州亚运城A1地块项目
</t>
  </si>
  <si>
    <t>签定日期：2013年3月1日</t>
  </si>
  <si>
    <t xml:space="preserve"> 合同编号:</t>
  </si>
  <si>
    <t>单价</t>
  </si>
  <si>
    <t>C15：240  C20：250  C25：260  C30：270  C35：280         C40：295  C45：310  C50：330  C50：350  C50：380   2013年7月25日上调10元，2013年10月1日上调25元，10月7日上调20元，10月12日上调20元，C30：345元；2014年3月15日起结算单价在2月份的基础上下调20元/m³</t>
  </si>
  <si>
    <t>特殊混凝土按公司规定加收</t>
  </si>
  <si>
    <t>汕头市建筑工程总公司</t>
  </si>
  <si>
    <t>汕头市建筑工程总公司（泰兴合同）</t>
  </si>
  <si>
    <t>不含税价</t>
  </si>
  <si>
    <t>按公司规定计提成</t>
  </si>
  <si>
    <t>广州市白云区人和保障性住房项目（一、三标）</t>
  </si>
  <si>
    <t>吴贻春</t>
  </si>
  <si>
    <t>魏剑顺、吴松城、吴文坤、吴剑波</t>
  </si>
  <si>
    <t>吴平武</t>
  </si>
  <si>
    <t>试件送检单位</t>
  </si>
  <si>
    <t>广州建设工程质量安全检测中心有限公司（市站）（监督抽验）</t>
  </si>
  <si>
    <t>广州市建筑材料工业研究所有限公司（普通送检）</t>
  </si>
  <si>
    <t>第一月货款于第三个月30日内付清（当月为第一个月），否则，供方有权停止供货并且有权拒付技术资料，并追究需方违约责任。</t>
  </si>
  <si>
    <t>每批次浇捣毁混凝土尾数只能有一车不足5m3，超出一车以上，按每车达不到9m3的差额部份，另收取30元/m3空运费。</t>
  </si>
  <si>
    <t>补充协议</t>
  </si>
  <si>
    <t>单价调整：从2014年4月1日开始结算单价以2013年第四季度《广州地区建设工程常用材料综合价格》泵送混凝土为基准价，当季度《广州地区建设工程常用材料综合价格》比2013年第四季度《广州地区建设工程常用材料综合价格》的单价增加或减少多少元，则当季度的结算单价也相应增加或者减少多少元，如此类推。</t>
  </si>
  <si>
    <t>单价调整：1、2014年第三季度之前结算单价按原合同约定的调差方式进行价格调整。2、2014年10月1日起按下表执行：C15 265 C20 275 C25 285 C30 295 C35 305 C40 320 C45 335 C50 355 C55 375 C60 405</t>
  </si>
  <si>
    <t>投资部份（元）</t>
  </si>
  <si>
    <t>2012年7月1日至2013年2月28日</t>
  </si>
  <si>
    <t>2013年7月28日付190万元（8月10日期票）</t>
  </si>
  <si>
    <t>2013年9月17日付100万元（期票2013年10月10日）</t>
  </si>
  <si>
    <t>2013年10月21日付100万元（期票11月10日）</t>
  </si>
  <si>
    <t>2013年11月19日付100万元（期票12月10日）</t>
  </si>
  <si>
    <t>2013年12月12日付150万元（期票1月15日）</t>
  </si>
  <si>
    <t>2014年1月3日付190万元（期票1月24日）</t>
  </si>
  <si>
    <t>2014年3月25日收到4月10日的120万元期票</t>
  </si>
  <si>
    <t>2014年4月1付100万元（期票为4月2）；付80万元（期票为4月10）</t>
  </si>
  <si>
    <t>2014年4月10付25000元（为4月10日期票延期至5月10日的延期付款费用）</t>
  </si>
  <si>
    <t>2014年5月7日收到100万（期票为5月30日）</t>
  </si>
  <si>
    <t>2014年5月23日收到80万元（期票为6月20日）</t>
  </si>
  <si>
    <t>2014年7月24付130万元；</t>
  </si>
  <si>
    <t>2014年7月24付70万元（期票为8月15）换票8月18</t>
  </si>
  <si>
    <t>2014年8月18付300万元；2014年8月18付70万元（期票为9月）</t>
  </si>
  <si>
    <t>2014年9月16付100万元（期票为10月10）</t>
  </si>
  <si>
    <t>2014年10月20付70万元（期票为11月18）；2014年11月24付70万元</t>
  </si>
  <si>
    <t>2014年12月6付70万元（期票为1月20</t>
  </si>
  <si>
    <r>
      <t>2015年4月22付638117.5元退票</t>
    </r>
    <r>
      <rPr>
        <b/>
        <sz val="12"/>
        <color indexed="10"/>
        <rFont val="宋体"/>
        <charset val="134"/>
      </rPr>
      <t>（换为期票为7月30--2015.8.5又退票)</t>
    </r>
  </si>
  <si>
    <t>2015年5月12付80万（期票6.20）</t>
  </si>
  <si>
    <t>2015年6月2日付40万元（期票6.30）</t>
  </si>
  <si>
    <t>2014年第三季度调差</t>
  </si>
  <si>
    <t>2014年第四季度调差</t>
  </si>
  <si>
    <t>2015年第一季度调差</t>
  </si>
  <si>
    <t>2015年11月2日付30万元</t>
  </si>
  <si>
    <t>2015年第二季度调差</t>
  </si>
  <si>
    <t>2016年10月14日付48442.5元；</t>
  </si>
  <si>
    <t>2015年7月调差</t>
  </si>
  <si>
    <t>2016年10月10日付9.5万（期票11.1号）延期至11.4</t>
  </si>
  <si>
    <t>2016年11月2日付50万（期票2017.7.20-延期到7.28-退票后于2017年8月18日付40万）+151216元（期票2017.1.25）</t>
  </si>
  <si>
    <t>签定日期：2013年3月26日</t>
  </si>
  <si>
    <t xml:space="preserve"> 合同编号:TX13-0321</t>
  </si>
  <si>
    <t>C15：240  C20：250  C25：260  C30：270  C35：280         C40：295  C45：310  C50：330  C50：350  C50：380   2013年7月28日上调10元，2013年10月1日上调30元，10月7日上调20元，10月12日上调25元，C30：355元</t>
  </si>
  <si>
    <t>特殊混凝土按公司规定加价</t>
  </si>
  <si>
    <t>广州市建协建设有限公司</t>
  </si>
  <si>
    <t>人和保障性住房项目一期施工总承包（第二标段）</t>
  </si>
  <si>
    <t>吴</t>
  </si>
  <si>
    <t>郑中镇、陈幼鹏、罗奠怀、许尾</t>
  </si>
  <si>
    <t>徐贤玉</t>
  </si>
  <si>
    <t>付款计划：2016年5月15日付383293元；2016年6月15日付383293元；2016年7月15日付383293元；</t>
  </si>
  <si>
    <t>第一个月货款于第三个月30日内付清（当月为第一个月），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</si>
  <si>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需方每批次浇捣的混凝土尾数只能有一车不足5m3，超出一车以上，需方应按每车100元补偿给供方。</t>
  </si>
  <si>
    <t>如遇市场单一原材料价格浮动超过+3%时，双方再协商一次单价。</t>
  </si>
  <si>
    <t>2012年9月1日至1月31日</t>
  </si>
  <si>
    <t>2013年7月12日付1087527元（8月30日期票）,退票，工地提出退票银行罚款50000元，由搅拌站承担</t>
  </si>
  <si>
    <t>2013年9月16日付1033150.65元，2013年9月19日付1075180元（期票10月30日）</t>
  </si>
  <si>
    <t>2013年10月21日付1278455元（期票11月30日）</t>
  </si>
  <si>
    <t>2013年11月19日付849590万元（期票12月30日）</t>
  </si>
  <si>
    <t>2013年12月份1006355元（期票1月24日）</t>
  </si>
  <si>
    <t>2013年1月3日付1589647.5（期票1月24日）</t>
  </si>
  <si>
    <t>2014年3月25日收到5月20日的1685677期票</t>
  </si>
  <si>
    <t>2014年5月7日收到1874485元（期票为6月30日）</t>
  </si>
  <si>
    <t>2014年5月23日收到353202.5元（期票为7月30日）</t>
  </si>
  <si>
    <t>2015年1月4付256797.5</t>
  </si>
  <si>
    <t>2017年2月10日付159393元</t>
  </si>
  <si>
    <t>2017年5月付85278.27元（法院付）</t>
  </si>
  <si>
    <t>合同编号：TX14-0317</t>
  </si>
  <si>
    <t>供应日期：2014年3月4起至完工</t>
  </si>
  <si>
    <t>C15:295  C20:305  C25:315   C30:325   C35:335   C40：350  C45：365  C50：385  C55：405  C60：435</t>
  </si>
  <si>
    <t>单价不含税</t>
  </si>
  <si>
    <t>人和保障性住房项目一期施工总承包（第二标段）D3.D4.E3.E4栋商业</t>
  </si>
  <si>
    <t>第一个月货款于第三个月30日内付清（当月为第一个月），否则，供方有权停止供货并且有权拒付技术资料，并追究需方违约责任。用支票支付货款，抬头必须填写供方单位名称。此工地不论什么原因导致停供，需方必须在最后一次供应砼之日起15天内将货款全部付清。逾期的按每日万分之五收取违约金。</t>
  </si>
  <si>
    <t>需方每批次浇捣的混凝土尾数只能有一车不足5立方米，超出一车以上，需方应按每车100元补偿给供方。</t>
  </si>
  <si>
    <t xml:space="preserve">按广州市建设工程造价管理站2013年第四季度《广州地区建设工程常用材料综合价格》泵送混凝土为基准价，当季度《广州地区建设工程常用材料综合价格》比2013年第四季度《广州地区建设工程常用材料综合价格》的单价增加或减少则当季度的结算单价也相应增加或减少多少元，如此类推。 </t>
  </si>
  <si>
    <t>广州建设工程质量安全检测中心有限公司（市站）</t>
  </si>
  <si>
    <r>
      <t>当月生产方量(m</t>
    </r>
    <r>
      <rPr>
        <vertAlign val="superscript"/>
        <sz val="11"/>
        <rFont val="宋体"/>
        <charset val="134"/>
      </rPr>
      <t>3</t>
    </r>
    <r>
      <rPr>
        <sz val="11"/>
        <rFont val="宋体"/>
        <charset val="134"/>
      </rPr>
      <t xml:space="preserve">)   </t>
    </r>
  </si>
  <si>
    <t xml:space="preserve">累计生产方量(m3)  </t>
  </si>
  <si>
    <t xml:space="preserve">余存方量(m3)  </t>
  </si>
  <si>
    <t>2014年8月18付220万元（期票为9月5）</t>
  </si>
  <si>
    <t>2014年10月付80万元</t>
  </si>
  <si>
    <t>2014年10月20付90万元（期票为11月18</t>
  </si>
  <si>
    <t>2014年11月24付130万元</t>
  </si>
  <si>
    <t>2015年1月19付80万元</t>
  </si>
  <si>
    <t>2015年7月13日221067.5元（期票8.30）</t>
  </si>
  <si>
    <t>2015年8月9日付40万（期票8.30）-延期到9月</t>
  </si>
  <si>
    <t>2016年5月6日付30万（期票6.28）7.11换票-7.25到期</t>
  </si>
  <si>
    <t>2016年10月14日付1557.5元；</t>
  </si>
  <si>
    <t>2016年12月19日付1525元；12月24日付3050元；12月28日付1525元；12月27号付3050元；29号付1525元；</t>
  </si>
  <si>
    <t>2017年1月22日付30880.5元；2017年元3日付14030元；</t>
  </si>
  <si>
    <t>签定日期：2011年8月</t>
  </si>
  <si>
    <t>合同编号：201108001（长兴合同）</t>
  </si>
  <si>
    <t>广州市番禺区大学城，大学小筑，广工一路15号，大学城岭南印象园北门  曾先生 18903066933</t>
  </si>
  <si>
    <t>C10:240  C15:250  C20:260  C25:270  C30:280  C35:295  C40:310  C45:325  C50:345  C55:365  2011年9月28日上调5元，2012年2月20日下浮5元,2012年8月15日下浮8元,2013年10月12日上调60元，C30：332元</t>
  </si>
  <si>
    <t>P6-P8加5元,P10-P12加10元,微膨胀加35元,细石加15元,普通早强、抗折加20元，1-2细石不掺粉煤灰加35元，路面加5元，泵送砂浆按同等级单价。</t>
  </si>
  <si>
    <t>广东华盛建设有限公司</t>
  </si>
  <si>
    <t>华盛大学城住宅项目</t>
  </si>
  <si>
    <t>20000m3</t>
  </si>
  <si>
    <t>郑学武</t>
  </si>
  <si>
    <t>020-38819549传真:020-38801676</t>
  </si>
  <si>
    <t>钟水萍、文辉案、郑则宗</t>
  </si>
  <si>
    <t>第一个月货款于第三个月20日前支付，付款以此类推。从供货第一个月开始，每月扣留20%货款作为质保金（累计达到100万元整后，每月不再扣留，每月发票按供应量100%开给甲方），该质保金于项目全部混凝土主体结构封顶叁个月内付清（但最迟应当于最后一次供砼之日起3个月内付清）。</t>
  </si>
  <si>
    <t>市场原材料价格浮动超出+5%时,双方再协商</t>
  </si>
  <si>
    <t>如果抽检负差大于2%时则当天混凝土量均按抽检最少量计算（尾数、尾车除外），且过磅费由乙方负责；合同供应期间，当有5批次抽检不足量时，则已供总量按抽检最少量进行结算。</t>
  </si>
  <si>
    <t>尾数只能有二车不足8m3，超出二车以上，甲方按每车达不到8m3的差额部分，按30元/ m3的空运费付给乙方，乙方凭有效发票收取空运费。</t>
  </si>
  <si>
    <t>2013年10月12日单价上调60元/m³，业务员申请5元/m³作为工地协调费用</t>
  </si>
  <si>
    <t>2012年3月18日9#楼封顶，2012年4月1日5#楼封顶，2012年4月10日7#楼封顶，2012年4月26日6#楼封顶，2012年5月6日10#楼封顶</t>
  </si>
  <si>
    <t>2011年11月1日付531912元</t>
  </si>
  <si>
    <t>2011年11月25日付644516（期票11月28日）</t>
  </si>
  <si>
    <t>2011年12月22日付733800元（期票2011年12月31日）</t>
  </si>
  <si>
    <t>2012年2月16日付548168元</t>
  </si>
  <si>
    <t>2012年3月1日付630660元</t>
  </si>
  <si>
    <t>2012年3月30日付268192元（期票4月1日）</t>
  </si>
  <si>
    <t>2012年5月4日付253556元</t>
  </si>
  <si>
    <t>2012年5月31付550086元；</t>
  </si>
  <si>
    <t>2012年8月15付390175元</t>
  </si>
  <si>
    <t>2012年8月24日付65320元</t>
  </si>
  <si>
    <t>2012年9月28日付44252.5元</t>
  </si>
  <si>
    <t>2012年11月1日付56984元</t>
  </si>
  <si>
    <t>2012年12月5日付27768元，12月20日付19250元</t>
  </si>
  <si>
    <t>2013年1月18日付30396元</t>
  </si>
  <si>
    <t>2013年4月19日付726451元</t>
  </si>
  <si>
    <t>2013年6月14日付2506487元</t>
  </si>
  <si>
    <t>2013年7月22日付672373元</t>
  </si>
  <si>
    <t>2013年8月21日付40万，付273835元</t>
  </si>
  <si>
    <t>2013年9月22日付315459元</t>
  </si>
  <si>
    <t>2013年10月11日付543711元</t>
  </si>
  <si>
    <t>2013年11月25日付750762元</t>
  </si>
  <si>
    <t>2013年12月3日付540870.50元，付63978元（二沙岛）</t>
  </si>
  <si>
    <t>2013年12月19日付486239元</t>
  </si>
  <si>
    <t>2014年1月13日付13084元(二沙岛)，付703954元</t>
  </si>
  <si>
    <t>2014年4月11付457026元</t>
  </si>
  <si>
    <t>2014年6月12付2225.5（二沙岛）320087（华盛大学城）</t>
  </si>
  <si>
    <t>2014年8月20付1000000（期票为9月1</t>
  </si>
  <si>
    <t>2015年2月12付512251.5+6530(二沙岛)</t>
  </si>
  <si>
    <t>2015年9月13日付128437元</t>
  </si>
  <si>
    <t>2016年02月3日付98125.5元；</t>
  </si>
  <si>
    <t>2016年10月27日付9048元</t>
  </si>
  <si>
    <t>2017年5月18日付15827.5元；+76835.0元；+6469.5元</t>
  </si>
  <si>
    <t>签定日期：2012年2月1日</t>
  </si>
  <si>
    <t>合同编号：CX11-0802（长兴合同）</t>
  </si>
  <si>
    <r>
      <t>C15：228   C20：238  C25：248   C30：258   C35：268  C40：283   C45：298  C50：298   C55：318   C60：338，2012年10月15日上调8元，C30：266元，M20地面砂浆：290元，2013年9月15日上调5元，C30：295元,</t>
    </r>
    <r>
      <rPr>
        <sz val="10"/>
        <color indexed="10"/>
        <rFont val="宋体"/>
        <charset val="134"/>
      </rPr>
      <t>(2013年10月15日调整316元，待确定）</t>
    </r>
  </si>
  <si>
    <t>P6-P8加5元,P10-P12加10元,瓜米石加15元，路面、地面加10元，膨胀剂加45元,早强单价按公司规定加收</t>
  </si>
  <si>
    <t>广东建邦兴业集团有限公司</t>
  </si>
  <si>
    <t>广州市荔湾区滘口五眼桥复建房主体土建工程</t>
  </si>
  <si>
    <t>李</t>
  </si>
  <si>
    <t>陈潮辉、黄细昌</t>
  </si>
  <si>
    <t>黄楚生</t>
  </si>
  <si>
    <t>供料当月（当月为第一个月）货款于第三个月月底付清，以此类推，否则，供方有权停止供货，并追究需方违约责任。此工地不论什么原因导致停供，需方必须在最后一次供应砼之日起30天内将余款全部付清，逾期按每日千分之一收取违约金。</t>
  </si>
  <si>
    <t>需方每批次浇捣的混凝土尾数只能有二车不足9m3（水下桩部分除外），超出二车以上，按每车达不到9m3的差额部分，另向需方收取30元/m3空运费。</t>
  </si>
  <si>
    <t>2012年5月21日付62826元</t>
  </si>
  <si>
    <t>2012年6月21日付290837元</t>
  </si>
  <si>
    <t>2012年7月19日付379108.5元</t>
  </si>
  <si>
    <t>2012年8月14日付353689.50元（期票8月21日）</t>
  </si>
  <si>
    <t>2012年10月13日付346073元</t>
  </si>
  <si>
    <t>2012年12月5日付118190元，12月12日付161297元</t>
  </si>
  <si>
    <t>2012年1月15日付239490.5元（期票1月18日）</t>
  </si>
  <si>
    <t>2013年4月26日付532831.50元（期票5月5日）</t>
  </si>
  <si>
    <t>2013年6月4日付50万</t>
  </si>
  <si>
    <t>2013年6月14日付363500元(期票6月30日）</t>
  </si>
  <si>
    <t>2013年7月20日付488624.50元</t>
  </si>
  <si>
    <t>2013年8月15日付523480元</t>
  </si>
  <si>
    <t>2013年10月1日付478494元</t>
  </si>
  <si>
    <t>2013年12月12日付417490元（期票1月3日）</t>
  </si>
  <si>
    <t>2014年5月29日收到699298元（期票为6月17日）</t>
  </si>
  <si>
    <t>2015年12月8日付142097.5元；</t>
  </si>
  <si>
    <t>2016年2月4日付20万</t>
  </si>
  <si>
    <t>协议：本着互惠互利的原则，减免2013年3月9日供应混凝土C35P8,50方；14050元货款。财务平账。</t>
  </si>
  <si>
    <t>签定日期：2012年10月15日</t>
  </si>
  <si>
    <t>合同编号：CX12-1011</t>
  </si>
  <si>
    <t>C15：235   C20：245  C25：255   C30：265   C35：275  C40：290  C45：305   C50：325  C50：345   C50：375，2013年10月1日上调30元，10月7日上调15元，10月12日上调10元，C30：320元</t>
  </si>
  <si>
    <t>P6-P8加5元,P10-P12加10元,细石加15元，路面、地面加10元，30层以上加10元，掺膨胀剂单价按公司规定</t>
  </si>
  <si>
    <t>广州市富林建筑工程有限公司</t>
  </si>
  <si>
    <t>不含税价，混凝土发票加7%</t>
  </si>
  <si>
    <t>按公司规定，业务费5元</t>
  </si>
  <si>
    <t>广州市荔湾区外语职业高级中学综合楼</t>
  </si>
  <si>
    <t>8000立方</t>
  </si>
  <si>
    <t>林楷铧440508198301080734</t>
  </si>
  <si>
    <t>林</t>
  </si>
  <si>
    <t>吴黄坤</t>
  </si>
  <si>
    <t>吴成裕</t>
  </si>
  <si>
    <t>当月货款于次月25天内付清，否则，供方有权停止供货并且有权拒付技术资料，并追究需方违约责任</t>
  </si>
  <si>
    <t>每批次浇捣的混凝土尾数只能有二车不足9m3，超出二车以上，按每车达不到9m3的差额部分，另向需方收取30元/m3空运费。</t>
  </si>
  <si>
    <t>荔湾区建设工程质量监督检测室</t>
  </si>
  <si>
    <t>新增加项目</t>
  </si>
  <si>
    <t>施工单位：广州市花都第一建筑工程有限公司，工程名称：白云派出所迁建项目</t>
  </si>
  <si>
    <t>2012年2月1日至3月13日</t>
  </si>
  <si>
    <t>2012年9月至10月</t>
  </si>
  <si>
    <t>2013年2月1日付20万元</t>
  </si>
  <si>
    <t>2013年7月12日付10万元。</t>
  </si>
  <si>
    <t>2013年11月7日付20万元（期票11月28日）</t>
  </si>
  <si>
    <t>2013年12月10日付304592元（期票1月10日），付50万元（期票12月20日）</t>
  </si>
  <si>
    <r>
      <t>2014年6月25收30万元（期票7月15）</t>
    </r>
    <r>
      <rPr>
        <b/>
        <sz val="10"/>
        <color indexed="10"/>
        <rFont val="宋体"/>
        <charset val="134"/>
      </rPr>
      <t>作废</t>
    </r>
  </si>
  <si>
    <t>2014年7月15付714323元（期票为8月26</t>
  </si>
  <si>
    <t>2014年8月22付323960（期票9月1）+414323（期票9月26）</t>
  </si>
  <si>
    <t>2014年9月30付162395元（白云山派出所）</t>
  </si>
  <si>
    <t>2015-5月18付121715元（其中24805.5元是高级中学）</t>
  </si>
  <si>
    <t>签定日期：2012年3月16日</t>
  </si>
  <si>
    <t>合同编号：CX12-0316</t>
  </si>
  <si>
    <t>C15：230   C20：240  C25：250   C30：260   C35：270  C40：285   C45：300  C50：320   C55：340   C60：3702013年10月1日上调30元，10月7日上调15元，10月12日上调10元，C30：320元</t>
  </si>
  <si>
    <r>
      <t>不含税价，混凝土发票加7</t>
    </r>
    <r>
      <rPr>
        <sz val="12"/>
        <rFont val="宋体"/>
        <charset val="134"/>
      </rPr>
      <t>%</t>
    </r>
  </si>
  <si>
    <t>竹料第三中学办公楼及综合楼维修加固工程</t>
  </si>
  <si>
    <t>8000m3</t>
  </si>
  <si>
    <t>13822115338</t>
  </si>
  <si>
    <t>吴统德、朱振德、游昌秀</t>
  </si>
  <si>
    <t>麦培涛、吴成裕、游昌秀</t>
  </si>
  <si>
    <t>江高镇中心小学综合楼、江高镇第三初级中学、竹料第三中学办公楼、竹料第五小学教学楼、张村中心小学1号教学楼、白山小学教学楼</t>
  </si>
  <si>
    <t>当月货款次月25天内付清，否则，供方有权停止供货并且有权拒付技术资料，并追究需方违约责任。用支票支付货款，抬头必须填写供方单位名称。此工地不论什么原因（非混凝土本身质量问题）导致停供，需方必须在最后一次供砼之日起15天内将余款全部付清。逾期的按每日万分之五收取违约金。</t>
  </si>
  <si>
    <t>混凝土尾数只能有二车不足9m3，超出二车以上，按每车达不到9m3的差额部分，另向需方收取30元/m3空运费。</t>
  </si>
  <si>
    <t>2012年6月21日付98035元</t>
  </si>
  <si>
    <t>2012年7月18日付20万元</t>
  </si>
  <si>
    <t>2012年8月7日付92810元，8月22日付50000元</t>
  </si>
  <si>
    <t>2012年9月19日付10万</t>
  </si>
  <si>
    <t>2012年10月10日付10万</t>
  </si>
  <si>
    <t>2012年11月13日付10万元</t>
  </si>
  <si>
    <t>2013年1月18日付169670元</t>
  </si>
  <si>
    <t>2015-5月18付121715元（其中96909.5元；财务余款为660元）</t>
  </si>
  <si>
    <t>签定日期</t>
  </si>
  <si>
    <t>合同编号：CT13-0118</t>
  </si>
  <si>
    <t>C15：235  20：245  C25：255  C30：265  C35：275  C40：290  C45：305  C50：325  C55：345  C60：375</t>
  </si>
  <si>
    <r>
      <t>不含税价，混凝土发票加</t>
    </r>
    <r>
      <rPr>
        <sz val="12"/>
        <rFont val="宋体"/>
        <charset val="134"/>
      </rPr>
      <t>6%</t>
    </r>
  </si>
  <si>
    <t>吉山橄榄公园升级改造工程</t>
  </si>
  <si>
    <t>林楷铧</t>
  </si>
  <si>
    <t>刘明光</t>
  </si>
  <si>
    <t>2014年9月30付112052.5元</t>
  </si>
  <si>
    <t>签定日期：2013年1月8日</t>
  </si>
  <si>
    <t>合同编号：CX12-1121（泰兴合同）</t>
  </si>
  <si>
    <t xml:space="preserve">C15：235   C20：245  C25：255   C30：265    C35：275   C40：290  C45：305   C50：325，2013年5月1日下调5元，2013年8月1日上调10元，2013年9月15日上调5元，从2013年10月1日起上升50元，C30：325元   从2014年5月15日上调5元/m³                                                                            </t>
  </si>
  <si>
    <t>P6-P8加5元，P10-P12加10元，水下桩加15元，细石加10元，</t>
  </si>
  <si>
    <t>瑞华建设集团有限公司</t>
  </si>
  <si>
    <r>
      <t>按公司合同规定计提成，</t>
    </r>
    <r>
      <rPr>
        <sz val="10"/>
        <color indexed="10"/>
        <rFont val="宋体"/>
        <charset val="134"/>
      </rPr>
      <t>与武警指挥学院两个项目相加回扣10万元（工地已在货款中扣除）</t>
    </r>
  </si>
  <si>
    <t>武警广州指挥学院经济适用房B、C栋</t>
  </si>
  <si>
    <t>40000m3</t>
  </si>
  <si>
    <t>丁承勇</t>
  </si>
  <si>
    <t>林江豪</t>
  </si>
  <si>
    <t>丁承勇、林江豪</t>
  </si>
  <si>
    <t>当月货款次月30日内付清，否则，供方有权停止供货并且有权拒付技术资料，并追究需方违约责任。用支票支付货款的，抬头必须填写供方单位名称。此工地不论什么原因导致停供，需方必须在最后一次供应砼之日起30天内将余款全部付清。逾期的按每日万分之五收取违约金。</t>
  </si>
  <si>
    <t>混凝土尾数只能有二车不足9m3（水下桩混凝土除外），超出二车以上，按每车达不到9m3的差额部分，另向需方收取30元/m3空运费。</t>
  </si>
  <si>
    <t>2012年1月15日付4590元</t>
  </si>
  <si>
    <t>2012年2月7日付303485元</t>
  </si>
  <si>
    <t>2013年5月5日付472990（期票5月30日）</t>
  </si>
  <si>
    <t>2013年6月付244615元（7月1日）</t>
  </si>
  <si>
    <t>2013年7月24日付694260元（8月期票）</t>
  </si>
  <si>
    <t>2013年8月9日付607725元（期票9月15日）</t>
  </si>
  <si>
    <t>2013年10月11日付466117.50元（期票11月15日）</t>
  </si>
  <si>
    <t>2013年12月3日付85862.50元（期票12月31日），付262450元（期票12月31日），付313880</t>
  </si>
  <si>
    <t>2014年1月25日付37845元</t>
  </si>
  <si>
    <t>2014年5月16日付53265元</t>
  </si>
  <si>
    <t>2014年7月25付221717.5</t>
  </si>
  <si>
    <t>2014年8月6付609425（期票9月3）+100万元（期票9月30）</t>
  </si>
  <si>
    <t>2014年11月3付470090（期票为12月2）</t>
  </si>
  <si>
    <t>2014年11月13付541422.5（期票为12月26</t>
  </si>
  <si>
    <t>2015年1月9付337050</t>
  </si>
  <si>
    <t>2015年2月14付418267(期票2015.3.15)</t>
  </si>
  <si>
    <t>2015年5月7付400105元</t>
  </si>
  <si>
    <t>2015年6月19付354985元</t>
  </si>
  <si>
    <r>
      <t>2015年8月5日付189187元（期票8.31）--</t>
    </r>
    <r>
      <rPr>
        <b/>
        <sz val="10"/>
        <color indexed="10"/>
        <rFont val="宋体"/>
        <charset val="134"/>
      </rPr>
      <t>延期</t>
    </r>
  </si>
  <si>
    <t>2015年9月10付1440元（期票10.30）</t>
  </si>
  <si>
    <t>2016年02月3日付319055元；（期票8.30）；+81465元；</t>
  </si>
  <si>
    <t>2017年1月9日做平账报告。</t>
  </si>
  <si>
    <t>合同编号：CX13-1213（长兴合同）</t>
  </si>
  <si>
    <t>临供 C30：248，2013年10月1日上调30元，2013年10月7日上调20元，C30：298</t>
  </si>
  <si>
    <t>合同价 C15：270 C20：280 C25：290 C30：300 C35：315 C40：330 C45：345 C50：365  C55：385 C60：415    砂浆：405</t>
  </si>
  <si>
    <t>广州市市政集团有限公司B3723E02号地块项目部</t>
  </si>
  <si>
    <t>金沙洲B3723E02号地块项目</t>
  </si>
  <si>
    <t>25000m3</t>
  </si>
  <si>
    <t>肖良忠 陈业涛</t>
  </si>
  <si>
    <t>当月货款次月25日内付清，否则，供方有权停止供货并且拒付技术资料，并追究需方违约责任。用支票支付货款的，抬头必须填写单位名称。</t>
  </si>
  <si>
    <t>需方每批次浇捣的混凝土尾数只能有一车不足9m3，超出一车以上，按每车达不到9m3的差额部份，另向需方收取30元/m3空运费。</t>
  </si>
  <si>
    <t>监理单位</t>
  </si>
  <si>
    <t>广州市建设工程质量安全检测中心（穗监）</t>
  </si>
  <si>
    <t>2012年1月22日付18565元</t>
  </si>
  <si>
    <t>2014年1月23日付177584元</t>
  </si>
  <si>
    <t>2014年1月26日付1750元（由业务员支付）保利东漖M地块一起支付</t>
  </si>
  <si>
    <t>5月5日付91530元</t>
  </si>
  <si>
    <t>2014年6月6 付94160</t>
  </si>
  <si>
    <t>2014年7月4付926225</t>
  </si>
  <si>
    <t>2014年8月14付1834141</t>
  </si>
  <si>
    <t>2014年9月4 付2826262；2014年9月26付681275</t>
  </si>
  <si>
    <t>2014年11月11付586040</t>
  </si>
  <si>
    <t>2014年12月12付150万元</t>
  </si>
  <si>
    <t>2015年1月18付40万元</t>
  </si>
  <si>
    <t>2015年2月12付512512.5</t>
  </si>
  <si>
    <t>2015年5月29付50万</t>
  </si>
  <si>
    <t>2015年6月24付15万</t>
  </si>
  <si>
    <t>2015年7月29日付25万</t>
  </si>
  <si>
    <t>2015年8月19日付35万</t>
  </si>
  <si>
    <t>2015年11月19日付10万元</t>
  </si>
  <si>
    <t>2016年2月4日付10万</t>
  </si>
  <si>
    <t>2016年6月8日付3万</t>
  </si>
  <si>
    <t>2017年6月17日付68053.4元（业务扣提成）</t>
  </si>
  <si>
    <t>签定日期：2013年9月17日</t>
  </si>
  <si>
    <t>合同编号：CT13-0912（长泰合同）</t>
  </si>
  <si>
    <t>邮箱15918634108@163.com</t>
  </si>
  <si>
    <t>C15:223   C20:233   C25:243   C30:253   C35:263   C40:278   C45:298   C50:323  2014年4月份起结算单价C30：310</t>
  </si>
  <si>
    <t>水下桩加10元，其它按公司规定。</t>
  </si>
  <si>
    <t>汕头市建安（集团）公司</t>
  </si>
  <si>
    <t>-</t>
  </si>
  <si>
    <t>提成1元/m3</t>
  </si>
  <si>
    <t>数字家庭研发中心一期研发大厦</t>
  </si>
  <si>
    <r>
      <t>1</t>
    </r>
    <r>
      <rPr>
        <sz val="12"/>
        <rFont val="宋体"/>
        <charset val="134"/>
      </rPr>
      <t>5000</t>
    </r>
    <r>
      <rPr>
        <sz val="12"/>
        <rFont val="宋体"/>
        <charset val="134"/>
      </rPr>
      <t>m3</t>
    </r>
  </si>
  <si>
    <t>黄</t>
  </si>
  <si>
    <t>黄乌众、江耀波、吴坤和</t>
  </si>
  <si>
    <t>黄字明、余振雄、吴坚辉</t>
  </si>
  <si>
    <t>当月货款于次月20日内付80%，余款20%并入次月货款，以此类推，否则，供方有权停止供货并且有权拒付技术资料，并追究需方违约责任。此工地不论什么原因导致停供，需方必须在最后一次供应砼之次月起一个月内将余款全部付清。逾期的按每日万分之五收取违约金。</t>
  </si>
  <si>
    <t>需方可在一个月内用过磅方式随机抽验五车供方所供砼量是否足量。如果抽验结果每车都是存在负差，则按照供方根据国家标准《预拌混凝土》设计容重抽验结果五车平均值误差在1%内，双方互不追究，如果是负差且大于1%时则当月所有混凝土量均按抽验结果五车平均值计算（不足车除外）。如果抽验结果偏差有正有负，则按照顾供方根据国家标准《预拌混凝土》设计容重抽验结果五车平均值班误差在1.5%内，双方互不追究，如果是负差且大于1.5%时则当月所有混凝土量均按抽验结果五车平均值计算（不足车除外）。</t>
  </si>
  <si>
    <t>补充协议  （2014年4月8）</t>
  </si>
  <si>
    <t>从2014年4月份起结算单价C30：310； 2014年4月份单价调整方式变更为：从2014年4月份起每月根据广州市建设工程造价管理信息网《广州地区建设工程材料价格信息》（广州市主要材料市场价格）公布的混凝土原材料水泥、砂、石的价格，涨福在±5元/m³吨以内的，则单价不进行调整，涨幅超过±5元/m³吨的，则调整超过部分。调整数量以对应各等级混凝土配合比设计为依据，进行相应的单价调整。增减或调减的货款应于下月账单结算。（涨跌调价基准以2014年4月份广州市建设工程造价管理信息网公布的原材料价格为基础）</t>
  </si>
  <si>
    <t>番禺区检测站</t>
  </si>
  <si>
    <t>结算单价以2013年第二季度《广州地区建设工程常用材料综合价格》泵送混凝土为基准价，当季度《广州地区建设工程常用材料综合价格》与2013年第二季度《广州地区建设工程常用材料综合价格》的单价进行对比，价差在正负5元以内的不作调整，价差大于正负5元的，则调整超出5元部份的价差。调增或调差货款记入当货款或扣除。</t>
  </si>
  <si>
    <t>2013年12月3日付40万元</t>
  </si>
  <si>
    <t>2013年第三季度价差</t>
  </si>
  <si>
    <t>2014年1月27日付15万元</t>
  </si>
  <si>
    <t>2013年第四季度价差</t>
  </si>
  <si>
    <t>2014年4月15付235275元</t>
  </si>
  <si>
    <t>2014年第一季度调差</t>
  </si>
  <si>
    <t>2014年5月28日付80万元</t>
  </si>
  <si>
    <t>6月调差款</t>
  </si>
  <si>
    <t>2014年7月2付50万元；7月28 付50万元</t>
  </si>
  <si>
    <t>7月调差款</t>
  </si>
  <si>
    <t>2014年8月28付45万元</t>
  </si>
  <si>
    <t>8月调差款</t>
  </si>
  <si>
    <t>2014年9月29 付60万元</t>
  </si>
  <si>
    <t>9月调差款</t>
  </si>
  <si>
    <t>2014年10月23付55万元</t>
  </si>
  <si>
    <t>10月调差款</t>
  </si>
  <si>
    <t>2014年11月19付60万元</t>
  </si>
  <si>
    <t>11月调差款</t>
  </si>
  <si>
    <t>2014年12月20付20万元</t>
  </si>
  <si>
    <t>12月调差款</t>
  </si>
  <si>
    <t>2015年1月18付10万元</t>
  </si>
  <si>
    <t>2015年2月13付10万元</t>
  </si>
  <si>
    <t>2015年6月14付8万</t>
  </si>
  <si>
    <t>2015年9月18付5万元</t>
  </si>
  <si>
    <t>2016年02月2日付12万</t>
  </si>
  <si>
    <t>2016年8月8日付8万元</t>
  </si>
  <si>
    <t>签定日期：2013年10月10日</t>
  </si>
  <si>
    <t>合同编号：CX13-0905（长兴合同）</t>
  </si>
  <si>
    <t>2016年6月12日付</t>
  </si>
  <si>
    <t>C15:245   C20:255   C25:265   C30:275   C35:290   C40:305   C45:320   C50:340   C55:360   C60:390从2015年4月1日起执行以下单价：C30 325 砂浆：400 从2015年5月1日起C30 305元；砂浆400元；从2016年7月15日上调15元；C30 320；砂浆400元；</t>
  </si>
  <si>
    <t>特殊混凝土价格按公司规定，6%加30元/m3，掺8%加35元，掺10%-12%加42元。</t>
  </si>
  <si>
    <t>广州迪宏建筑劳务有限公司</t>
  </si>
  <si>
    <t>含税单价加7%</t>
  </si>
  <si>
    <t>按公司规定；业务信息费5元/立方</t>
  </si>
  <si>
    <t>珠岛花园七期第一标段</t>
  </si>
  <si>
    <t>黄泽宏</t>
  </si>
  <si>
    <t>柳义和、林贵通</t>
  </si>
  <si>
    <t>柳义和、林？光</t>
  </si>
  <si>
    <t>1、供砼前需方应开具500万元期票给供方作为信用保证金。
2、自供砼之日起累计供砼货款达到500万元或+0.00部位完成，即按当月货款次月20日内付清，该500万元货款或+0.00以下货款在主体结构封顶之日起90天内付清，否则，如需方未按上述任一约定付款的，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</si>
  <si>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该项目自供砼之日起360天内未达到500万（或未完成+0.00部位）时，需方360天之后的货款按照当月货款次月20日内付清，360天之前的货款于工程主体封顶之日起90天内付清。</t>
  </si>
  <si>
    <t>需方每批次浇捣的混凝土尾数只能有一车不足9m3，超出一车以上，按每车达不到9m3的差额部分，另向需方收取30元/m3空运费</t>
  </si>
  <si>
    <t>需方应保质保量保证混凝土的供应，保证所供混凝土符合国家标准范要求，并确保标准养护试块合格。如出现试块不合格的，供方应协助需方处理相关事宜，确保整个工程的顺利完工。</t>
  </si>
  <si>
    <t>结算单价以2013年第二季度《广州地区建设工程常用材料综合价格》泵送混凝土为基准价，当季度《广州地区建设工程常用材料综合价格》比2013年第二季度《广州地区建设工程常用材料综合价格》的单价增加或者减少多少元，则当季度的结算单价也相应增加或者减少多少元，如此类推。</t>
  </si>
  <si>
    <t>调差：2014年第4季度、2015年第一季度的结算单价按2014年第三季度的调后单价结算，则2014年第4季度、2015年第一季度单价与2014年第三季度的实际结算单价一致。</t>
  </si>
  <si>
    <t>承诺函</t>
  </si>
  <si>
    <t>2016年6月12日承诺我司补偿30万元作为贵司的补偿费用。</t>
  </si>
  <si>
    <t>结算单价以2013年第二季度《广州地区建设工程常用材料综合价格》泵送混凝土为基准价，当季度《广州地区建设工程常用材料综合价格》比2013年第二季度的单价增加或减少多少元，则相应的也增加或减少多少元。</t>
  </si>
  <si>
    <t>2017年5月10日：2017年5月付20万元；2017年6月付50万元；2017年7月付30万元；2017年9月付1230065.5元；</t>
  </si>
  <si>
    <t>2013年12月12日付665832元</t>
  </si>
  <si>
    <t>2014年第二季度调差</t>
  </si>
  <si>
    <t>2015年2月5付160万元</t>
  </si>
  <si>
    <t>2015年4月24付50万元</t>
  </si>
  <si>
    <t>2015年6月10日付100万元</t>
  </si>
  <si>
    <t>2015年9月30付100万</t>
  </si>
  <si>
    <t>2014年10月至2015年6月30</t>
  </si>
  <si>
    <t>2015年10月30付100万</t>
  </si>
  <si>
    <t>2015年10月12付80万（期票11.15）</t>
  </si>
  <si>
    <t>2015年12月19日付839610元（期票2016.1.20）；495020（期票2016.1.20）</t>
  </si>
  <si>
    <t>2016年01月16日付80万</t>
  </si>
  <si>
    <t>2016年1月18日付763255元；(期票3月25日-退票）+836256元(期票3月25日-退票）；1月25日付100万（期票3.10-延期3.19-退票）</t>
  </si>
  <si>
    <t>2016年2月4日付259511元</t>
  </si>
  <si>
    <t>2016年5月31日付130万元</t>
  </si>
  <si>
    <t>工地补偿费用</t>
  </si>
  <si>
    <t>2016年7月22日付60万</t>
  </si>
  <si>
    <t>2016年8月11日付699511元+8月25日付（违约补偿）30万</t>
  </si>
  <si>
    <t>2016年10月14日付114597万</t>
  </si>
  <si>
    <t>2016年11月18日付15万</t>
  </si>
  <si>
    <t>2016年12月9日付20万</t>
  </si>
  <si>
    <t>2017年1月23日付50万</t>
  </si>
  <si>
    <t>2017年4月24日付10万</t>
  </si>
  <si>
    <t>2017年5月11日付20万</t>
  </si>
  <si>
    <t>2017年7月8日付50万</t>
  </si>
  <si>
    <t>合同编号：S201443（泰兴合同）</t>
  </si>
  <si>
    <t>供应日期：2014年3月8日至主体结构完工</t>
  </si>
  <si>
    <t>C10:277  C15:287  C20：297   C25：307  C30:317  C35:327  C40:342  C45:362   C50：382  C55：402  C60:422   从2015年3月1日起上调20元/方。C30 337</t>
  </si>
  <si>
    <t>P6-P8加5元/m3；P10-P12加10元/m3；水下桩加收10元/ m3；细石加10元;塌落度超过180mm（不含水下桩）加5元材料费用；普通早强（7天）加10元；普通膨胀剂（C30及以下，摻量8%及以下）加35元；润泵砂浆450元</t>
  </si>
  <si>
    <t>天祥建设集团有限公司</t>
  </si>
  <si>
    <t>QQ：133643818</t>
  </si>
  <si>
    <t>按公司提成；业务信息费2元/方</t>
  </si>
  <si>
    <t>广州广播设备厂改造项目（百信广场五期）</t>
  </si>
  <si>
    <t>王卫东</t>
  </si>
  <si>
    <t>倪旭阳、楼新良、新增张灵芳</t>
  </si>
  <si>
    <t>1.供方垫资至±0.00板（含±0.00板），供至±0.00板后2个月内支付±0.00板（含±0.00板）以下货款的百分之八十，（最迟于2014年9月30日前支付此货款的百分之八十，不可抗力因素除外。）2.至±0.00板后发生的当月（第一个月）货款，在第三个月底前支付百分之八十，次月（第二个月）的货款在第四个月底前支付百分之八十，以此类推。3.所有余款在工程竣工验收后六个月内全部付清。否则，按上述三项任故意付款方式逾期付款的，按每天万分之五收逾期付款违约金。需方若以支票方式付款时。支票抬头必须写明：“广州市泰兴混凝土有限公司”否则，造成的经济损失由需方自行负责。此工地因需方原因导致停供，需方必须在最后一次供应砼之日起一个月内将余款全部付清。</t>
  </si>
  <si>
    <t>需方在每次捣混凝土时报尾数只允许二次，如因需方报尾数不准确而发生第三车以上的尾数，需方应按100/车的运费补偿给供方。</t>
  </si>
  <si>
    <t>付款计划书</t>
  </si>
  <si>
    <t>2017年4月13日付款计划书：2017年8月31日付200万元；2017年9月30日前，付200万元；2017年10月31日付2193249.9元</t>
  </si>
  <si>
    <t>百信谈妥付款方式：4月底300万，8月底400万，尾款12月底付清，十号前出具正式还款计划。可正常供应。</t>
  </si>
  <si>
    <t xml:space="preserve">当月生产方量(m3)   </t>
  </si>
  <si>
    <t>2014年9月10付200万元（期票为9月25）；2014年9月30付200万元</t>
  </si>
  <si>
    <t>2014年10月20付30万元</t>
  </si>
  <si>
    <t>2014年11月8付300万元（期票为11月14）+150万元（期票为11月14）</t>
  </si>
  <si>
    <t>2014年11月28付100万元（期票为12月1</t>
  </si>
  <si>
    <t>2014年1月4付400万元（换12月28的票）；2015年1月13付213024元；2015年1月15付158万元</t>
  </si>
  <si>
    <t>2015年2月14付40万元</t>
  </si>
  <si>
    <t>2015年4月5付20万元+4月29日付30万</t>
  </si>
  <si>
    <t>2015年5月16付100万元（期票5.22）+5月26日付224万（新洲171258+白云3068742）</t>
  </si>
  <si>
    <t>2015年6月5付415000元</t>
  </si>
  <si>
    <t>3月调差</t>
  </si>
  <si>
    <t>4月调差</t>
  </si>
  <si>
    <t>5月调差</t>
  </si>
  <si>
    <t>2015年7月3日付款78万（期票7.31）</t>
  </si>
  <si>
    <t>2015年10月3日付100万</t>
  </si>
  <si>
    <t>2015年11月25日付100万（期票12.11）</t>
  </si>
  <si>
    <t>2016年7月26日付145万</t>
  </si>
  <si>
    <t>2017年1月23日付2034969元</t>
  </si>
  <si>
    <t>5月15号起诉</t>
  </si>
  <si>
    <r>
      <t>2</t>
    </r>
    <r>
      <rPr>
        <sz val="12"/>
        <rFont val="宋体"/>
        <charset val="134"/>
      </rPr>
      <t>014年7月25</t>
    </r>
  </si>
  <si>
    <t>长泰合同编号：CT14-0725</t>
  </si>
  <si>
    <t>临供价：C15：281 C20：291 C25：301 C30:311 C35：326 C40：341  C45：361 C50：386 C55：416 C60：451  合同价：C15：274 C20：285 C25：296 C30:311 C35：326 C40：341  C45：356 C50：370 C55：393 C60：411  高标号C100:950F元/M3;C80高抛混凝土691元/m3，C65:551元/方；C70:581/方；C75:611元/方；C85:681元/方。</t>
  </si>
  <si>
    <t>补充协议二：从2015年1月1日起至本工程完工止（2015.4.1至2015.4.30除外），C15 270 C20 280 C25 290 C30 300 C35 315 C40 335 C45 360 C50 360 C55 380 C60 400 C65 480 C70 510 C75 540 C80 590 C85 630 C80高抛 640 2.2015.4.1至4.30日，C15 290 C20 300 C25 310 30 320 C35 335 C40 350 C45 365 C50 380 C55 400 C60 420 C65 500 C70 530 C75 560 C80 610 C85 650 C80 高抛 660；补充协议（三）2015年06月1日起 C30 290 ；2015年7月1日起 C30 280 从2015年12月1日起下调10元/m3；C30 270元；从2016年1月1日起下调5元/m3；C30 265元 从2016年7月15起上调10元 C30 275 从2016年12月12日上调25元；C30 300 从2016年12月15日上调25元；C30 325；从2017年3.1下调20元；C30 305; 从2017.3.10起下调10元；C30 295</t>
  </si>
  <si>
    <t>P6-P8加5元；P10-P12加10元；水下桩或塌落度超过180mm加15；细石加15元；路面砼（包括耐磨层、球场、地坪、地面、道路、跑道、找平层或找坡层（除天面、屋面）在原单价上另加收15元；路面混凝土抗折达到4.0加20元；达到4.5加35元；摻膨胀剂：摻6%加35元；摻8%加40元；摻10%加45元；摻12%加50元；摻膨胀剂纤维：摻6%加45元；摻8%加50元；摻10%加55元；摻12%加60元；摻纤维：每立方摻0.9kg加45元；30层以上或100米以上泵送混凝土加18元；</t>
  </si>
  <si>
    <t>还款承诺：2015.6.30付款250万；2015.7.3付2262147.5万；</t>
  </si>
  <si>
    <t>开发票 加5%</t>
  </si>
  <si>
    <t>按公司提成算；业务信息费2元</t>
  </si>
  <si>
    <t>签约代表（担保人）</t>
  </si>
  <si>
    <t>段茂双、高梅丽</t>
  </si>
  <si>
    <t>（当月为第一个月）第一个月货款于第三个月25日前付80%，余款20%于工程主体结构封顶6个月内平均付清，（如201 5年 6  月   30日主体结构未封顶的，视为已封顶），否则，供方有权停止供</t>
  </si>
  <si>
    <t>需方每批次浇捣的砼尾数只能一车不足8m³，超处一车以上的，按每车达不到8m³的差额部分，另向需方收取30元/m³的空运费。</t>
  </si>
  <si>
    <t>实际供货单价为：当月供货的各强度等级商品=《广州建设工程造价信息》公布的当季度广州地区建设工程常用材料综合价格中普通泵送混凝土综合价格×（1-29%）；每季度调整一次</t>
  </si>
  <si>
    <t>2015年4月1日起，当市场原材料价格出现非正常波动时，双方再另行协商。</t>
  </si>
  <si>
    <r>
      <t>还款计划（2017.5.28）：</t>
    </r>
    <r>
      <rPr>
        <sz val="11"/>
        <color indexed="10"/>
        <rFont val="宋体"/>
        <charset val="134"/>
      </rPr>
      <t>1、2017年6月10日付508492.5元；2017年7月31日付1016991.3元；2017年8月31日前付1419945.2元；2017年9月30日前付1536787.1元；2017年10月31日付1739045.36元</t>
    </r>
  </si>
  <si>
    <t>还款计划（2017.5.28）：1、2017年6月10日付50万；2017年7月31日付100万；2017年8月31日前付100万；2017年9月30日前付100万元；2017年10月31日付100万；2017年11月30日前付100万元；2017年12月31日付721261.46元；</t>
  </si>
  <si>
    <t>2014年第3季度调差</t>
  </si>
  <si>
    <t>2014年11月3付401263（期票为12月31）；付1114372（期票为2015年1月25）</t>
  </si>
  <si>
    <t>2015年2月16付100万元</t>
  </si>
  <si>
    <t>2015年3月至4月价差</t>
  </si>
  <si>
    <t>2015年4月25付1542939万元(期票5.10)</t>
  </si>
  <si>
    <t>2015年7月31付2363399元+2363399元（期票8.31）-延期</t>
  </si>
  <si>
    <t>2014年第4季度调差</t>
  </si>
  <si>
    <t>2015年10月3日付100万元</t>
  </si>
  <si>
    <t>2015年7月至8月调差</t>
  </si>
  <si>
    <t>2015年11月28日付2158430元（期票12.20）</t>
  </si>
  <si>
    <t>2015年6月至10月价差</t>
  </si>
  <si>
    <t>2016年2月5日付2712712元；</t>
  </si>
  <si>
    <t>2016年5月30日付50万</t>
  </si>
  <si>
    <t>2016年7月7日付2501942元；</t>
  </si>
  <si>
    <t>2016年8月9日付1242901.61元</t>
  </si>
  <si>
    <t>2016年8月29日付2268816</t>
  </si>
  <si>
    <t>2016年9月30日付50万</t>
  </si>
  <si>
    <t>2016年10月20日付521774元</t>
  </si>
  <si>
    <t>2016年10月2日已封顶。</t>
  </si>
  <si>
    <t>2016年11月15日付1043834元</t>
  </si>
  <si>
    <t>2016年12月9日付1116741.6元；12月20日付944007.30元</t>
  </si>
  <si>
    <t>2017年1月23日付315598.03元；+583711.57元</t>
  </si>
  <si>
    <t>2017年4月13日付10万+4月24日付201809.5元</t>
  </si>
  <si>
    <t>2017年5月2日付50万+2017年5月25日付50万</t>
  </si>
  <si>
    <t>2017年6月13日付508492.5元</t>
  </si>
  <si>
    <t>2017年8月9日付1016991.3元</t>
  </si>
  <si>
    <t>签定日期：2015-1-1</t>
  </si>
  <si>
    <t>合同编号：CX15--0114（泰兴合同）</t>
  </si>
  <si>
    <t>C15：260 C20：270 C25：280 C30：290 C35：305 C40：320 C45：345 C50：370 从2015年4月1起上调10元/M3</t>
  </si>
  <si>
    <t>抗渗砼P6-P8在原单价上另加收5元/m3；P10-P12在原单价上另加收10元/m3；水下桩在原单价上另加收15元/ m3；细石混凝土在原单价上另加收10元/ m3；35层以上泵送混凝土单价在原单价上另加收10元/ m3；特殊混凝土价格双方另协商。</t>
  </si>
  <si>
    <t>贵州建工集团第二建筑有限责任公司</t>
  </si>
  <si>
    <t>按公司</t>
  </si>
  <si>
    <t>武警指挥学院新建公寓楼</t>
  </si>
  <si>
    <t>黄黑龙 林汉梅</t>
  </si>
  <si>
    <t>陈宝龙 黄黑龙 林汉梅</t>
  </si>
  <si>
    <t>当月货款次月30日内付清</t>
  </si>
  <si>
    <t>需方每批次浇捣的混凝土尾数只能有二车不足9m3（水下桩混凝土除外），超出二车以上，按每车达不到9m3的差额部分，另向需方收取30元/m3空运费。</t>
  </si>
  <si>
    <t>如果市场原材料浮动在+5%内，双方互不追究，如若超出+5%，双方再协商价格。</t>
  </si>
  <si>
    <r>
      <t>2015年8月5日付232485元（期票8.31）--</t>
    </r>
    <r>
      <rPr>
        <b/>
        <sz val="12"/>
        <color indexed="10"/>
        <rFont val="楷体_GB2312"/>
        <family val="3"/>
        <charset val="134"/>
      </rPr>
      <t>延期</t>
    </r>
  </si>
  <si>
    <t>2015年9月10日付537627.5元（期票10.30）</t>
  </si>
  <si>
    <t>2016年02月3日付128960元；</t>
  </si>
  <si>
    <t>签定日期：2015-1-20</t>
  </si>
  <si>
    <t>合同编号：CT15-0114（长泰合同）</t>
  </si>
  <si>
    <t>C15：258 C20：268 C25：278 C30：288 C35：303 C40：318 C45：338 C50：368  从2014年4.1起上调10元/M3</t>
  </si>
  <si>
    <t>武警广州市支队公寓楼房工程</t>
  </si>
  <si>
    <t>林镇洲 林水龙</t>
  </si>
  <si>
    <t>2015年8月31日付6174元   （期票8.31）</t>
  </si>
  <si>
    <t>2015年11月3日付115077.5元+297526.5元（期票12.20）</t>
  </si>
  <si>
    <t>2016年2月3日付453809元；（期票8.30）</t>
  </si>
  <si>
    <t>广东省第二建筑工程有限公司</t>
  </si>
  <si>
    <t>合同编号</t>
  </si>
  <si>
    <t>CT15-0301(泰兴站）</t>
  </si>
  <si>
    <t>C15：250 C20：260 C25：270  C30：280 C35：290 C40：305 C45：320 C50：335 C55: 350  C60:370 从2015年4月1上调20元/方（只上调一个月）；从2015年8月10下调元/方，C30 270；从2015年9月1日起下调10元/方 C30 260; 从2015年10月1起下调10元/方；</t>
  </si>
  <si>
    <r>
      <t>按1.5元/m3(</t>
    </r>
    <r>
      <rPr>
        <sz val="10"/>
        <color indexed="10"/>
        <rFont val="宋体"/>
        <charset val="134"/>
      </rPr>
      <t>从2015年5月起业务信息费1元/m3</t>
    </r>
    <r>
      <rPr>
        <sz val="10"/>
        <rFont val="宋体"/>
        <charset val="134"/>
      </rPr>
      <t>)</t>
    </r>
  </si>
  <si>
    <t>广物汇晶广场项目部</t>
  </si>
  <si>
    <t>方俊强</t>
  </si>
  <si>
    <t>1、当月货款，次月10号前对数，20号结清；2预付20万元以上的预付款，在本合同第一条款的单价基础上可下调10元/方；</t>
  </si>
  <si>
    <t>2014年6月1至2014年8月31</t>
  </si>
  <si>
    <t>2014年付款124585</t>
  </si>
  <si>
    <t>2015年5月19付2080304元+5月20付259138.20</t>
  </si>
  <si>
    <t>2015年7月14日付1163403.9元</t>
  </si>
  <si>
    <t>2015年10月12日付158954元</t>
  </si>
  <si>
    <t>2016年2月3日付10万</t>
  </si>
  <si>
    <t>合同编号：TX15-0420（泰兴站）</t>
  </si>
  <si>
    <t>开票信息：纳税名称：广州市市政集团有限公司
纳税号：91440101190440823J
地址：广州市越秀区环市东路338号
开户银行：建行广州东环支行
账号：44001491201050476185</t>
  </si>
  <si>
    <t>C15：265 C20：275 C25：285 C30：295 C35：310 C40：325 C45：345 C50：370 C55: 400  C60:435 砂浆按随车混凝土单价; 从2015年7月1日起下调10元/方。C30 285 从2015年9月1日下调5元/方 C30 280；从2015年11月15日下调下调10元/方 C30 270；从2015年12月15日下调下调10元/方 C30 260；从2015年3月1日起下调10元 C30 250 ；从2016年4月15日起上调5元；255元（M5地面砂浆260元）从2016年10月1日开始下始下调5元/方；C30 250元；从2016年12月12日上调40元；C30 290元从2016年12月15日上调20元；C30 310元；从2017年1月11日起下调20元；C30 290(砂浆随混凝土单价）从2017年3月21日起C30 280</t>
  </si>
  <si>
    <t>1、以上单价含税，如市场原材料价格出现波动时，对商品混凝土进行调价，税金固定为10元/m3。2、抗渗砼P6-P8在原单价上另加收5元/m3；P10-P12在原单价上另加收10元/m3；3、水下桩或坍落度超过180mm时在原单价上另加收15元/ m3；细石混凝土在原单价上另加收15元/ m3；4、路面砼（包括耐磨层、球场、地坪、地面、道路、跑道、车道、找平层或找坡层（除天面、屋面）在原单价上另加收15元/ m3；5、3天早强：达到80%加25元/m3；达到90%加35元/m3；达到100%加45元/m3；≥C35混凝土强度值达到70%加25元/m3；达到80%加30元/m3；达到90%加40元/m3；达到100%加50元/m3。6、7天早强：≤C30混凝土强度值达到80%加10元/m3；达到90%加15元/m3；达到100%加25元/m3；≥C35混凝土强度值达到80%加15元/m3；达到90%加20元/m3；达到100%加30元/m3；7、清水或无粉煤灰（纯水泥）混凝土≤C35加25元/m3；≥C40加20元/m3；8、掺膨胀剂：普通砼掺6%加35元/m3，掺8%加40元/m3，掺10%加45元/m3，掺12%加50元/m3，九、30层以上或100米以上泵送混凝土单价在原单价上另加收18元/ m3；特殊混凝土价格双方另协商。</t>
  </si>
  <si>
    <t>含税单价.税金固定为10元/m3</t>
  </si>
  <si>
    <t>提成方式按公司提；业务信息费2元/方；从2016年10月份起增加1元/方；（共3元/方）</t>
  </si>
  <si>
    <t>石井污水处理系统管网工程—石井河上游（均和涌、夏茅涌）
截污渠箱工程</t>
  </si>
  <si>
    <t>李灶、刘运劲、梁海荣</t>
  </si>
  <si>
    <t>张家瑞、梁海荣</t>
  </si>
  <si>
    <t>当月货款次月15日内付清，否则，供方有权停止供货并且有权拒付技术资料，并追究需方违约责任。用支票支付货款的，抬头必须填写供方单位名称。</t>
  </si>
  <si>
    <t>需方每批次浇捣的混凝土尾数只能有一车不足9m3,超出一车以上，按每车达不到9m3的差额部分，另向收取30元/方空运费。</t>
  </si>
  <si>
    <t>2015年7月27日付346275元</t>
  </si>
  <si>
    <t>2015年9月10日付279272元</t>
  </si>
  <si>
    <t>2015年12月4日付623395元</t>
  </si>
  <si>
    <t>2016年1月21日付790800元；</t>
  </si>
  <si>
    <t>2016年3月25日付918362.5元；</t>
  </si>
  <si>
    <t>2016年6月付113002.5元</t>
  </si>
  <si>
    <t>2016年8月5日付1509342.5元</t>
  </si>
  <si>
    <t>2016年11月17日付1780537.5元</t>
  </si>
  <si>
    <t>2016年12月1日至15日</t>
  </si>
  <si>
    <t>2016年12月日付2523605元</t>
  </si>
  <si>
    <t>2016年12月16日至1月15日</t>
  </si>
  <si>
    <t>2017年1月22日付1736002.5元</t>
  </si>
  <si>
    <t xml:space="preserve">2017年1月16至31日 </t>
  </si>
  <si>
    <t>2017年3月10日付1358516元；2017年3月16日付296320元</t>
  </si>
  <si>
    <t>2017年5月5日付1369700元</t>
  </si>
  <si>
    <t>2017年6月7日付3127664元</t>
  </si>
  <si>
    <t>2017年7月3日付2743660元</t>
  </si>
  <si>
    <t>2017年8月2日付2743660元</t>
  </si>
  <si>
    <t>2017年8月31日付2739810元</t>
  </si>
  <si>
    <t>合同编号：穗住采购字第15056号（长泰站）</t>
  </si>
  <si>
    <t>发催款函地址：广东省越秀区环市路476号之一17层法务部020-37818803</t>
  </si>
  <si>
    <t>结算单价
（含税）</t>
  </si>
  <si>
    <t>C10 255  C15：265 C20：275 C25：285 C30：295 C35：305 C40：325 C45：350 C50：375 从2015年11月1日起下调7元/方 C30 288</t>
  </si>
  <si>
    <t>备注：1.抗渗砼P6-P8在原单价上另加收5元/m3；P10-P12在原单价上另加收10元/m3；2、水下桩或坍落度超过180mm时在原单价上另加收15元/ m3；细石混凝土在原单价上另加收15元/ m3；3、路面砼（包括耐磨层、球场、地坪、地面、道路、跑道、找平层或找坡层（除天面、屋面）在原单价上另加收10元/ m3；4、3天早强：≤C30混凝土达到70%加20元/m3；达到80%加25元/m3；达到90%加35元/m3；达到100%加45元/m3；≥C35混凝土强度值达到70%加25元/m3；达到80%加30元/m3；达到90%加40元/m3；达到100%加50元/m3。5、7天早强：≤C30混凝土强度值达到80%加10元/m3；达到90%加15元/m3；达到100%加25元/m3；≥C35混凝土强度值达到80%加15元/m3；达到90%加20元/m3；达到100%加30元/m3；6、清水或无粉煤灰（纯水泥）混凝土≤C35加25元/m3；≥C40加20元/m3；7、掺膨胀剂(包括SY-K)：普通砼掺6%加30元/m3，掺8%加35元/m3，掺10%加40元/m3，掺12%加50元/m3，特殊混凝土价格双方另协商。若由需方提供膨胀剂(包括SY-K)，则供方收取加工费5元/m3</t>
  </si>
  <si>
    <t>广州市住宅建设发展有限公司</t>
  </si>
  <si>
    <t>按公司提；业务信息费2元；刘思明5元；共7元/方；</t>
  </si>
  <si>
    <t>广州市菠萝山保障性住房项目工程二标（即中区）（标段四）L2a～L4a栋廉租房</t>
  </si>
  <si>
    <t>丁銮杰</t>
  </si>
  <si>
    <t>周壮柱</t>
  </si>
  <si>
    <t>当月货款的80%在次月20日前付清，主体结构封顶后一个月内付至95%,余下5%在主体结构验收之日起一个月内付清，否则，供方有权停止供货并且有权拒付技术资料，并追究需方违约责任。用支票支付货款的，抬头必须填写供方单位名称。如工地非供方原因导致停供，需方必须在最后一次供应砼之日起15天内将余款全部付清。逾期的按每日万分之五收取违约金。</t>
  </si>
  <si>
    <t>需方每批次浇捣的混凝土尾数只能有二车不足6m3，超出二车以上，按每车达不到6m3的差额部分，另向需方收取30元/m3空运费。</t>
  </si>
  <si>
    <t>2016年01月20日付30万2016年1月28日付50万</t>
  </si>
  <si>
    <t>2016年02月02日付30万；</t>
  </si>
  <si>
    <t>2016年3月31日付30万</t>
  </si>
  <si>
    <t>2016年4月30日付80万（5.25）</t>
  </si>
  <si>
    <t>2016年4月份主体封顶。</t>
  </si>
  <si>
    <t>2016年6月6日付30万（期票6.30）</t>
  </si>
  <si>
    <t>2016年8月11日付72万</t>
  </si>
  <si>
    <t>2016年10月22日付20万</t>
  </si>
  <si>
    <t>2017年1月11日付20万</t>
  </si>
  <si>
    <t>2017年8月28日付55989.96元</t>
  </si>
  <si>
    <t>泰兴合同编号：TX15-1113</t>
  </si>
  <si>
    <t xml:space="preserve">结算单价
</t>
  </si>
  <si>
    <t xml:space="preserve"> C15：225  C20：235 C25：245  C30：255 C35：270  C40：285  C45：305 C50：330 C55：360 C60：395 润泵砂浆 420元/m3从2016年12月12日上调30元；C30 285 2016.12.15上调50元；C30 335</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</si>
  <si>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</si>
  <si>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广州市琨裕投资管理有限公司</t>
  </si>
  <si>
    <t>广东泰通建设有限公司</t>
  </si>
  <si>
    <t>按公司规定提；业务信息费2元/方；</t>
  </si>
  <si>
    <t>龙归污水处理系统管网工程-人和2#泵站片区一期—黄榜岭村、蚌湖村、方石村周边污水收集支管工程及太岗路周边道路收集支管工程（第四次）</t>
  </si>
  <si>
    <t>70000m3</t>
  </si>
  <si>
    <t>林秋丹</t>
  </si>
  <si>
    <t>当月货款次月15日内付清，否则，供方有权停止供货并且有权拒付技术资料，并追究需方违约责任。用支票支付货款的，抬头必须填写供方单位名称。如供方原因，需双方协商解决。是需方原因导致停供，需方必须在最后一次供应砼之日起15天内将余款全部付清。逾期的按每日万分之五收取违约金，。</t>
  </si>
  <si>
    <t>需方每批次浇捣的混凝土尾数只能有一车不足6m3，超出一车以上，按每车达不到6m3的差额部分，另向需方收取不足30元/方空运费。</t>
  </si>
  <si>
    <t>2016年02月03日付3760元；</t>
  </si>
  <si>
    <t>2016年5月12日付18040元</t>
  </si>
  <si>
    <t>2016年7月8日付33390元；</t>
  </si>
  <si>
    <t>2016年11月23日付8万</t>
  </si>
  <si>
    <t>2017年1月19日付4万</t>
  </si>
  <si>
    <t>2017年6月付3万元</t>
  </si>
  <si>
    <t>长泰合同编号：CT15-1216</t>
  </si>
  <si>
    <t>C15 225 C20 235 C25 245 C30 255 C35 265 C40 275C45 295 C55 345 C60 380</t>
  </si>
  <si>
    <t>一、抗渗砼P6-P8在原单价上另加收5元/m3；P10-P12在原单价上另加收10元/m3；
二、水下桩或坍落度超过180mm时在原单价上另加收10元/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</si>
  <si>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中国中铁一局集团有限公司</t>
  </si>
  <si>
    <t>广东东粤建设有限公司</t>
  </si>
  <si>
    <t>按公司规定提；3元/方；</t>
  </si>
  <si>
    <t>黄埔东路（黄埔大道支线—华坑路）改造工程-土建施工八标</t>
  </si>
  <si>
    <t>黄经理</t>
  </si>
  <si>
    <t>黄旭宏、黄少斌</t>
  </si>
  <si>
    <t>黄东升</t>
  </si>
  <si>
    <t>第一个月货款于第三个月月底前付清（当月为第一个月），否则，供方有权停止供货并且有权拒付技术资料，并追究需方违约责任。用支票支付货款的，抬头必须填写供方单位名称。此工地不论什么原因导致停供，需方必须在最后一次供应砼之日起15天内将余款全部付清。</t>
  </si>
  <si>
    <t>如遇市场单一原材料价格浮动超过±3%时，双方再协商调整单价。双方应在10天过渡期内协商一致调整混凝土价格：若双方协商不成，应于一个月内结算付清货款并解除本合同。</t>
  </si>
  <si>
    <t>需方每批次浇捣的混凝土尾数只能有一车不足6m3，超出一车以上，按每车达不到6m3的差额部分，另向需方收取30元/m3空运费。</t>
  </si>
  <si>
    <t>2015年11月至12月</t>
  </si>
  <si>
    <t>2016年8月1日付428815。</t>
  </si>
  <si>
    <t>2016年9月8日付451855元（期票10.30）</t>
  </si>
  <si>
    <t>2017年1月21日付536197.5元（期票2.28）</t>
  </si>
  <si>
    <t>长兴合同编号：CX16-0302</t>
  </si>
  <si>
    <r>
      <t>建筑规模：本工程建筑高度为198.0 m，地下4层，地上46层。首层层高为5m,标准层:高4.2m（办公）、3.7m（酒店）和4.5m公寓式办公。其它各层主要层高5.0m（裙楼）/5.4m（避难层）。总建筑面积约126066</t>
    </r>
    <r>
      <rPr>
        <b/>
        <sz val="12"/>
        <rFont val="宋体"/>
        <charset val="134"/>
      </rPr>
      <t>㎡</t>
    </r>
    <r>
      <rPr>
        <b/>
        <sz val="12"/>
        <rFont val="楷体_GB2312"/>
        <family val="3"/>
        <charset val="134"/>
      </rPr>
      <t>，地下约26108</t>
    </r>
    <r>
      <rPr>
        <b/>
        <sz val="12"/>
        <rFont val="宋体"/>
        <charset val="134"/>
      </rPr>
      <t>㎡，地上约100007㎡。总用地面积：49629㎡</t>
    </r>
  </si>
  <si>
    <t>C15：235  C20：245  C25：255  C30：265 C35：280  C40：295  C45：315 C50：335 C55：355  C60：375 C65：430 C70：475 C75：505 C80：555 砂浆318 从2016.7.15起上调10元 C30 275 砂浆 328 从2016年12月12日上调25元；C30 300；从2016年12月15日上调25元；C30 325 从2017年3.1下调20元；C30 305; 从2017.3.10起下调10元；C30 295</t>
  </si>
  <si>
    <t>一、抗渗砼P6-P8在原单价上另加收5元/m3；P10-P12在原单价上另加收10元/m3；二、水下桩或坍落度超过180mm时在原单价上另加收15元/ m3；细石混凝土在原单价上另加收15元/ m3；三、路面砼（包括耐磨层、球场、地坪、地面、道路、跑道、找平层或找坡层（除天面、屋面）在原单价上另加收15元/ m3；路面混凝土抗折达到4.0加20元/m3，路面混凝土抗折达到4.5加35元/m3四、3天早强：≤C30混凝土达到70%加20元/m3；达到80%加25元/m3；达到90%加35元/m3；达到100%加45元/m3；≥C35混凝土强度值达到70%加25元/m3；达到80%加30元/m3；达到90%加40元/m3；达到100%加50元/m3。五、7天早强：≤C30混凝土强度值达到80%加10元/m3；达到90%加15元/m3；达到100%加25元/m3；≥C35混凝土强度值达到80%加15元/m3；达到90%加20元/m3；达到100%加30元/m3；六、清水或无粉煤灰（纯水泥）混凝土≤C35加25元/m3；≥C40加20元/m3；七、掺膨胀剂：普通砼掺6%加35元/m3，掺8%加40元/m3，掺10%加45元/m3，掺12%加50元/m3，
掺膨胀纤维剂：普通砼掺6%加45元/m3，掺8%加50元/m3，掺10%加55元/m3，掺12%加60元/m3，
掺纤维：每立方掺0.9Kg 加45元/m3。八、30层以上或100米以上泵送混凝土单价在原单价上另加收18元/ m3；特殊混凝土价格双方另协商。</t>
  </si>
  <si>
    <t>按公司规定提；业务信息费3元</t>
  </si>
  <si>
    <t>8万</t>
  </si>
  <si>
    <t>王经理</t>
  </si>
  <si>
    <t>冯利宏</t>
  </si>
  <si>
    <t>李艳兰</t>
  </si>
  <si>
    <t>当月砼款于第四个月20日前付清80%，余下20%于工程封顶后半年内付清。（例如：第一个月的砼款，于第四个月支付80%，余下20%于工程封顶后6个月平均付清）。以此类推进行结算，最迟付款日期不能超过     年  月  日。如需方以支票形式支付货款必须按供方全称填写支票抬头，否则，视作没有收到。逾期支付的，供方有权停止供砼。逾期付款，需方应按合同约定当期应付款金额万分之五支付滞纳金。</t>
  </si>
  <si>
    <t>需方每次浇捣砼的尾数只能壹车不足8立方，超出壹车以上，按每车达不到8立方的差额部分，另向需方收取30元/立方空运费。</t>
  </si>
  <si>
    <t>2016年7月7日付68059元</t>
  </si>
  <si>
    <t>2016年8月5日付100万+2016年8月9日付1254541.52元+2016年8月29日付1376656元</t>
  </si>
  <si>
    <t>2016年10月20日付636928.8元</t>
  </si>
  <si>
    <t>2016年11月15日付817750.8元</t>
  </si>
  <si>
    <t>2016年12月9日付1041720.8元；12月20日付1376128.8元</t>
  </si>
  <si>
    <t>2017年1月24日付3129140.4元</t>
  </si>
  <si>
    <t>2017年5月2日付50万</t>
  </si>
  <si>
    <t>2017年5月18日付100万</t>
  </si>
  <si>
    <t>2016年11月至4月增加18元泵送费</t>
  </si>
  <si>
    <t>2017年7月28日付100万</t>
  </si>
  <si>
    <t>2017年8月10日付1033622元</t>
  </si>
  <si>
    <t>2016年元月25日</t>
  </si>
  <si>
    <t>泰兴合同编号：TX16-0102</t>
  </si>
  <si>
    <t>建筑规模：拟建运动场位于广州市白云区钟落潭镇、广东机电职业技术学院内，为8条跑道的400m塑胶跑道运动场、田径场及观众席（看台），占地面积约20350m2 、篮球场、网球场、排球场等，占地面积约12000m2、以及运动场周边的园建、道路等工程（面积约14000m2）</t>
  </si>
  <si>
    <t>C15：215  C20：225  C25：235  C30：245 C35：260  C40：275  C45：295 C50：320 C55：350  C60：385  砂浆420 从2016年6月1日起上调10元/方；C30 255；从2016年8月10日起上调10元/方；C30 265; 从2016年10月20日上调10元 C30 275(协议未回）</t>
  </si>
  <si>
    <t>一、抗渗砼P6-P8在原单价上另加收5元/m3；P10-P12在原单价上另加收10元/m3；二、水下桩或坍落度超过180mm时在原单价上另加收15元/ m3；细石混凝土在原单价上另加收15元/ m3；三、路面砼（包括耐磨层、球场、地坪、地面、道路、跑道、车道、找平层或找坡层（除天面、屋面）在原单价上另加收10元/ m3；四、28天抗折强度（Mpa）：抗折3.5（Mpa）等同普通路面混凝土等级C35的单价; 抗折4.0（Mpa）等同普通路面混凝土等级C40的单价;抗折4.5（Mpa）等同普通路面混凝土等级C45的单价;抗折5.0（Mpa）等同普通路面混凝土等级C50的单价;抗折5.5（Mpa）等同普通路面混凝土等级C60的单价。五、3天早强：≤C30混凝土达到70%加20元/m3；达到80%加25元/m3；达到90%加35元/m3；达到100%加45元/m3；≥C35混凝土强度值达到70%加25元/m3；达到80%加30元/m3；达到90%加40元/m3；达到100%加50元/m3。六、7天早强：≤C30混凝土强度值达到80%加10元/m3；达到90%加15元/m3；达到100%加25元/m3；≥C35混凝土强度值达到80%加15元/m3；达到90%加20元/m3；达到100%加30元/m3；七、清水或无粉煤灰（纯水泥）混凝土≤C35加25元/m3；≥C40加20元/m3；八、掺膨胀剂：普通砼掺6%加35元/m3，掺8%加40元/m3，掺10%加45元/m3，掺12%加50元/m3，九、30层以上或100米以上泵送混凝土单价在原单价上另加收18元/ m3；特殊混凝土价格双方另协商。</t>
  </si>
  <si>
    <t>深圳市龙坚建筑工程有限公司</t>
  </si>
  <si>
    <t>广东机电职业技术学院钟落潭新校区运动场项目</t>
  </si>
  <si>
    <t>陈辉盛、林从喜</t>
  </si>
  <si>
    <t>陈清亮、李科益</t>
  </si>
  <si>
    <t>当月货款于第三个月15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</si>
  <si>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2016年5月12日付13920元；</t>
  </si>
  <si>
    <t>2016年7月22日付235820元</t>
  </si>
  <si>
    <t>2016年9月1日付40万+9月29日付8万</t>
  </si>
  <si>
    <t>2016年10月25日付5万</t>
  </si>
  <si>
    <t>2016年11月18日付20万</t>
  </si>
  <si>
    <t>2017年1月22日付55万</t>
  </si>
  <si>
    <t>2017年5月16日付10万</t>
  </si>
  <si>
    <t>2017年6月7日付422045元（期票9.30）+20万（期票6.30）</t>
  </si>
  <si>
    <t>泰兴合同编号：TX16-0224</t>
  </si>
  <si>
    <t>建筑规模：</t>
  </si>
  <si>
    <t>C15：230  C20：240  C25：250  C30：260 C35：275  C40：290  C45：310 C50：365 C55：365  C60：400  砂浆按随车混凝土</t>
  </si>
  <si>
    <t>备注：
1、以上单价含税，如市场原材料价格出现波动时，对商品混凝土进行调价，税金固定为10元/m3。
2、抗渗砼P6-P8在原单价上另加收5元/m3；P10-P12在原单价上另加收10元/m3；
3、水下桩或坍落度超过180mm时在原单价上另加收15元/ m3；细石混凝土在原单价上另加收15元/ m3；
4、路面砼（包括耐磨层、球场、地坪、地面、道路、跑道、车道、找平层或找坡层（除天面、屋面）在原单价上另加收15元/ m3；
5、3天早强：≤C30混凝土达到70%加20元/m3；达到80%加25元/m3；达到90%加35元/m3；达到100%加45元/m3；≥C35混凝土强度值达到70%加25元/m3；达到80%加30元/m3；达到90%加40元/m3；达到100%加50元/m3。
6、7天早强：≤C30混凝土强度值达到80%加10元/m3；达到90%加15元/m3；达到100%加25元/m3；≥C35混凝土强度值达到80%加15元/m3；达到90%加20元/m3；达到100%加30元/m3；
7、清水或无粉煤灰（纯水泥）混凝土≤C35加25元/m3；≥C40加20元/m3；
8、掺膨胀剂：普通砼掺6%加35元/m3，掺8%加40元/m3，掺10%加45元/m3，掺12%加
50 元/m3；
9、30层以上或100米以上泵送混凝土单价在原单价上另加收18元/ m3；特殊混凝土价格双
方另协商。</t>
  </si>
  <si>
    <t>广州建筑股份有限公司</t>
  </si>
  <si>
    <t>开票信息：（二）市政分发票：
1、名称：广州建筑股份有限公司
2、纳税人识别号：91440101556680988C
3、地址、电话：广州市越秀区广卫路4号六楼  62790098
4、开户行及账号：中国建设银行股份有限公司广州广卫路支行    44001421802053002206，</t>
  </si>
  <si>
    <t>大坦沙污水处理系统管网工程—石井河干流（石井河、新市涌）截污渠箱（石井河段）工程施工总承包</t>
  </si>
  <si>
    <t>3万</t>
  </si>
  <si>
    <t>吴智星和陈谋略</t>
  </si>
  <si>
    <t>供需双方每月结算一次，每月5日前供方应向需方发出上月供砼凭证和结算单，需方应在结算单送出7天内盖章签认，逾期签认的视确认供方的结算数额，每月25日前需方应付清供方上月的80%砼款，剩下20%砼款在下月25日前付清给供方（即第二个月结第一个月的80%砼款，第三个月结第一个月的20%砼款加第二个月的80%砼款，如此类推）。如需方委托其他单位代付款的，应出具委托付款证明书给供方。变更为当月货款次月15日前付清。</t>
  </si>
  <si>
    <t>需方单批次订购的混凝土不足6 m3时，需方应按150元/车补偿空运费给供方。</t>
  </si>
  <si>
    <t>2016年3月至4月</t>
  </si>
  <si>
    <t>2016年7月28日付155817.5元</t>
  </si>
  <si>
    <t>长兴合同编号：</t>
  </si>
  <si>
    <t>建筑规模：石井-环西线路工程隧道线路总长约7.17km。起点接石井-凯旋电力隧道，终点接环西出站段西线。线路途经白云区和荔湾区，沿石槎路、西槎路至西湾路。沿线为城市的已建成区及交通干道，居民小区、商业区建筑物稠密，人员和车流密集。</t>
  </si>
  <si>
    <t>C15 235 C20 245 C25 255 C30 265 C35 280 C40 295 C45 315 C50 340 C55 370 C60 405 砂浆 420 从2016年12月12日上调40元；C30 305元；从2016年12月15日上调20元；C30 325元</t>
  </si>
  <si>
    <t>1、P6～P8砼每立方加收5元/m3；（C25以下没有抗渗）2、P10～P12砼每立方加收10元/m3；3、水下砼每立方加收15元/m3；4、清水砼每立方加收25元/m3；5、掺瓜米石每立方加收15元/m3；6、细石砼每立方加收15元/m3；7、膨胀砼掺量6%~8%，加收35元/ m3；8、早强80%砼：3天加收25元/m3、5天加收20元/m3、7天加收10元/m3；早强100%砼：3天加收35元/m3；5天加收30元/m3、7天加收20元/m3；9、路面抗折砼F4.0砼按C40单价、F4.5砼按C45单价、F5.0砼按C50单价；10、润泵砂浆每立方420元11、各等级砼塌落度如大于20cm，每立方加收15元/m3；12、如需方要求掺加特殊材料的砼，价格另议。13、防水砼掺量5%，加收40元/ m3；14、C20砼以上可泵送，C20砼以下只可直卸；15、此单价已包含混凝土发票。</t>
  </si>
  <si>
    <t>广东华隧建设股份有限公司</t>
  </si>
  <si>
    <t>合同联系人QQ467380148@qq.com</t>
  </si>
  <si>
    <t>220KV石井-环西电力隧道（西湾路-石沙路段）土建工程（施工1标）</t>
  </si>
  <si>
    <t>7000方；   金额360万；</t>
  </si>
  <si>
    <t>李容生</t>
  </si>
  <si>
    <t>林新、李容生</t>
  </si>
  <si>
    <r>
      <t>2)在本批货物结算截止期的次月1日计起，在买方收到卖方提供的相关完整单据的75天内支付卖方95%的货款。</t>
    </r>
    <r>
      <rPr>
        <b/>
        <sz val="11"/>
        <rFont val="宋体"/>
        <charset val="134"/>
      </rPr>
      <t>供货一个季度后，卖方供应的货物全部验收合格，</t>
    </r>
    <r>
      <rPr>
        <sz val="11"/>
        <rFont val="宋体"/>
        <charset val="134"/>
      </rPr>
      <t>在买方收到卖方提交的下列完整单据，审核无误后30天内支付到本项工程货款的100%。</t>
    </r>
  </si>
  <si>
    <t>本合同单价调整方式：以2016年第二季度广州市造价站公布的预拌混凝土综合价泵送混凝土单价为基准价，今后供应过程中当季度的广州市造价站预拌混凝土综合价泵送混凝土单价与2016第二季度对比，如增加或减少的，结算单价也相应增加或减少。</t>
  </si>
  <si>
    <t>2016年9月10日付590432.5元</t>
  </si>
  <si>
    <t>2016年11月16日付293805元</t>
  </si>
  <si>
    <t>2016年12月20日付22万元</t>
  </si>
  <si>
    <t>2016年第三季度调差未回</t>
  </si>
  <si>
    <t>2016年第四季度调差未回</t>
  </si>
  <si>
    <t>2016.11.28</t>
  </si>
  <si>
    <t>长泰合同编号：无</t>
  </si>
  <si>
    <t>砂浆结算单价：砌筑 M5 245.55 M7.5 249.67 M10 254.61 M15 262.02 M20 268.62 M25 /; 抹灰 M5 249.67 M7.5 / M10 254.61 M15 266.14 M20 271.91 M25 /地面 M5 / M7.5 / M10 / M15 262.02 M20 268.62 M25 275.21</t>
  </si>
  <si>
    <t>C10 230.62 C15 236.61 C20 245.6 C25 252.34 C30 259.08 C35 268.81 C40 279.29 C45 289.78 C50 299.51 C55 314.49 C60 329.46 C65 379.46 C70 429.46 润管砂浆 320从2016年12月13日至2016年10月25日起上调40元；C30 299.08</t>
  </si>
  <si>
    <t>1、P6砼每立方加收6元/m3；P8砼每立方加收8元；2、P10～P12砼每立方加收10元/m3；3、膨胀砼加收35元/ m3；4、掺缓凝剂混凝土加30元；掺防水剂加15元；细石加15元；抗折4.5加20元；抗折5.0加25元；水下桩加15元；不掺加粉煤灰加15元；早强砼加15元；自密实加40元；抗裂纤维混凝土加35元；</t>
  </si>
  <si>
    <t>四川航天建筑工程有限公司</t>
  </si>
  <si>
    <t>深圳市南山区科苑路科兴科学园B4-18楼胡红丽13714448911向工：13798499731</t>
  </si>
  <si>
    <t xml:space="preserve"> M5 245.55 M7.5 249.67 M10 254.61 M15 262.02 M20 268.62 M25 /</t>
  </si>
  <si>
    <t xml:space="preserve">调差方式 </t>
  </si>
  <si>
    <t>混凝土单价按当季度信息下浮24%后确定；砂浆单价按当季度信息下浮5%后确定；</t>
  </si>
  <si>
    <t>广州市科学城项目</t>
  </si>
  <si>
    <t>8万方</t>
  </si>
  <si>
    <t>谭滔</t>
  </si>
  <si>
    <t>向祖勇、郭萌</t>
  </si>
  <si>
    <t>每月的25日为双方月结算日，当月30日前双方核对当月砼数量及金额，在次月30日前支付上月砼款的85%，余款3个月后支付（如：9月30日前支付8月份货款的85%，剩余的15%在11月30日前支付，以此类推。）</t>
  </si>
  <si>
    <t>按公司规定提；业务信息费7元（砂浆为10元/方；）</t>
  </si>
  <si>
    <t>于合同中第一条款有关运费的约定，经双方协商一致，同意更改如下：单次运输或第二次补量,数量＜3立方,另计运费150元/车。3立方≤数量≤5立方,另计100元/车运费。</t>
  </si>
  <si>
    <t>2016年8月至2016年10月</t>
  </si>
  <si>
    <t>2016年11月1日至11月20日</t>
  </si>
  <si>
    <t>2016年11月21日至12月20日</t>
  </si>
  <si>
    <t>2016年12月16日付701833.27元</t>
  </si>
  <si>
    <t>2016年12月21日至2017年1月20日</t>
  </si>
  <si>
    <t>2017年1月21日付2146089.66元+1月12日付35558.65元</t>
  </si>
  <si>
    <t>2017年1月21日至2017年2月20日</t>
  </si>
  <si>
    <t>2017年2月调差（上调40元）</t>
  </si>
  <si>
    <t>2017年2月21日至2017年3月20日</t>
  </si>
  <si>
    <t>2017年3月24日付1413968.94元</t>
  </si>
  <si>
    <t>2017年3月20日至2017年4月20日</t>
  </si>
  <si>
    <t>2017年4月21日付1498354.44元+2017年4月28日付1292872.25元</t>
  </si>
  <si>
    <t>2017年4月20日至2017年5月20日</t>
  </si>
  <si>
    <t>2017年6月28日付41177.71元</t>
  </si>
  <si>
    <t>2017年7月28日付186890.46元</t>
  </si>
  <si>
    <t>2017年6月税金</t>
  </si>
  <si>
    <t>2017年8月18日付229316.01元</t>
  </si>
  <si>
    <t>买发票</t>
  </si>
  <si>
    <t>湿砂浆</t>
  </si>
  <si>
    <t>签定日期：2012年9月24日</t>
  </si>
  <si>
    <t>合同编号：CX12-0819</t>
  </si>
  <si>
    <t>C15：215   C20：225  C25：235   C30：245   C35：255  C40：270   C45：285   C50：305，2012年10月10日上调10元，C30：255元</t>
  </si>
  <si>
    <t>特殊混凝土按公司规定</t>
  </si>
  <si>
    <t>广东西南建设工程有限公司</t>
  </si>
  <si>
    <t>资料出具名称：广东省建筑工程机械施工有限公司</t>
  </si>
  <si>
    <t>东沙大道上下南环匝道工程</t>
  </si>
  <si>
    <t>陈</t>
  </si>
  <si>
    <t>当月货款次月20天内付清。</t>
  </si>
  <si>
    <t>每批次浇捣的混凝土尾数只能有二车不足9m3，超出二车以上，按每车达不到9m3的差额部份，另向需方收取30元/m3空运费。</t>
  </si>
  <si>
    <t>试压件送检单位：</t>
  </si>
  <si>
    <t>2012年10月29日付238160元</t>
  </si>
  <si>
    <t>2012年12月29日付385760元</t>
  </si>
  <si>
    <t>2013年1月8日付388840元</t>
  </si>
  <si>
    <t>2013年1月24日付418775元</t>
  </si>
  <si>
    <t>2013年4月25日付418062元</t>
  </si>
  <si>
    <t>2014年1月20日付210765.50万元</t>
  </si>
  <si>
    <t>2017.1.9做报告,申请做清账处理.</t>
  </si>
  <si>
    <t>合同编号：CX14-0630（长兴合同）</t>
  </si>
  <si>
    <t>2014年6月1至完工</t>
  </si>
  <si>
    <t>结算含税单价</t>
  </si>
  <si>
    <t>C15：287，C20：297，C25：307， C30：317，C35：332，C40：347，C45:362 C50:382 C55:402 C60:432从2015年9月1日付20元/方 C30 297；从2015年11月1日起下调27元/方；C30 270; 从2016年11月1日起上调5元 C30 275；从2016年12月15日起上调40元；C30 315</t>
  </si>
  <si>
    <t>广东省水利水电第三工程局</t>
  </si>
  <si>
    <t>价格不含税 开发票增加7%</t>
  </si>
  <si>
    <t>业务信息费10元/立方米</t>
  </si>
  <si>
    <t>下西关涌防洪排涝调水工程</t>
  </si>
  <si>
    <t>6000m3</t>
  </si>
  <si>
    <t>张佳伟 许利兵  容康生</t>
  </si>
  <si>
    <t>结算单签收人及调整价格确认人</t>
  </si>
  <si>
    <t>刘启丽、陈承瑶、肖汉林</t>
  </si>
  <si>
    <t>当月货款于第三个月的20天内付清，否则，供方有权停止供货并且有权拒付技术资料，并追究需方违约责任。用支票支付货款的，抬头必须填写供方单位名称。此工地非供方原因导致停供，需方必须在最后一次供应砼之日起叁个月内将余款全部付清。供方无过错，需方逾期付款，按每日万分之五收取违约金。</t>
  </si>
  <si>
    <t>需方每批次浇捣的混凝土尾数只能有二车不足9m³，超出二车以上，按每车达不到9m³的差额部分，另向需方收取30元/m³空运费</t>
  </si>
  <si>
    <t>如遇市场单一原材料价格浮动超过+3%时，双方再协商一次单价</t>
  </si>
  <si>
    <r>
      <t>当月生产方量(m</t>
    </r>
    <r>
      <rPr>
        <vertAlign val="superscript"/>
        <sz val="12"/>
        <rFont val="楷体_GB2312"/>
        <family val="3"/>
        <charset val="134"/>
      </rPr>
      <t>3</t>
    </r>
    <r>
      <rPr>
        <sz val="12"/>
        <rFont val="楷体_GB2312"/>
        <family val="3"/>
        <charset val="134"/>
      </rPr>
      <t xml:space="preserve">)   </t>
    </r>
  </si>
  <si>
    <r>
      <t>累计生产方量(m</t>
    </r>
    <r>
      <rPr>
        <vertAlign val="superscript"/>
        <sz val="12"/>
        <rFont val="楷体_GB2312"/>
        <family val="3"/>
        <charset val="134"/>
      </rPr>
      <t>3</t>
    </r>
    <r>
      <rPr>
        <sz val="12"/>
        <rFont val="楷体_GB2312"/>
        <family val="3"/>
        <charset val="134"/>
      </rPr>
      <t xml:space="preserve">)  </t>
    </r>
  </si>
  <si>
    <r>
      <t>余存方量(m</t>
    </r>
    <r>
      <rPr>
        <vertAlign val="superscript"/>
        <sz val="12"/>
        <rFont val="楷体_GB2312"/>
        <family val="3"/>
        <charset val="134"/>
      </rPr>
      <t>3</t>
    </r>
    <r>
      <rPr>
        <sz val="12"/>
        <rFont val="楷体_GB2312"/>
        <family val="3"/>
        <charset val="134"/>
      </rPr>
      <t xml:space="preserve">)  </t>
    </r>
  </si>
  <si>
    <t>2014年10月13付168498</t>
  </si>
  <si>
    <t>2014年12月16付10万元</t>
  </si>
  <si>
    <t>2015年2月14付20万元</t>
  </si>
  <si>
    <t>2015年4月27付10万元</t>
  </si>
  <si>
    <t>2015年8月12日付5万</t>
  </si>
  <si>
    <t>2015年10月13付70448元</t>
  </si>
  <si>
    <t>2015年12月29日付20万元（期票1.25）</t>
  </si>
  <si>
    <t>2016年02月1日付20万</t>
  </si>
  <si>
    <t>2016年5月3日付10万</t>
  </si>
  <si>
    <t>2016年8月8日付93870.5元</t>
  </si>
  <si>
    <t>2016年11月16日付6万</t>
  </si>
  <si>
    <t>2016年11月29日付4万</t>
  </si>
  <si>
    <t>2017年2月2日付65340元</t>
  </si>
  <si>
    <t>2017年6月2日付4万</t>
  </si>
  <si>
    <t>签定日期：2014年4月</t>
  </si>
  <si>
    <t>合同编号：（长兴合同）</t>
  </si>
  <si>
    <t xml:space="preserve">C15：282，C20：292，C25：302， C30：312，C35：327，C40：342，C45：357，C50：377，C55：397，C60：427 从2015年9月1日起下调20元/方 C30 292; 从2015年起下调22元/方 C30 270; </t>
  </si>
  <si>
    <t>广东电白二建工程有限公司</t>
  </si>
  <si>
    <t>按公司规定，业务费8元</t>
  </si>
  <si>
    <t>粤剧艺术博物馆施工总承包</t>
  </si>
  <si>
    <t>10000m3</t>
  </si>
  <si>
    <t>王成书</t>
  </si>
  <si>
    <t>崔伟光、郑金成、解生</t>
  </si>
  <si>
    <t>邱水梅、新增黄洁玉、廖伟明</t>
  </si>
  <si>
    <t>当月货款第三个月的25天内付清，否则，供方有权停止供货并且有权拒付技术资料，并追究需方违约责任。供方无过错，需方逾期付款的，按每日万分之五收取违约金。</t>
  </si>
  <si>
    <t>需方每批次浇捣毁混凝土尾数只能有二车不足9m3，超出二车以上，按每车达不到9m3的差额部分，另向需方收取30元/m3空运费。</t>
  </si>
  <si>
    <t>送检测所检验的试样需经供需双方确认。若检测坍落度不符合要求的应立即进行退货，需方不做任何补偿。</t>
  </si>
  <si>
    <t>2014年7月28付325224</t>
  </si>
  <si>
    <t>2014年8月20付30万元</t>
  </si>
  <si>
    <t xml:space="preserve">2014年9月5付50万元 </t>
  </si>
  <si>
    <t>2014年10月13付50万元</t>
  </si>
  <si>
    <t>2014年11月25付100万元（期票为12月10</t>
  </si>
  <si>
    <t>2015年1月14付50万元+1月26付100万元</t>
  </si>
  <si>
    <t>1月税金</t>
  </si>
  <si>
    <t>2015年2月14付50万元</t>
  </si>
  <si>
    <t>2015年3月12付30万元</t>
  </si>
  <si>
    <t>2015年4月1付50万元</t>
  </si>
  <si>
    <t>2015年5月7付40万元（期票5.20）</t>
  </si>
  <si>
    <t>2015年6月3日付50万元（期票6.7）</t>
  </si>
  <si>
    <t>2015年7月17付50万（期票7.31）</t>
  </si>
  <si>
    <t>2015年9月1日付30万（期票10.09）</t>
  </si>
  <si>
    <t>2015年10月13日付30万（期票11.1）</t>
  </si>
  <si>
    <t>2015年11月24日付20万</t>
  </si>
  <si>
    <t>2015年12月22日付27万元</t>
  </si>
  <si>
    <t>2016年02月4日付32240元；</t>
  </si>
  <si>
    <t>2016年06月8日付20万（期票7.15）</t>
  </si>
  <si>
    <t>2016年7月4日付224295.5元；（期票10.15）</t>
  </si>
  <si>
    <t>2016年11月12日付20万（期票2017.4.25）20万（期票5.25）172160元（期票2017.6.25）</t>
  </si>
  <si>
    <t>合同编号：</t>
  </si>
  <si>
    <t>我的地扯：广州市花都区炭步镇社岗村中铁二局项目部郑佳龙   13622888713</t>
  </si>
  <si>
    <t>临供C30：305</t>
  </si>
  <si>
    <t>广东省基础工程集团有限公司</t>
  </si>
  <si>
    <t>440106198004074034黄舜尧</t>
  </si>
  <si>
    <t>2017.1.12写申请款</t>
  </si>
  <si>
    <t>红棉大道工程一期（风神立交-西二环高速和顺立交）土建一标施工总承包</t>
  </si>
  <si>
    <t>2016年5月26日付35445元；</t>
  </si>
  <si>
    <t>红棉大道工程六期</t>
  </si>
  <si>
    <t>2016年5月26日付8670元；</t>
  </si>
  <si>
    <t>合同编号：CX15-0330（长兴合同）</t>
  </si>
  <si>
    <t>C15：260，C20：270，C25：280， C30：290，C35：305，C40：320，C45：340 砂浆420 从2015年11月1日起单价下调20元/方；C30 270；从2016年12月10日上调30元/方；C30 300； 从2016年12月15日上调20元/方；C30 320；从2017年3月1日起; C30 285</t>
  </si>
  <si>
    <t>广东盈隆建设有限公司</t>
  </si>
  <si>
    <r>
      <t>因需方实际工程需要，供方提供给需方的混凝土单据（包括混凝土送货单、混凝土结算单、混凝土技术资料、配合比等）施工单位填写“</t>
    </r>
    <r>
      <rPr>
        <sz val="12"/>
        <color indexed="10"/>
        <rFont val="楷体_GB2312"/>
        <family val="3"/>
        <charset val="134"/>
      </rPr>
      <t>广州市水电建设工程有限公司</t>
    </r>
    <r>
      <rPr>
        <sz val="12"/>
        <rFont val="楷体_GB2312"/>
        <family val="3"/>
        <charset val="134"/>
      </rPr>
      <t>”</t>
    </r>
  </si>
  <si>
    <t>业务信息费5元/方；提成按公司算；从2015年11月1日起，增加业务信息费3元/方；（共计业务信息费8元/方）</t>
  </si>
  <si>
    <r>
      <t>沥</t>
    </r>
    <r>
      <rPr>
        <sz val="12"/>
        <rFont val="宋体"/>
        <charset val="134"/>
      </rPr>
      <t>滘</t>
    </r>
    <r>
      <rPr>
        <sz val="12"/>
        <rFont val="楷体_GB2312"/>
        <family val="3"/>
        <charset val="134"/>
      </rPr>
      <t>系统污水收集工程-马涌流域工程（马涌流域其他污水管道完善工程）</t>
    </r>
  </si>
  <si>
    <t>陈辉鹏、陈进荣</t>
  </si>
  <si>
    <t>当月货款次月30日内付清，否则，供方有权停止供货并且有权拒付技术资料，并追究需方违约责任。</t>
  </si>
  <si>
    <r>
      <t>需方每批次浇捣的混凝土尾数只能有二车不足8m</t>
    </r>
    <r>
      <rPr>
        <sz val="10"/>
        <rFont val="宋体"/>
        <charset val="134"/>
      </rPr>
      <t>³</t>
    </r>
    <r>
      <rPr>
        <sz val="10"/>
        <rFont val="楷体_GB2312"/>
        <family val="3"/>
        <charset val="134"/>
      </rPr>
      <t>，超出二车以上的，按每车达不到8m</t>
    </r>
    <r>
      <rPr>
        <sz val="10"/>
        <rFont val="宋体"/>
        <charset val="134"/>
      </rPr>
      <t>³</t>
    </r>
    <r>
      <rPr>
        <sz val="10"/>
        <rFont val="楷体_GB2312"/>
        <family val="3"/>
        <charset val="134"/>
      </rPr>
      <t>的差额部分。另向需方收取30元/m</t>
    </r>
    <r>
      <rPr>
        <sz val="10"/>
        <rFont val="宋体"/>
        <charset val="134"/>
      </rPr>
      <t>³</t>
    </r>
    <r>
      <rPr>
        <sz val="10"/>
        <rFont val="楷体_GB2312"/>
        <family val="3"/>
        <charset val="134"/>
      </rPr>
      <t>的空运费</t>
    </r>
  </si>
  <si>
    <t>2015年6月19付88767.5元</t>
  </si>
  <si>
    <t>2015年11月27日付12万（期票12.5）</t>
  </si>
  <si>
    <t>2016年5月9日付110160元；</t>
  </si>
  <si>
    <t>2016年8月4日付10万</t>
  </si>
  <si>
    <t>2016年9月3日付10万</t>
  </si>
  <si>
    <t>2016年10月24日付10万</t>
  </si>
  <si>
    <t>2016年11月16日付32348元</t>
  </si>
  <si>
    <t>2016年12月20日付5万</t>
  </si>
  <si>
    <t>2017年1月付7412元</t>
  </si>
  <si>
    <t>2017年3月7日付8万（期票5.5）</t>
  </si>
  <si>
    <t>2015.7.5</t>
  </si>
  <si>
    <t>合同编号：CT15-0731长泰合同</t>
  </si>
  <si>
    <t xml:space="preserve">C15：252 C20：262 C25：271 C30;279 C35：292 C40：304 C45：318 C50：331 C55：349 C60：362 </t>
  </si>
  <si>
    <r>
      <t>①、水下桩、抗渗、防水混凝土价格按《广州地区建设工程常用综合价格》下浮22%结算②、细石混凝土在原单价上另加收15元/m</t>
    </r>
    <r>
      <rPr>
        <sz val="11"/>
        <rFont val="宋体"/>
        <charset val="134"/>
      </rPr>
      <t>³</t>
    </r>
    <r>
      <rPr>
        <sz val="11"/>
        <rFont val="楷体_GB2312"/>
        <family val="3"/>
        <charset val="134"/>
      </rPr>
      <t xml:space="preserve">
③、3天早强：≤C30混凝土达到70%加20元/m3；达到80%加25元/m3；达到90%加35元/m3；达到100%加45元/m3；≥C35混凝土强度值达到70%加25元/m3；达到80%加30元/m3；达到90%加40元/m3；达到100%加50元/m3。④、7天早强：≤C30混凝土强度值达到80%加10元/m3；达到90%加15元/m3；达到100%加25元/m3；≥C35混凝土强度值达到80%加15元/m3；达到90%加20元/m3；达到100%加30元/m3；⑤、清水或无粉煤灰（纯水泥）混凝土≤C35加25元/m3；≥C40加20元/m3；⑥、掺膨胀剂：普通砼掺6%加35元/m3，掺8%加40元/m3，掺10%加45元/m3，掺12%加50元/m3，</t>
    </r>
  </si>
  <si>
    <t>含税按《广州市建设工程常用综合价格》下浮19%结算</t>
  </si>
  <si>
    <t>上海市基础工程集团有限公司深圳分公司</t>
  </si>
  <si>
    <t>湖南省湘天建设工程有限公司</t>
  </si>
  <si>
    <t>建筑规模</t>
  </si>
  <si>
    <t>两公里</t>
  </si>
  <si>
    <t>按公司提成；业务信息费5元/m3</t>
  </si>
  <si>
    <t>黄埔东路（黄埔大道直线-华坑路）改造工程土建施工七标</t>
  </si>
  <si>
    <t>陈锡</t>
  </si>
  <si>
    <t xml:space="preserve">陈鍚涛 电话： 13450235901 辛明科 电话：15914743949  陈容弟 电话：15218979790 </t>
  </si>
  <si>
    <r>
      <t>陈</t>
    </r>
    <r>
      <rPr>
        <sz val="12"/>
        <rFont val="宋体"/>
        <charset val="134"/>
      </rPr>
      <t>鍚</t>
    </r>
    <r>
      <rPr>
        <sz val="12"/>
        <rFont val="楷体_GB2312"/>
        <family val="3"/>
        <charset val="134"/>
      </rPr>
      <t>涛 、              辛明科、  陈容弟</t>
    </r>
  </si>
  <si>
    <t>当月货款于第三个月25日内付清（当月为第一月），否则，供方有权停止供货并且有权拒付技术资料，并追究需方违约责任。用支票支付货款的，抬头必须填写供方单位名称。此工地不论什么原因导致停供，需方必须在最后一次供应砼之日起90天内将余款全部付清。逾期的按每日万分之五收取违约金。</t>
  </si>
  <si>
    <t>需方每批次浇捣的混凝土尾数只能有两车不足9m3，超出两车以上，按每车达不到9m3的差额部分，另向需方收取30元/m3空运费。</t>
  </si>
  <si>
    <t>2015年9月29付10万</t>
  </si>
  <si>
    <t>2015年10月30日付15万</t>
  </si>
  <si>
    <t>2015年第三季度调差</t>
  </si>
  <si>
    <t>2016年02月4日付30万元；</t>
  </si>
  <si>
    <t>2015年第四季度调差</t>
  </si>
  <si>
    <t>2016年第一季度调差</t>
  </si>
  <si>
    <t>2016年9月18日付8万</t>
  </si>
  <si>
    <t>2016年第二季度调差</t>
  </si>
  <si>
    <t>2017年1月21日付8万</t>
  </si>
  <si>
    <t>2017年5月11日付10万</t>
  </si>
  <si>
    <t>2017年8月29日付15万</t>
  </si>
  <si>
    <t>长泰合同合同编号：房建合（分）字（2015）239号</t>
  </si>
  <si>
    <t>合同金额：
6483500元</t>
  </si>
  <si>
    <t xml:space="preserve">C10 255  C15：265 C20：275 C25：285 C30：295 C35：305 C40：325 C45：350 C50：375  从2015年11月1日起 C30 288 ;从2016年12月10日起C30 50元 C30 338 </t>
  </si>
  <si>
    <t>备注：
一、抗渗砼P6-P8在原单价上另加收5元/m3；P10-P12在原单价上另加收10元/m3；
二、水下桩或坍落度超过180mm时在原单价上另加收15元/ m3；细石混凝土在原单价上另加收15元/ m3；
三、路面砼（包括耐磨层、球场、地坪、地面、道路、跑道、找平层或找坡层（除天面、屋面）在原单价上另加收10元/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七、掺膨胀剂(包括SY-K)：普通砼掺6%加30元/m3，掺8%加35元/m3，掺10%加40元/m3，掺12%加50元/m3，特殊混凝土价格双方另协商。若由需方提供膨胀剂(包括SY-K)，则供方收取加工费3元/m3</t>
  </si>
  <si>
    <t>地下室一层；2栋13层；2栋16层</t>
  </si>
  <si>
    <t>含税单价</t>
  </si>
  <si>
    <t>按公司提成规定；业务信息费16元/方；</t>
  </si>
  <si>
    <t>广州市菠萝山保障性住房项目（南区）标段一（L-8al-9al-15bl-16b)栋廉租房</t>
  </si>
  <si>
    <t>梁毅明</t>
  </si>
  <si>
    <t>蔡晓庆、林坚明</t>
  </si>
  <si>
    <t>当月货款的80%在次月20日前付清，主体结构封顶后一个月内付至95%,余下5%在主体结构验收之日起一个月内付清，否则，供方有权停止供货并且有权拒付技术资料，并追究需方违约责任。用支票支付货款的，抬头必须填写供方单位名称。如工地非供方原因导致停供，需方必须在最后一次结算之日起15天内将余款全部付清。逾期的按每日万分之五收取违约金。</t>
  </si>
  <si>
    <t>如遇市场单一原材料价格浮动超过+5%时，双方再协商一次单价。双方应在10天过渡期内协商一致调整混凝土价格：若双方协商不成，应于一个月内结算付清货款并解除本合同。</t>
  </si>
  <si>
    <t>还款计划</t>
  </si>
  <si>
    <t>2016年6月17日七月底付款到80%，八月份付款到90%，九月份预计全部结清。</t>
  </si>
  <si>
    <t>2015年12月29日付1070884元</t>
  </si>
  <si>
    <t>2016年01月21日付1585776元；</t>
  </si>
  <si>
    <t>2016年4月15日付838677.6元；</t>
  </si>
  <si>
    <t>2016年5月23日付823176元；</t>
  </si>
  <si>
    <t>2016年7月28付672900元</t>
  </si>
  <si>
    <t>2016年10月14日付110万</t>
  </si>
  <si>
    <t>2016年12月23日付10万</t>
  </si>
  <si>
    <t>2017年1月11月付30万+1月23日付30万</t>
  </si>
  <si>
    <t>2017年6月19日付20万</t>
  </si>
  <si>
    <t>2016.4.15</t>
  </si>
  <si>
    <t>泰兴合同编号：</t>
  </si>
  <si>
    <t>TX16-0309</t>
  </si>
  <si>
    <t>C15 214 C20 224 C25 234 C30 244 C35 259 C40 274 C45 294 C50 319 C55 349 C60 384 砂浆 417 从2016年7月26日上调12元；C30 256 ；从2016年12月12日上调50元；C30 306 砂浆 429</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</si>
  <si>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</si>
  <si>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鑫泰建设集团有限公司</t>
  </si>
  <si>
    <t>三栋住宅楼、一栋幼儿园、地上共9层；地下2层</t>
  </si>
  <si>
    <t>按公司规定提；6元/方；</t>
  </si>
  <si>
    <t>单位住宅楼工程（集资房）3幢（自编A、B、F栋）及幼儿园工程1幢</t>
  </si>
  <si>
    <t>史木奎</t>
  </si>
  <si>
    <t>洪献章、洪献金、黄章雄</t>
  </si>
  <si>
    <t>马楚湖</t>
  </si>
  <si>
    <t>当月货款次月20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三收取违约金。</t>
  </si>
  <si>
    <t>需方每批次浇捣的混凝土尾数只能有两车不足6m3，超出两车以上，按每车达不到6m3的差额部分，另向需方收取30元/m3空运费。</t>
  </si>
  <si>
    <t>2016年5月25日付20万</t>
  </si>
  <si>
    <t>2016年6月25日付15万</t>
  </si>
  <si>
    <t>2016年7月付40万（期票8.12）-延期8.19</t>
  </si>
  <si>
    <t>2016年8月3日付20万</t>
  </si>
  <si>
    <t>2016年9月23日付10万+9月24日付10万</t>
  </si>
  <si>
    <t>2016年10月22日付40万（期票11.5）</t>
  </si>
  <si>
    <t>2016年11月11日付50万（期票12.25）+11月17日付20万（期票12.2）</t>
  </si>
  <si>
    <r>
      <t>2017年1月16日付50万+100万（</t>
    </r>
    <r>
      <rPr>
        <b/>
        <sz val="12"/>
        <color indexed="10"/>
        <rFont val="宋体"/>
        <charset val="134"/>
      </rPr>
      <t>期票3.31-换票到4.17</t>
    </r>
    <r>
      <rPr>
        <b/>
        <sz val="12"/>
        <rFont val="宋体"/>
        <charset val="134"/>
      </rPr>
      <t>）</t>
    </r>
  </si>
  <si>
    <t>2017年6月23日付50万（期票8.13）</t>
  </si>
  <si>
    <t>2017年8月31日付288538元（期票9.20）</t>
  </si>
  <si>
    <t xml:space="preserve">TX16-0421  </t>
  </si>
  <si>
    <t xml:space="preserve">C15 230 C20 240 C25 250 C30 260 C35 275 C40 290 C45 310 C50 335 C55 365 C60 400 砂浆 按同次混凝土  从2016年12月10日起上调20元；C30 280 </t>
  </si>
  <si>
    <t>：
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七、掺膨胀剂：普通砼掺6%加35元/m3，掺8%加40元/m3，掺10%加45元/m3，掺12%加50元/m3，八、特殊混凝土价格双方另协商。</t>
  </si>
  <si>
    <t>广州市第一市政工程有限公司</t>
  </si>
  <si>
    <t>市政道路及5座人行天桥</t>
  </si>
  <si>
    <t>按公司规定提；业务信息费8元/方；</t>
  </si>
  <si>
    <t>南方钢厂一期保障性住房项目、南方钢厂二期保障性住房项目市政工程施工总承包</t>
  </si>
  <si>
    <t>黄总</t>
  </si>
  <si>
    <t>黄辉全</t>
  </si>
  <si>
    <t>黄楚文；增加黄辉全</t>
  </si>
  <si>
    <t xml:space="preserve">当月货款（当月为第一个月），第三个月25日前付清，否则，供方有权停止供货并且有权拒付技术资料，并追究需方违约责任。用支票支付货款的，抬头必须填写供方单位名称。收款时乙方同时向甲方提供有效合法发票，甲方支付该批次货款给供方（如遇法定节假日，时间可向后顺延）。
</t>
  </si>
  <si>
    <t>如遇市场单一原材料价格浮动超过+3%时，双方再协商一次单价。双方应在10天过渡期内协商一致调整混凝土价格：若双方协商不成，应于一个月内结算付清货款并解除本合同。</t>
  </si>
  <si>
    <t>2016年7月21日付103810元；</t>
  </si>
  <si>
    <t>2016年9月5日付81145元</t>
  </si>
  <si>
    <t>2016年12月27日付50760</t>
  </si>
  <si>
    <t>2017年9月6日付17680元</t>
  </si>
  <si>
    <t>TX16-0421</t>
  </si>
  <si>
    <t xml:space="preserve">C15 230 C20 240 C25 250 C30 260 C35 275 C40 290 C45 310 C50 335 C55 365 C60 400 砂浆 按同次混凝土 </t>
  </si>
  <si>
    <t>广州市工程总承包集团有限公司</t>
  </si>
  <si>
    <t>南方钢厂（二期）保障性住房项目施工总承包（标段四）</t>
  </si>
  <si>
    <t>黄楚文</t>
  </si>
  <si>
    <t>2016.12.26日写申请申请为含税单价</t>
  </si>
  <si>
    <t>2016年8月13日付153460元</t>
  </si>
  <si>
    <t>2016年12月27日付31185</t>
  </si>
  <si>
    <t>2016.5.13</t>
  </si>
  <si>
    <t>2016-HSCX-230</t>
  </si>
  <si>
    <t>工程地址：广州市白云区新华荔红中路；建筑规模：共有38个处理井及厂区道路</t>
  </si>
  <si>
    <t>C15 225 C20 235 C25 245 C30 255 C35 270 C40 285  C45 305 C50 325 砂浆300 从2016年12月15日至2017年1月31日 C30 300 从2017年2月1日起至2017年3月31日C30 290元；从2016.4.1起再协商。从2016年7月1日至9月30日止C30 290元结算；</t>
  </si>
  <si>
    <t>一、抗渗砼P6-P8在原单价上另加收5元/m3；P10-P12在原单价上另加收10元/m3；二、水下桩或坍落度超过180mm时在原单价上另加收15元/ m3；细石混凝土在原单价上另加收15元/ m3；三、路面砼（包括耐磨层、球场、地坪、地面、道路、跑道、车道、找平层或找坡层（除天面、屋面）在原单价上另加收5元/ m3；四、3天早强：≤C30混凝土达到70%加20元/m3；达到80%加25元/m3；达到90%加35元/m3；达到100%加45元/m3；≥C35混凝土强度值达到70%加25元/m3；达到80%加30元/m3；达到90%加40元/m3；达到100%加50元/m3。五、7天早强：≤C30混凝土强度值达到80%加10元/m3；达到90%加15元/m3；达到100%加25元/m3；≥C35混凝土强度值达到80%加15元/m3；达到90%加20元/m3；达到100%加30元/m3；六、清水或无粉煤灰（纯水泥）混凝土≤C35加25元/m3；≥C40加20元/m3；七、掺膨胀剂：普通砼掺6%加15元/m3，掺8%加20元/m3，掺10%加25元/m3，掺12%加30元/m3，八、30层以上或100米以上泵送混凝土单价在原单价上另加收18元/ m3；特殊混凝土价格双方另协商。C35抗折F5.0、C35路面抗折F5.0、C30抗折F5.0按C50普通混凝土单价结算。</t>
  </si>
  <si>
    <t>如市场单一原材料涨跌±5%时或供货期间广州市造价站公布的预拌混凝土综合价格与当季度的广州市造价站公布的预拌混凝土综合价格涨跌±3%时，双方按实际调整。</t>
  </si>
  <si>
    <t>38个污水处理厂（三期）工程</t>
  </si>
  <si>
    <t>C30P8掺8%SY-G膨胀剂资料费用收5元/方</t>
  </si>
  <si>
    <t>按业务提成率提；业务信息费18元/方；</t>
  </si>
  <si>
    <t>新华污水处理厂（三期）工程</t>
  </si>
  <si>
    <t>5万方</t>
  </si>
  <si>
    <t>陈钦来</t>
  </si>
  <si>
    <t>黄壮通、黄远成</t>
  </si>
  <si>
    <t>当月货款（当月为第一个月）第三个月25日前付80%，剩下20%于混凝土浇筑完毕三个月内结清，否则，供方有权停止供货并且有权拒付技术资料，并追究需方违约责任。用支票支付货款的，抬头必须填写供方单位名称。此工地不论什么原因导致停供，需方必须在最后一次供应砼之日（三个月）内将余款全部付清。逾期的按每日万分之五收取违约金。</t>
  </si>
  <si>
    <t xml:space="preserve">需方每批次浇捣的混凝土尾数只能有二车不足6m3，超出二车以上，按每车达不到6m3的差额部分，另向需方收取30元/m3空运费。
</t>
  </si>
  <si>
    <t>2016年8月24付1945950元</t>
  </si>
  <si>
    <t>2016年9月21日付1798060元；</t>
  </si>
  <si>
    <t>2016年11月3日付1322904元</t>
  </si>
  <si>
    <t>2016年12月16日付1215564元</t>
  </si>
  <si>
    <t>2017年1月17日付926116元</t>
  </si>
  <si>
    <t>（2017.1.5：收税金：10364.17元）</t>
  </si>
  <si>
    <t>2017年3月29日付777416元</t>
  </si>
  <si>
    <t>2017年6月7日付205666元</t>
  </si>
  <si>
    <t>2017年7月31日付227758元</t>
  </si>
  <si>
    <t>2016.3.17</t>
  </si>
  <si>
    <t>TX16-0217</t>
  </si>
  <si>
    <t>C15 210 C20 220 C25 230 C30 240 C35 255 C40 270  C45 290 C50 315 C55 345 C60 380 砂浆：按同批次混凝土 2016年12月15日至2016年12月31日起上调40元 C30 280元从2017年1月1日至30日上调40元；C30 280 从2017年2月1日起至3月31日上调40元；C30 280；从2017年4月1日至5月31日按C30 270 结算；从2016年6月1日至8月31日止C30 270元结算；</t>
  </si>
  <si>
    <t>一、抗渗砼P6-P8在原单价上另加收5元/m3；P10-P12在原单价上另加收10元/m3；二、水下桩或坍落度超过180mm时在原单价上另加收15元/ m3；细石混凝土在原单价上另加收15元/ m3；三、路面砼（包括耐磨层、球场、地坪、地面、道路、跑道、车道、找平层或找坡层（除天面、屋面）在原单价上另加收5元/ m3；四、3天早强：≤C30混凝土达到70%加20元/m3；达到80%加25元/m3；达到90%加35元/m3；达到100%加45元/m3；≥C35混凝土强度值达到70%加25元/m3；达到80%加30元/m3；达到90%加40元/m3；达到100%加50元/m3。五、7天早强：≤C30混凝土强度值达到80%加10元/m3；达到90%加15元/m3；达到100%加25元/m3；≥C35混凝土强度值达到80%加15元/m3；达到90%加20元/m3；达到100%加30元/m3；六、清水或无粉煤灰（纯水泥）混凝土≤C35加25元/m3；≥C40加20元/m3；七、掺膨胀剂：普通砼掺6%加35元/m3，掺8%加40元/m3，掺10%加45元/m3，掺12%加50元/m3，八、30层以上或100米以上泵送混凝土单价在原单价上另加收18元/ m3；特殊混凝土价格双方另协商。</t>
  </si>
  <si>
    <t>广东恒达建设工程有限公司</t>
  </si>
  <si>
    <t>该项目位于白云区嘉禾，总建筑面积为33874m3，其中感染楼地上9层，地下2层；医技楼地上6层地下2层；</t>
  </si>
  <si>
    <t>更改调差方式：</t>
  </si>
  <si>
    <t>以2016年第二季度税前信息价为基准，今后供货期间与2016年第二季度信息价对比，如单价有增加或减少元，则当季度的结算单价也相应增加或减少多少元。</t>
  </si>
  <si>
    <t>发票类型：5%</t>
  </si>
  <si>
    <t>广州市第八人民医院新址二期项目感染病住院楼、医技楼工程</t>
  </si>
  <si>
    <t xml:space="preserve"> 林巧玲 、刁兹花  增加 林楚杰</t>
  </si>
  <si>
    <t>当月货款（当月为第一个月），第三个月25日前付清，否则，供方有权停止供货并且有权拒付技术资料，并追究需方违约责任。用支票支付货款的，抬头必须填写供方单位名称。此工地不论什么原因导致停供，需方必须在最后一次供应砼之日起三个月内将余款全部付清。逾期的按每日万分之五收取违约金。</t>
  </si>
  <si>
    <t>2016年7月21日付14690元；</t>
  </si>
  <si>
    <t>2016年8月13日付53700元</t>
  </si>
  <si>
    <t>2016年10月26日付402600</t>
  </si>
  <si>
    <t>2016年12月7日付344300元</t>
  </si>
  <si>
    <t>2016年12月28日付414800元（期票1.16）</t>
  </si>
  <si>
    <t>2017年第四季度调差</t>
  </si>
  <si>
    <t>2017年1月24日付672100元</t>
  </si>
  <si>
    <t>2017年3月24日付676600元（期票4.30）+429400元（期票4.15）</t>
  </si>
  <si>
    <t>2017年6月付684225元</t>
  </si>
  <si>
    <t>2017年8月6日付706300元（期票8.20）</t>
  </si>
  <si>
    <t>2016.7.1</t>
  </si>
  <si>
    <t>长泰合同编号：TJ-CL-2016-150</t>
  </si>
  <si>
    <t>项目地址：广州市海珠区琶洲</t>
  </si>
  <si>
    <t>C15 225 C20 235 C25 245 C30 255 C35 270 C40 285 C45 305</t>
  </si>
  <si>
    <t xml:space="preserve">1.砼泵送砂浆单价按320元/立方执行。2、抗渗等级P6-8防水混凝土价格在同品种、标号价格基础上加 5  元/ m3；抗渗等级P10-12防水混凝土价格在同品种、标号价格基础上加  10  元/m3；水下砼（180-220mm）在同标号价格基础上加  10 元/m3；细石混凝土价格在同品种、标号价格基础上增加15 元/ m3。 
</t>
  </si>
  <si>
    <t>广州市泰基工程技术有限公司</t>
  </si>
  <si>
    <t>乙方供货期间如市场上该产品价格变动，并书面混凝土价格，根据 广州市建设工程造价管理信息网  （当地造价管理信息网）www.gzgczj.com（网站地址）公布的混凝土造价信息（造价管理站公布的价格），以合同签订时间（ 2016年第二季度）的普通C35混凝土的信息价格作为调价基准，双方对调整差价进行对帐、确认，信息价有调整但差价在±  3 元/方（含3元）范围以内的，不做调整；如果差价超出± 3  元/方范围的，双方根据信息价调整单价，差价在双方确认的当期一并支付。当季交易的混凝土价格调整的时间为第二个季度的第五天（即信息价公布后的时间），未到节点结算的，不予调价。</t>
  </si>
  <si>
    <t>琶洲A区AH040233地块基坑支护</t>
  </si>
  <si>
    <t>签约代表及联系电话</t>
  </si>
  <si>
    <t>陈经理</t>
  </si>
  <si>
    <t>当月交易货款在第三个月以 支票或银行转账 的形式支付（乙方提供正确的银行收款账户），每月30日乙方向甲方发出上月26日至本月25日供砼对账结算单（2016年6月25日至2016年7月25日为7月份货款，按甲方标准格式），甲方应在收到对账结算单7个工作日内签名签认，并在每月30 日前支付上上月混凝土货款100% (即2016年5月份的货款在2016年7月30日前支付），依次类推。如甲方逾期支付，乙方有权停止供货。</t>
  </si>
  <si>
    <t>每一批次只能有一车不足 9方（含方）的尾数，超出的车次加收100元/车。</t>
  </si>
  <si>
    <t>2016年7月25日至8月25日</t>
  </si>
  <si>
    <t>2016年8月26日至9月25日</t>
  </si>
  <si>
    <t>2016年9月26日至10月25日</t>
  </si>
  <si>
    <t>2016年11月4日付735835元</t>
  </si>
  <si>
    <t>2016年10月26日至11月26日</t>
  </si>
  <si>
    <t>2016年12月8日付444305元；</t>
  </si>
  <si>
    <t>2016年11月26日至12月27日</t>
  </si>
  <si>
    <t>2017年1月19日付206932.5元</t>
  </si>
  <si>
    <t>2017年3月7日付1800元</t>
  </si>
  <si>
    <t>长泰合同编号：</t>
  </si>
  <si>
    <t>恒盛合新字2016-025号</t>
  </si>
  <si>
    <t>C15 215 C20 225 C25 235 C30 245 C35 260 C40 275 C45 295 C50 320 C55 350 C60 385 砂浆 按同次混凝土 从2016年7月25日起上调10元；C30 255 从2016年12月10日起上调30元/方；C30 285</t>
  </si>
  <si>
    <t xml:space="preserve">
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</si>
  <si>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广州市恒盛建设工程有限公司</t>
  </si>
  <si>
    <t>项目为对占地面积约65000平方米的动物园进行升级改造，主体为钢筋混凝土钢箱梁结构、框架结构.</t>
  </si>
  <si>
    <t>介绍款5元/方</t>
  </si>
  <si>
    <t>广州动物园升级改造工程</t>
  </si>
  <si>
    <t>赵工</t>
  </si>
  <si>
    <t>吴贻升、曾敏健</t>
  </si>
  <si>
    <t>先付款后供货，否则，供方有权停止供货并且有权拒付技术资料，并追究需方违约责任。</t>
  </si>
  <si>
    <t>如遇市场单一原材料价格浮动超过正负3%时，双方再协商一次单价。双方应在10天过渡期内协商一致混凝土价格：若双方协商不成，应于一个月内结算付清货款并解除合同。</t>
  </si>
  <si>
    <t>2015年3月28日付10万元；</t>
  </si>
  <si>
    <t>2016年4月18日付20万；2016年4月29日付20万</t>
  </si>
  <si>
    <t>2016年5月27日付27万</t>
  </si>
  <si>
    <t>2016年6月24日付40万</t>
  </si>
  <si>
    <t>2016年7月20日付15万</t>
  </si>
  <si>
    <t>8月10日付10万+8月30日付10万</t>
  </si>
  <si>
    <t>2016年9月24日付20万</t>
  </si>
  <si>
    <t>砂浆</t>
  </si>
  <si>
    <t>2016年10月25日付10万</t>
  </si>
  <si>
    <t>2016年11月22日付10万</t>
  </si>
  <si>
    <t>2016年12月16日付49950元</t>
  </si>
  <si>
    <t>2017年3月10日付10万</t>
  </si>
  <si>
    <t>2017年4月11日付10万</t>
  </si>
  <si>
    <t>2017年8月23日付50060元</t>
  </si>
  <si>
    <t>2017年8月50060元</t>
  </si>
  <si>
    <t>长兴合同编号：无</t>
  </si>
  <si>
    <t>普通砼结算单价（泵送砼在普通的单价基础上增加6元/方）</t>
  </si>
  <si>
    <t xml:space="preserve">C15 217 C20 227 C25 237 C30 247 C35 260 C40 277 C45 297 C50 317 C55 338 C60 365 润泵砂浆 360 </t>
  </si>
  <si>
    <t>1、抗渗等级 P6-P8加 5元/m3，P10-P12加收8元/m3；2、水下砼加  15  元/m3；3、普通早强砼加收  10  元/m3（7天早强）；4、路面不加灰砼加收    15 元/m3；5、瓜米石砼加收  15  元/m3；6、微膨加 35 元/m3，微膨砼如甲方提供微膨剂则乙方只收取加工费 8 元/m3；普通砼的塌落度为120mm及以下，塌落度超过120mm按泵送砼计价。</t>
  </si>
  <si>
    <t>本工程价差调整的方式，按当季广州地区信息价（季度）调整幅度进行调整。具体为：以签订本合同当季度《广州地区建设工程常用材料综合价格》中的商品混凝土材料价为基准价，每季度按照信息价调整幅度来调整结算价。如：合同价为320元/m³，当季度信息价为350元/m³，到付款时信息价变为360元/m³，则结算单价调整为320+320*（360-350）/350=329元/m³。</t>
  </si>
  <si>
    <t>广东上城建设有限公司</t>
  </si>
  <si>
    <t>芳村大道中荔湾区上市路恒荔湾畔北门对面万科工地，余亮，13535557455</t>
  </si>
  <si>
    <r>
      <t>建筑面积：约4.3万</t>
    </r>
    <r>
      <rPr>
        <sz val="12"/>
        <rFont val="宋体"/>
        <charset val="134"/>
      </rPr>
      <t>㎡</t>
    </r>
    <r>
      <rPr>
        <sz val="12"/>
        <rFont val="楷体_GB2312"/>
        <family val="3"/>
        <charset val="134"/>
      </rPr>
      <t>，建筑高度约78米 ，项目介绍：地块共1栋塔楼，地面为18层，地下室2层。首层为商业，标准层均为公寓，顶上三层为酒店式公寓。首层5米高，2-14层为4.5米层高，15层为1.5米层高，16-18层为4.5米层高。框架剪力墙结构。</t>
    </r>
  </si>
  <si>
    <t>广州万科新隆沙项目</t>
  </si>
  <si>
    <t>蔡工</t>
  </si>
  <si>
    <t>余亮</t>
  </si>
  <si>
    <t>1、进度款：每月支付一次，支付比例为当期供货款的70%。乙方应在每月30日前上报当月完成工程进度款申报表，经过甲方审核后在次月30日左右（遇节假日顺延）支付到乙方指定账户。2、结算款：施工标段内主体结构工程封顶后：一个月内付至总货款的80%，三个月内付至总货款的90%，10%余款在本工程竣工验收（以获取政府部门颁发的竣工验收合格报告为准）完成二个月内付清。3、每次支付进度款时，同时结清当期水电费、扣款、违约金、奖金、变更签证结算款等所有往来价款（如有发生）。同时，进度款付款比例与乙方供货质量、配合度等挂钩，甲方有权暂扣乙方部分进度款要求乙方改进。</t>
  </si>
  <si>
    <t>甲方要求乙方供应的混凝土每天（每批次）可以有2车不足5m3（不包括润泵砂浆那车），如超出的车数，甲方应按每车支付100元的运费补偿给乙方。</t>
  </si>
  <si>
    <t>3月税金</t>
  </si>
  <si>
    <t>4月税金</t>
  </si>
  <si>
    <t>5月税金</t>
  </si>
  <si>
    <t>2016年6月30日付440542.46元</t>
  </si>
  <si>
    <t>6月税金</t>
  </si>
  <si>
    <t>2016年7月21日付584531.9元</t>
  </si>
  <si>
    <t xml:space="preserve">7月税金 </t>
  </si>
  <si>
    <t>2016年8月24日付757404.64元</t>
  </si>
  <si>
    <t>2016年9月22日付550724.84元</t>
  </si>
  <si>
    <t>2016年10月25日付494376.81元</t>
  </si>
  <si>
    <t>2016年11月1日至2016年12月15日</t>
  </si>
  <si>
    <t>2016年11月24日付586622.44元；</t>
  </si>
  <si>
    <t>2017年1月1日至10日</t>
  </si>
  <si>
    <t>2017年1月10日至5月30日</t>
  </si>
  <si>
    <t>2016年11月23日付164022.97元</t>
  </si>
  <si>
    <t>第一次走ABS付款明细：</t>
  </si>
  <si>
    <t>2017年1月16日付629908.60元</t>
  </si>
  <si>
    <t>2017年3月16日付336428.61元</t>
  </si>
  <si>
    <t>2017年8月4日付700282.03元；2017年8月8日付653009.99元</t>
  </si>
  <si>
    <t>第二次走ABS付款明细</t>
  </si>
  <si>
    <t>2017年8月29日付700939.3元；+234440.59元；</t>
  </si>
  <si>
    <t>第三次走ABS付款明细</t>
  </si>
  <si>
    <t>2016.04.15</t>
  </si>
  <si>
    <t>CX16-0418/GDY52016-第005号</t>
  </si>
  <si>
    <t>结算单价（按信息价调）</t>
  </si>
  <si>
    <t>C15 220 C20 230 C25 240 C30 250 C35 260 C40 275 C45 295 砂浆300 2016年12月15日至2016年12月31日上调40元；C30 290；2017年1月1日；C30 290 （以后按此固定价结算）</t>
  </si>
  <si>
    <t>一、抗渗砼P6-P8在原单价上另加收5元/m3；P10-P12在原单价上另加收10元/m3；
二、水下桩或坍落度超过220mm时在原单价上另加收15元/ m3；细石混凝土在原单价上另加收10元/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七、掺膨胀剂：普通砼掺6%加15元/m3，掺8%加20元/m3，掺10%加25元/m3，掺12%加30元/m3，如需方自行购买膨胀剂及派人添加，供方只收3元/m3费用。
八、30层以上或100米以上泵送混凝土单价在原单价上另加收18元/ m3；特殊混凝土价格双方另协商。</t>
  </si>
  <si>
    <t xml:space="preserve">广东省第一建筑工程有限公司 </t>
  </si>
  <si>
    <t>按照广州市材料信息网为准，参考签订合同时间（2016年第二季度）的信息价格，价格有 ±3% 涨幅的按信息价进行调整，每季度双方对调整差价进行对账确认，差价在双方确认的当期一并支付。</t>
  </si>
  <si>
    <t>芳村高尔夫球场地块土地储备项目--公建及教育配套工程（第1标段）</t>
  </si>
  <si>
    <t>1万</t>
  </si>
  <si>
    <t>8%SY-G型膨胀剂支付8元/方；</t>
  </si>
  <si>
    <t>按公司提成提；业务信息费12元/方；</t>
  </si>
  <si>
    <t>当月（即第一个月）货款在第三个月30日内付清。否则，供方有权停止供货并且有权拒付技术资料，并追究需方违约责任。用支票支付货款的，题头必须填写供方单位名称。此工地不论什么原因导致停供，需方必须在最后一次供应砼之日起90天内将余款全部付清。
支付方式：支票或汇款</t>
  </si>
  <si>
    <t>需方每批次浇捣的混凝土尾数只能有二车不足7m3，超出二车以上，按每车达不到7m3的差额部分，另向需方收取30元/m3空运费。</t>
  </si>
  <si>
    <t xml:space="preserve"> 李天亮 、  林杰 </t>
  </si>
  <si>
    <t>2016年8月13日付219175元</t>
  </si>
  <si>
    <t>2016年9月22日付40万</t>
  </si>
  <si>
    <t>2016年11月12日付676820元</t>
  </si>
  <si>
    <t>2016年12月19日付292945元</t>
  </si>
  <si>
    <t>2016年12月22日付339140元（期票12.31）</t>
  </si>
  <si>
    <t>2017年1月23日付715745元</t>
  </si>
  <si>
    <t>2017年付1140948元（期票5.31）3月30日付666655元（期票5.29）</t>
  </si>
  <si>
    <t>2017年5月4日付40万</t>
  </si>
  <si>
    <t>2017年6月30日付付2940102.57（9.29）</t>
  </si>
  <si>
    <t>2016.6.10</t>
  </si>
  <si>
    <t>CT16-0107</t>
  </si>
  <si>
    <t>C15 220 C20 230 C25 240 C30 250 C35 260 C40 275 C45 295  C50 320 C55 350 C60 385 砂浆按同批次混凝土 从2016年12月15起2016年12.31日起上调40元；C30 290 从2017年1月1日至30日上调40元；C30 290；从2017年2月1日至3月30日起上调30元；C30 280</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</si>
  <si>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五、7天早强：≤C30混凝土强度值达到80%加10元/m3；达到90%加15元/m3；达到100%加25元/m3；≥C35混凝土强度值达到80%加15元/m3；达到90%加20元/m3；达到100%加30元/m3；C60七天早强达100%在原等级单价上增加100元/m3；.
六、清水或无粉煤灰（纯水泥）混凝土≤C35加25元/m3；≥C40加20元/m3；
七、掺膨胀剂：普通砼掺6%加35元/m3，掺8%加40元/m3，掺10%加45元/m3，掺12%加50元/m3，特殊混凝土价格双方另协商。</t>
  </si>
  <si>
    <t>广东宇晟建设工程有限公司</t>
  </si>
  <si>
    <t>价格调整：按照广州市材价网公布的混凝土造价信息（造价管理站公布的价格）为准，以合同签订时间（2016年第二季度）的信息价格为基准；信息价有调整的，按信息价进行调整，每季度双方对调整差价进行对账，确认。差价在双方确认的当期一并支付。</t>
  </si>
  <si>
    <t>广州市白云区太和镇医院扩建工程一期住院楼项目（住院楼1幢及污水处理站1幢）</t>
  </si>
  <si>
    <t>1万方</t>
  </si>
  <si>
    <t>签约代表联系电话</t>
  </si>
  <si>
    <t>太和中路；地下室一层，地上十层</t>
  </si>
  <si>
    <t>提成1元/方；业务信息费12元</t>
  </si>
  <si>
    <t>当月货款第三个月30日前付清（当月为第一个月），否则，供方有权停止供货，并追究需方违约责任。用支票支付货款的，抬头必须填写供方单位名称。此工地不论什么原因导致停供，需方必须在最后一次供应砼之日起三个月内将余款全部付清。逾期的按每日万分之五收取违约金。</t>
  </si>
  <si>
    <t>/</t>
  </si>
  <si>
    <t>郑光德、陈响清</t>
  </si>
  <si>
    <t>2016年11月10日付40万（期票12.15）</t>
  </si>
  <si>
    <r>
      <t>2017年2月20付30万（期票3.31-延期4.5）；付20万（期票4.30）</t>
    </r>
    <r>
      <rPr>
        <b/>
        <sz val="11"/>
        <color indexed="10"/>
        <rFont val="宋体"/>
        <charset val="134"/>
      </rPr>
      <t>付30万（期票6.25）</t>
    </r>
  </si>
  <si>
    <t>2017年4月13日付210581元；（期票6.25）</t>
  </si>
  <si>
    <t>2016.5.20</t>
  </si>
  <si>
    <t xml:space="preserve">TX16-0727        </t>
  </si>
  <si>
    <t xml:space="preserve">C15 210 C20 220 C25 230 C30 240 C35 255 C40 270 C45 290 C50 315 砂浆 按同批次混凝土 从2016年7月15日上调20元 C30 260 从2016年12月10日起上调30元；C30 290 </t>
  </si>
  <si>
    <t>广东金辉华集团有限公司</t>
  </si>
  <si>
    <t xml:space="preserve">本项目管线起点为华南三期快速路，终点至北二环收费站，主要建设内容为DN1800及DN1000供水主干管的敷设约8735m及交通疏解方案的编制和实施工作。 
</t>
  </si>
  <si>
    <t>按公司规定提；业务信息费5元/方</t>
  </si>
  <si>
    <t>新广从路DN1800~DN1000供水管网改造工程(北部水厂配套管网)第二标段(k6+660~K11+235）</t>
  </si>
  <si>
    <t>李少忠</t>
  </si>
  <si>
    <t>李辉和、李少勇</t>
  </si>
  <si>
    <t>当月货款（当月为第一个月）第三个月30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</si>
  <si>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需方每批次浇捣的混凝土尾数只能有二车不足8m3，超出二车以上，按每车达不到8m3的差额部分，另向需方收取30元/m3空运费。</t>
  </si>
  <si>
    <t>2016年11月16日付56610元（期票12.16-延期至2016.12.19）</t>
  </si>
  <si>
    <t>2017年7月13日付2万元（期票8.10）</t>
  </si>
  <si>
    <t>CT16-1001</t>
  </si>
  <si>
    <t>C15 233  C20 242 C25 249 C30 255 C35 266 C40 275 C45 286 C50 296 C55 311 C60 326 从2016年12月15日至2016.12.31日起，C30 300；从2017年1月1日至2017年2月28日 C30 290；从2017年3月1日起 C30 255</t>
  </si>
  <si>
    <t>一、润泵砂浆单价为320元/m3；
二、抗渗砼P6-P8在原单价上另加收5元/m3；P10-P12在原单价上另加收10元/m3；
三、水下桩或坍落度超过180mm时在原单价上另加收15元/ m3；细石混凝土在原单价上另加收15元/ m3；
四、路面砼（包括耐磨层、球场、地坪、地面、道路、跑道、车道、找平层或找坡层（除天面、屋面）在原单价上另加收5元/ m3；
五、3天早强：≤C30混凝土达到70%加20元/m3；达到80%加25元/m3；达到90%加35元/m3；达到100%加45元/m3；≥C35混凝土强度值达到70%加25元/m3；达到80%加30元/m3；达到90%加40元/m3；达到100%加50元/m3。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七、掺膨胀剂：普通砼掺6%加35元/m3，掺8%加40元/m3，掺10%加45元/m3，掺12%加50元/m3，八、特殊混凝土价格双方另协商。</t>
  </si>
  <si>
    <t>上海东辰工程建设有限公司</t>
  </si>
  <si>
    <t>上表中单价为每月暂定结算单价，实际结算单价以供货过程中当季度广州市建设工程造价管理站公布的《广州地区建设工程常用材料综合价格》预拌混凝土税前价格表中对应各强度等级泵送混凝土单价下浮25％进行结算。每季度调整一次单价，调整的货款在当月扣减或付清。</t>
  </si>
  <si>
    <t>龙湖天宸原著二期工程</t>
  </si>
  <si>
    <t>李俊锋</t>
  </si>
  <si>
    <t>按公司规定业务员提成提；业务信息费8元/方；</t>
  </si>
  <si>
    <t xml:space="preserve">当月货款（当月为第一个月）于第三个月30日前付70%，单栋工程主体结构封顶六个月内支付至总供货款的80%，余下20%于单栋主体结构封顶一年内付清（如2018年6月30日前主体结构未封顶的，视为已封顶）。否则，供方有权停止供货，并追究需方违约责任。用支票支付货款的，抬头必须填写供方单位名称。此工地不论什么原因导致停供，需方必须在最后一次供应砼之日起三个月内将余款全部付清。                   </t>
  </si>
  <si>
    <t>雷顺雄、杨伟棠</t>
  </si>
  <si>
    <t>2017年1月23日付138万</t>
  </si>
  <si>
    <r>
      <t>2017年4月28日付4万（汇票到期日6.14）付50万（汇票到期日6.21）9万（汇票到期日7.4）50万（汇票到期日7.5）5万（汇票到期日7.10）10万（汇票到期日7.6）15万（汇票到期日7.11）5万（汇票到期日7.17）5万（汇票到期日7.22）5万+369348.88元（汇票到期日7.23）5万元（汇票到期日7.24）56000元（汇票到期日7.26）271399元（汇票到期日8.16）268000元（汇票到期日8.21）8万元（汇票到期日9.6）40万元（汇票到期日9.10）</t>
    </r>
    <r>
      <rPr>
        <b/>
        <sz val="10"/>
        <color indexed="10"/>
        <rFont val="宋体"/>
        <charset val="134"/>
      </rPr>
      <t>共3074747.88元</t>
    </r>
  </si>
  <si>
    <t>2017年8月15日付150万元</t>
  </si>
  <si>
    <t>CT16-102902</t>
  </si>
  <si>
    <t>C15 245 C20 255 C25 265 C30 275 C35 285 砂浆 320 从2016年12月12日上调40元；C30 315 从2017年3月1日起下调15元；C30 300</t>
  </si>
  <si>
    <t>汕头市达濠建筑总公司</t>
  </si>
  <si>
    <t>、如遇市场单一原材料价格浮动超过+10元时，双方再协商调整单价。双方应在10天过渡期内协商一致调整混凝土价格：若双方协商不成，应于一个月内结算付清货款并解除本合同。</t>
  </si>
  <si>
    <t>中国人民解放军92390部队6664号工程</t>
  </si>
  <si>
    <t>10元/方</t>
  </si>
  <si>
    <t>（当月为第一个月）当月货款于第二个月20日内支付80%，余款20%于第三个月20日内付清，以此类推。否则，供方有权停止供货并且有权拒付技术资料，并追究需方违约责任。用支票支付货款的，抬头必须填写供方单位名称。此工地不论什么原因导致停供，需方必须在最后一次供应砼之日起15天内将余款全部付清。</t>
  </si>
  <si>
    <t>需方每批次浇捣的混凝土尾数只能有二车不足9m3，超出二车以上，按每车达不到9m3的差额部分，另向需方收取30元/m3空运费。</t>
  </si>
  <si>
    <t>郑东辉、黄宁丰</t>
  </si>
  <si>
    <t>2016年12月13日付60410元；</t>
  </si>
  <si>
    <t>2017年1月10日付88092.5元</t>
  </si>
  <si>
    <t>2017年2月28日付91445元；</t>
  </si>
  <si>
    <t>2017年4月14日付89895元</t>
  </si>
  <si>
    <t>2017年5月18日付32140元</t>
  </si>
  <si>
    <t>2017年6月30日付78720元</t>
  </si>
  <si>
    <t>CT16-</t>
  </si>
  <si>
    <t>汕头市潮阳第一建筑工程公司</t>
  </si>
  <si>
    <t>建筑规模：地下室二层，两栋12层，两栋六层；占地面1.5平方米。</t>
  </si>
  <si>
    <t>科学城香山路道路改造工程</t>
  </si>
  <si>
    <t>2017.3.13</t>
  </si>
  <si>
    <t>长泰合同编号：穗建三（2017）年砼字0302号</t>
  </si>
  <si>
    <t>2016.12.15</t>
  </si>
  <si>
    <t xml:space="preserve">C15 270 C20 280 C25 290 C30 300 C35 315 C40 330 C45 350 C50 375 C55 405 C60 440 砂浆340 </t>
  </si>
  <si>
    <t>10-P12增加 10 元/m3。
2、砂浆 340 元/m3。
3、坍落度要求超过180mm时(不含水下砼)，则另增加 10元/m3的材料费用。4、水下砼增加 15 元/m3。5、早强砼加20元；细石砼加15元；</t>
  </si>
  <si>
    <t>广州市第三建筑工程有限公司</t>
  </si>
  <si>
    <t>建筑规模：位于大学城中轴线北区地段；共四栋、地上17层；地下三层；四万平方米</t>
  </si>
  <si>
    <t>当混凝土市场价格发生变化时，经供需双方协商以书面形式确认后再作调整，上述单价应随之变化，在书面确认之前所供混凝土仍按上述单价执行。</t>
  </si>
  <si>
    <t>小谷围大学城公租房项目施工总承包（标段二）</t>
  </si>
  <si>
    <t>按公司规定提；业务提成费8元</t>
  </si>
  <si>
    <t>当月货款于次月第三个月付80%，余下20%于单栋主体结构封顶三个月内付清。</t>
  </si>
  <si>
    <t>林锦耿、赵婵平</t>
  </si>
  <si>
    <t>2017年6月6日付1326450元</t>
  </si>
  <si>
    <t>2017年7月2日1061785元</t>
  </si>
  <si>
    <t>长兴合同编号：穗建三（2017）年砼字  号</t>
  </si>
  <si>
    <t xml:space="preserve">C15 257 C20 267 C25 274 C30 282 C35 292 C40 304 C45 315 C50 326 C55 342 C60 358 </t>
  </si>
  <si>
    <t xml:space="preserve">  p6-p8 加5元/方；10-P12增加 10 元/m3。
2、砂浆 340 元/m3。
3、坍落度要求超过180mm时(不含水下砼)，则另增加 10元/m3的材料费用。4、水下砼增加 15 元/m3。5、早强砼加20元；细石砼加15元；</t>
  </si>
  <si>
    <t>表中单价为每月暂定结算单价，实际结算单价以供货过程中当季度广州市建设工程造价管理站公布的《广州地区建设工程常用材料综合价格》预拌混凝土税前价格表中对应各强度等级泵送混凝土单价下浮19％进行结算。每季度调整一次单价，调整的货款在当月扣减或付清。</t>
  </si>
  <si>
    <t>（当月为第一个月）当月货款于第三个月30日内支付80％的砼货款；预留20%作为保留金并在最后一次供砼之日起计一个月内付清，以此类推，同时供方提供砼28天强度报告，此项目如因需方原因导致停工的，则从停工之日起一个月内付清所有货款。如需方未按上述约定逾期付款的，供方有权停止供货并拒付资料。</t>
  </si>
  <si>
    <t xml:space="preserve">累计生产方量(m3)  </t>
  </si>
  <si>
    <t>广东省建筑工程集团有限公司</t>
  </si>
  <si>
    <t>小谷围大学城公租房项目施工总承包（标段一）</t>
  </si>
  <si>
    <t>C15 260 C20 270 C25 278 C30 285 C35 296 C40 307 C45 319 C50 330 C30水下 300 微膨胀C40 352 c35P6-P8 301</t>
  </si>
  <si>
    <t>C25以上有抗渗要求的，P6-P8增加5元/m3，P10-P12增加10元/m3。
2、水下混凝土增加15元/m3，细石混凝土增加15元/m3。
3、掺加6%~8%微膨胀剂，增加35元/m3，掺加10%~12%微膨胀剂，增加45元/m3。
4、3天 早强增加30元/m3，5天早强增加20元/m3，7天早强增加10元/m3。
5、润泵砂浆每立方300元/m3，特别要求的砂浆、面层砂浆另议。
6、路面砼（包括耐磨层、球场、地坪、地面、道路、跑道、车道、找平层或找坡层（除天面、屋面）在原单价上另加收10元/ m3；
7、不掺粉煤灰、有抗折要求和掺特殊材料的混凝土，价格另议。</t>
  </si>
  <si>
    <t xml:space="preserve">广州市房屋开发建设有限公司  </t>
  </si>
  <si>
    <t>表中单价为每月暂定结算单价，实际结算单价以供货过程中当季度广州市建设工程造价管理站公布的《广州地区建设工程常用材料综合价格》预拌混凝土税前价格表中对应各强度等级泵送混凝土单价下浮18％进行结算。每季度调整一次单价，调整的货款在当月扣减或付清。</t>
  </si>
  <si>
    <t>小谷围大学城公租房项目施工总承包（标段三）</t>
  </si>
  <si>
    <t>35000立方</t>
  </si>
  <si>
    <t>郑总13808891011</t>
  </si>
  <si>
    <t>按公司规定提；业务信息费8元/方</t>
  </si>
  <si>
    <t>当月货款（当月为第一个月）于第三个月30日前付80%，余下20%于最后一次供应砼之日起90天内将余款全部付清。</t>
  </si>
  <si>
    <t xml:space="preserve"> 郑海松 电话： 13710679558  郑洪昌 电话： 13531681466  </t>
  </si>
  <si>
    <t xml:space="preserve">林凯鑫 </t>
  </si>
  <si>
    <t>2017年8月28日付150万</t>
  </si>
  <si>
    <t>长  合同编号：</t>
  </si>
  <si>
    <t>广州工程总承包集团有限公司</t>
  </si>
  <si>
    <t>无</t>
  </si>
  <si>
    <t>广州市第一中学初中部教学楼</t>
  </si>
  <si>
    <t>2017年8月24日付16845元</t>
  </si>
  <si>
    <t>2016.12.1</t>
  </si>
  <si>
    <r>
      <t>长泰合同编号：TJ-CL-2016-1201</t>
    </r>
    <r>
      <rPr>
        <b/>
        <sz val="12"/>
        <color indexed="10"/>
        <rFont val="楷体_GB2312"/>
        <family val="3"/>
        <charset val="134"/>
      </rPr>
      <t>5.1签定三方协议，由长兴站供货。</t>
    </r>
  </si>
  <si>
    <t>工程地址：天河区科韵路</t>
  </si>
  <si>
    <t>C20 268 C25 278 C30 288 从2016年12月15日起上调40元/方；C30 328</t>
  </si>
  <si>
    <t xml:space="preserve">1、砼泵送砂浆单价按  320 元/立方执行。
2、抗渗等级P6-8防水混凝土价格在同品种、标号价格基础上加  5  元/ m3；抗渗等级P10-12防水混凝土价格在同品种、标号价格基础上加   10   元/m3；水下砼（180-220mm）在同标号价格基础上加  15   元/m3；细石混凝土价格在同品种、标号价格基础上增加      15元/ m3。 </t>
  </si>
  <si>
    <t>双方同意根据 广州市建设工程造价管理信息网（当地造价管理信息网）www.gzgczj.com（网站地址） 公布的   广州市  混凝土造价信息（造价管理站公布的价格），以合同签订时间（ 2016 年 第 四 季度）的   C30  的信息价格作为调价基准，信息价有调整的，按信息价进行调整，每季度双方对调整差价进行对帐、确认，差价在双方确认的当期一并支付。信息价有调整但差价在± 3 元/方（含 3 元）范围以内的，不做调整；如果差价超出±  3  元/方范围的做出相应调整。当季交易的混凝土价格调整的时间为第二个季度的第五天（即信息价公布后的时间），未到节点结算的，不予调价。</t>
  </si>
  <si>
    <t>小东景基坑支护工程</t>
  </si>
  <si>
    <t>陈总</t>
  </si>
  <si>
    <t>当月交易货款在第三个月以 支票或银行转账 的形式支付（乙方提供正确的银行收款账户），每月30日乙方向甲方发出上月26日至本月25日供砼对账结算单（2016年12月26日至2017年1月25日为1月份货款，按甲方标准格式），甲方应在收到对账结算单7个工作日内签名盖章签认，并在每月30 日前支付上月混凝土货款100% (即2016年1月份的货款在2016年3月30日支付），依次类推。如甲方逾期支付，乙方有权停止供货。</t>
  </si>
  <si>
    <t>。每一批次只能有一车不足 8方的尾数，超出的车次加收 100 元/车。</t>
  </si>
  <si>
    <t>龙超</t>
  </si>
  <si>
    <t>潘载果</t>
  </si>
  <si>
    <t>2016.11.26-12.25</t>
  </si>
  <si>
    <t>2016.12.26-2017.1.25</t>
  </si>
  <si>
    <t>2017年3月7日付560301元</t>
  </si>
  <si>
    <t>2017.1.26-2017.2.25</t>
  </si>
  <si>
    <t>2017.2.26-2017.3.25</t>
  </si>
  <si>
    <t>2017年3月22日付336462元</t>
  </si>
  <si>
    <t>2017.3.26-2017.4.25</t>
  </si>
  <si>
    <t>2017.4.26-2017.5.25</t>
  </si>
  <si>
    <t>2017.5.26-2017.6.25</t>
  </si>
  <si>
    <t>2017.6.26-2017.7.25</t>
  </si>
  <si>
    <t>2017年8月3日付93016元</t>
  </si>
  <si>
    <r>
      <t>长泰合同编号：</t>
    </r>
    <r>
      <rPr>
        <b/>
        <sz val="12"/>
        <color indexed="10"/>
        <rFont val="楷体_GB2312"/>
        <family val="3"/>
        <charset val="134"/>
      </rPr>
      <t>长兴合同编号：房建合（分）字（2017）282号</t>
    </r>
  </si>
  <si>
    <t>房建合（分）字（2017）54号</t>
  </si>
  <si>
    <t>2017.1.15至2017.7.30</t>
  </si>
  <si>
    <t>C10 260 C15 270 C20 280 C25 290 C30 300 C35 315 C40 330 C45 350 C50 375 C55 405 C60 440</t>
  </si>
  <si>
    <t>抗渗加5元；细石加15元；路面10元</t>
  </si>
  <si>
    <t>业主出料部分</t>
  </si>
  <si>
    <t xml:space="preserve">广州市仁润投资咨询有限公司 </t>
  </si>
  <si>
    <t>如遇混凝土市场价格浮动±5%时，上述单价应随之变化，并经甲乙双方协商以书面形式（混凝土补充协议）确认后再作调整。</t>
  </si>
  <si>
    <t>广州市菠萝山保障性住房项目（南区）标段四1栋5 层小学（C-5）工程</t>
  </si>
  <si>
    <t>4380.13方；金额1312432.9元</t>
  </si>
  <si>
    <t>蔡晓庆（联系电话：18928703245）</t>
  </si>
  <si>
    <t>按公司规定；业务信息费8元/方；</t>
  </si>
  <si>
    <t>广州市菠萝山保障性住房项目</t>
  </si>
  <si>
    <t>当月货款于第三个月20日前付清。</t>
  </si>
  <si>
    <t>赵金培</t>
  </si>
  <si>
    <r>
      <t>赵金培、王永生</t>
    </r>
    <r>
      <rPr>
        <sz val="12"/>
        <color indexed="10"/>
        <rFont val="楷体_GB2312"/>
        <family val="3"/>
        <charset val="134"/>
      </rPr>
      <t>长兴结算：梁毅明、蔡晓庆</t>
    </r>
  </si>
  <si>
    <t>每一批次只能有一车不足6方（含6方）的尾数，超出的车次加收100元/车，且单独一批次少于6方（含6方）的加收100元/车。</t>
  </si>
  <si>
    <t>2016年12月1日至1月13日</t>
  </si>
  <si>
    <t>2017.1.14至2017.1.30</t>
  </si>
  <si>
    <t>2017年3月6日付291705元</t>
  </si>
  <si>
    <t>2017年5月23日付585040元</t>
  </si>
  <si>
    <t>2017年7月31日付457632.5元</t>
  </si>
  <si>
    <t>2017.1.1</t>
  </si>
  <si>
    <t>长泰合同编号：SLG-GX-2017-01</t>
  </si>
  <si>
    <t>2017.1.5</t>
  </si>
  <si>
    <t>水下桩、水闸</t>
  </si>
  <si>
    <t xml:space="preserve">C15 310 C20 320 C25 330 C30 340 C35 355 C40 370 C45 390 C50 415 C55 445 从2017年3月1日起下浮20元；C30 320 </t>
  </si>
  <si>
    <t>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</si>
  <si>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广东水电二局股份有限公司广州市海珠区石榴岗河水闸重建工程项目经理部</t>
  </si>
  <si>
    <t>在合同期内如遇混凝土原材料价格波动或遇国家有关政策调整时，经供方书面通知需方，供需双方应在调价通知发出之日起五天内达成调整意见。如双方对单价调整达成一致意见，应执行新单价，并由需方指定的单价确认人代表在调价通知书上签字确认才能生效；如双方在五天内未能确定混凝土价格或协商不成，可提前五天通知对方解除本合同。</t>
  </si>
  <si>
    <t>广州市海珠区石榴岗河水闸重建工程</t>
  </si>
  <si>
    <t>9000方 ; 合同暂定价3247000元</t>
  </si>
  <si>
    <t>决经理</t>
  </si>
  <si>
    <t>按公司规定；业务信息费15元（含地材费）</t>
  </si>
  <si>
    <t>第三个月底结算第一个月混凝土款的80%，第四个月结算第二个月混凝土款的80%，依次类推。余款20%工程最后一次供货之日起60天内结清。</t>
  </si>
  <si>
    <t>钟万机（159186444068）</t>
  </si>
  <si>
    <t>郑建勋13602888288</t>
  </si>
  <si>
    <t>需方每批次浇捣的混凝土尾数只能有二车不足7m3，按每车达不到7m3的差额部分，另向需方收取30元/m3空运费。</t>
  </si>
  <si>
    <t>业务信息费5元</t>
  </si>
  <si>
    <t>2017年4月13日付524406元（期票6.30）</t>
  </si>
  <si>
    <t>2017.2.1</t>
  </si>
  <si>
    <r>
      <t>长泰合同编号：CT17-0308/</t>
    </r>
    <r>
      <rPr>
        <b/>
        <sz val="10"/>
        <color indexed="10"/>
        <rFont val="楷体_GB2312"/>
        <family val="3"/>
        <charset val="134"/>
      </rPr>
      <t>从2017年5月1日变更为CX17-030801</t>
    </r>
  </si>
  <si>
    <t>建筑规模：地下二层、地上4层</t>
  </si>
  <si>
    <t>C15 278 C20 288 C25 298 C30 308 C35 323 C40 338 C45 358 C50 383 C55 413 C60 448 砂浆370 从2017年4月1日起下调10元/方；C30 298</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</si>
  <si>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掺15%膨胀纤维抗裂防水剂加65元/m3；
八、30层以上或100米以上泵送混凝土单价在原单价上另加收18元/ m3；特殊混凝土价格双方另协商。</t>
  </si>
  <si>
    <t>广州市黄埔建筑工程总公司</t>
  </si>
  <si>
    <t>工程地址：天河区凌塘南路</t>
  </si>
  <si>
    <t>无调差</t>
  </si>
  <si>
    <t>科研、办公楼工程（自编1、2号）</t>
  </si>
  <si>
    <t>杨工15361170997</t>
  </si>
  <si>
    <t>按公司规定；业务信息费10元/方</t>
  </si>
  <si>
    <t>当月货款（当月为第一个月）于第三个月20号前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</si>
  <si>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陈建兴、钟涛</t>
  </si>
  <si>
    <t>2017年6月2日付1632763元+2017年6月28日付945865元</t>
  </si>
  <si>
    <t>2017年7月31日付871239元</t>
  </si>
  <si>
    <t>长兴合同编号：恒盛合新字2017-42号</t>
  </si>
  <si>
    <t>建筑面积:72平方米 兴建一幢十层高的综合楼,占地面积约为67,00平方米,总建筑面积为72,847平方米</t>
  </si>
  <si>
    <t>C10 240 C15 250 C20 260 C25 270 C30 280 C35 295 C40 310 C45 330 C50 355 C55 385 C60 420 砂浆同批次混凝土</t>
  </si>
  <si>
    <t>抗渗P6-P8加5元/方；p10-p12加10元；瓜米石加15元；水下砼15元；路面加15元；掺膨胀剂掺6%加35元；掺8%加40元；掺10%加45元； 掺12%加50元；掺15%膨胀纤维抗裂防水剂加65元；</t>
  </si>
  <si>
    <t>本单价将随着混凝土原材料价格、运输成本变动而上下浮动，单价未变动前，双方签定补充协议。双方应在10天过渡期内协商一致调整混凝土价格：若双方协商不成，应于一个月内结算付清货款并解除本合同。</t>
  </si>
  <si>
    <t>科研办公楼工程（自编软件园高唐新建区软件产业集中孵化中心三期）1幢</t>
  </si>
  <si>
    <t>黄工15920318044</t>
  </si>
  <si>
    <t>按公司提成算；业务信息费5元/方；</t>
  </si>
  <si>
    <t>当月货款（当月为第一个月）于第三个月30号前付清，否则，供方有权停止供货并且有权拒付技术资料，并追究需方违约责任。用支票支付货款的，抬头必须填写供方单位名称。此工地不论什么原因导致停供，需方必须在最后一次供应砼之日起三个月内将余款全部付清。逾期的按每日万分之五收取违约金。</t>
  </si>
  <si>
    <t>刘军13826007101；黄锦创15920318044</t>
  </si>
  <si>
    <t>黄锦创、刘军</t>
  </si>
  <si>
    <t>2017年6月12日付61万+2016年6月28日付100万</t>
  </si>
  <si>
    <t>2017年7月31日付924485元</t>
  </si>
  <si>
    <t>2017年8月23日付60万</t>
  </si>
  <si>
    <t>泰兴合同编号：TX17-0520</t>
  </si>
  <si>
    <t xml:space="preserve">C15 250 C20 260 C25 270 C30 280 C35 295 C40 310 C45 330 C50 355 C55 385 C60 420 砂浆370 </t>
  </si>
  <si>
    <t>（1）抗渗砼P6-P8在原单价上另加收5元/m3；P10-P12在原单价上另加收10元/m3；
（2）坍落度超过180mm加15元/m3；细石混凝土在原单价上另加收15元/ m3；
（3）路面砼（包括耐磨层、球场、地坪、地面、道路、跑道、车道、找平层或找坡层（除天面、屋面）在原单价上另加收10元/ m3；
（4）3天早强：≤C30混凝土达到70%加20元/m3；达到80%加25元/m3；达到90%加35元/m3；达到100%加45元/m3；≥C35混凝土强度值达到70%加25元/m3；达到80%加30元/m3；达到90%加40元/m3；达到100%加50元/m3。
（5）7天早强：≤C30混凝土强度值达到80%加10元/m3；达到90%加15元/m3；达到100%加25元/m3；≥C35混凝土强度值达到80%加15元/m3；达到90%加20元/m3；达到100%加30元/m3；
（6）清水或无粉煤灰（纯水泥）混凝土≤C35加25元/m3；≥C40加20元/m3；
（7）掺膨胀剂：普通砼掺6%加35元/m3，掺8%加40元/m3，掺10%加45元/m3，掺12%加50元/m3，八、30层以上或100米以上泵送混凝土单价在原单价上另加收18元/ m3；特殊混凝土价格双方另协商。</t>
  </si>
  <si>
    <t>广东润民建安工程有限公司</t>
  </si>
  <si>
    <t>若砼原材料价格波动较大或遇国家有关政策调整时，双方可于10天内协商，以书面形式确认后调整混凝土价格，若协商不成，供方可停止供砼，需方于3个月内付清供方所有货款后双方解除本合同。</t>
  </si>
  <si>
    <t>广州白云国际机场商务航空基地服务楼工程施工总承包</t>
  </si>
  <si>
    <t>邓党</t>
  </si>
  <si>
    <t>当月货款于第三个月20日结清。例如：1月份的货款在3月20日结清。</t>
  </si>
  <si>
    <t>每一批次只能有一车不足6方（含6方）的尾数，超出的车次加收100元/车。</t>
  </si>
  <si>
    <t>邓党18675854673；倪舜良13729819396</t>
  </si>
  <si>
    <t>2017年8月8日付308685元</t>
  </si>
  <si>
    <t>2017年8月19日付320927.5元</t>
  </si>
  <si>
    <t>广州医药研究有限公司</t>
  </si>
  <si>
    <t>2017年5月24日付16520元</t>
  </si>
  <si>
    <t>泰兴合同编号：TX17-0615</t>
  </si>
  <si>
    <t>C15 243 C20 253 C25 263 C30 273 C35 288 C40 303 C45 323 C50 348 C55 378 C60 413 砂浆 320</t>
  </si>
  <si>
    <t>抗渗砼P6-P8在原单价上另加收5元/m3；P10-P12在原单价上另加收10元/m3；
一、水下桩或坍落度超过180mm时在原单价上另加收15元/ m3；细石混凝土在原单价上另加收15元/ m3；
二、路面砼（包括耐磨层、球场、地坪、地面、道路、跑道、车道、找平层或找坡层（除天面、屋面）在原单价上另加收15元/ m3；
三、3天早强：≤C30混凝土达到70%加20元/m3；达到80%加25元/m3；达到90%加35元/m3；达到100%加45元/m3；≥C35混凝土强度值达到70%加25元/m3；达到80%加30元/m3；达到90%加40元/m3；达到100%加50元/m3。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 m3；特殊混凝土价格双方另协商。</t>
  </si>
  <si>
    <t>广东省广弘华侨建设投资集团有限公司</t>
  </si>
  <si>
    <t>建筑规模：广州市白云区白云大道南1088号</t>
  </si>
  <si>
    <t>天河干休所综合楼新建</t>
  </si>
  <si>
    <t xml:space="preserve"> 1293 m3        </t>
  </si>
  <si>
    <t>按公司规定提；业务信息费无</t>
  </si>
  <si>
    <t>根据合同约定供货完毕，货物全部送达交货地点后，双方根据已经甲方有效结算确认的本合同附件一的供应结算表累计核对供货总数办理结算。当月（当月为第一个月）货款于第三个月20日前支付，支付至结算总额的100％给乙方。</t>
  </si>
  <si>
    <t>尾数无</t>
  </si>
  <si>
    <t>郑伟源</t>
  </si>
  <si>
    <t>2017年9月6日付114729.5元</t>
  </si>
  <si>
    <t>广州市执信中学水荫路校区改造</t>
  </si>
  <si>
    <t>2016年6月12日付6720元</t>
  </si>
  <si>
    <t xml:space="preserve">广州工程总承包集团有限公司 </t>
  </si>
  <si>
    <t>真光中学征地扩建项目</t>
  </si>
  <si>
    <t>CX17-0703</t>
  </si>
  <si>
    <t>砂浆单价：M5 255 M7.5 265 M10 275 M15 285 M20 295 M25 305 M30 315</t>
  </si>
  <si>
    <t>C15 250 C20 260 C25 270 C30 280 C35 290 C40 305 C45 325 C50 350 C55 380 C60 415 从2017年6月1日起上调5元 C30 285元；</t>
  </si>
  <si>
    <t>一、抗渗砼P6-P8在原单价上另加收5元/m3；P10-P12在原单价上另加收10元/m3；
二、水下桩原单价上另加收15元/ m3；塌落度超过200mm（不含）另加收10元/ m³；细石混凝土在原单价上另加收15元/ m3；
三、路面砼（包括耐磨层、球场、地坪、地面、道路、跑道、车道、找平层或找坡层（除天面、屋面）在原单价上另加收10元/ m3；润管砂浆320元/m³；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七、掺膨胀剂：普通砼掺6%掺8%加35元/m3，掺10%掺加40元/m3；12%加45元/m3；
八、聚丙稀纤维（每立方混泥土）15元/ m3 .
九、润管砂浆320元/ m3 .特殊混凝土价格双方另协商；</t>
  </si>
  <si>
    <t>在合同执行期间，如遇单一原材料市场价格浮动超过±3%时，供需双方可协商调整单价。供需双方协商达成一致意见后，以补充协议或需方授权《混凝土结算表》的有效签认人 熊龙、黎火全 签署《混凝土结算表》、《调价函》等形式确认单价调整。双方应在15天过渡期内协商，达成一致意见调整混凝土价格；若双方协商不成，应于3个月内结算付清货款并解除合同。</t>
  </si>
  <si>
    <t xml:space="preserve">海珠区生态城复建安置房项目地下室及主体土建工程施工总承包（标段一） 
</t>
  </si>
  <si>
    <t>47000方；</t>
  </si>
  <si>
    <t>吴立明</t>
  </si>
  <si>
    <t>按公司规定；业务信息费7元/方；</t>
  </si>
  <si>
    <t>需方在第二个月5日之前对供方第一个月的《供砼结算单》进行确认，混凝土货款为每月混凝土供货数量乘以含税单价，第三个月30日前支付第一个月80%的混凝土货款给供方，第四个月30日前支付第二个月80%的混凝土货款给供方，如此类推。主体封顶后的三个月内支付到95%，余下5%在工程竣工验收后6个月内付清（最迟在2018年10月31日前付清）。若需方对数量及金额存在异议，应在收到供方发出的结算单三个工作日内以书面形式提出。对有争议的部分，双方本着实事求是的原则协商解决，但不应影响无争议部分货款的按期支付。</t>
  </si>
  <si>
    <t>熊龙、黎火全</t>
  </si>
  <si>
    <r>
      <t>需方每批次浇捣的混凝土尾数只能有二车不足7m</t>
    </r>
    <r>
      <rPr>
        <sz val="11"/>
        <rFont val="宋体"/>
        <charset val="134"/>
      </rPr>
      <t>³</t>
    </r>
    <r>
      <rPr>
        <sz val="11"/>
        <rFont val="楷体_GB2312"/>
        <family val="3"/>
        <charset val="134"/>
      </rPr>
      <t>，超出部分按每车达不到7m</t>
    </r>
    <r>
      <rPr>
        <sz val="11"/>
        <rFont val="宋体"/>
        <charset val="134"/>
      </rPr>
      <t>³</t>
    </r>
    <r>
      <rPr>
        <sz val="11"/>
        <rFont val="楷体_GB2312"/>
        <family val="3"/>
        <charset val="134"/>
      </rPr>
      <t>的差额部分，另向需方收取30元/m</t>
    </r>
    <r>
      <rPr>
        <sz val="11"/>
        <rFont val="宋体"/>
        <charset val="134"/>
      </rPr>
      <t>³</t>
    </r>
    <r>
      <rPr>
        <sz val="11"/>
        <rFont val="楷体_GB2312"/>
        <family val="3"/>
        <charset val="134"/>
      </rPr>
      <t>空运费。</t>
    </r>
  </si>
  <si>
    <t>2017年7月31日付175万元</t>
  </si>
  <si>
    <t>2017.6.20</t>
  </si>
  <si>
    <t>长兴合同编号：GECG-C201706-08</t>
  </si>
  <si>
    <t>备注：
一、抗渗砼P6-P8在原单价上另加收5元/m³；P10-P12在原单价上另加收10元/m³；
二、水下砼原单价上另加收15元/ m³；坍落度超过200mm（不含200mm）另加收10元/m³；细石混凝土在原单价上另加收15元/ m³；
三、路面砼（包括耐磨层、球场、地坪、地面、道路、跑道、车道、找平层或找坡层）（除天面、屋面）在原单价上另加收10元/ m³；
四、3天早强：≤C30混凝土达到70%加20元/m³；达到80%加25元/m³；达到90%加35元/m³；达到100%加45元/m³；≥C35混凝土强度值达到70%加25元/m³；达到80%加30元/m³；达到90%加40元/m³；达到100%加50元/m³。
五、7天早强：≤C30混凝土强度值达到80%加10元/m³；达到90%加15元/m³；达到100%加25元/m³；≥C35混凝土强度值达到80%加15元/m³；达到90%加20元/m³；达到100%加30元/m³；
六、清水或无粉煤灰（纯水泥）混凝土≤C35加25元/m³；≥C40加20元/m³；
七、掺膨胀剂：普通砼掺6%掺8%加35元/m³，掺10%掺加40元/m³；12%加45元/m³；
八、聚丙稀纤维（每立方混泥土）15元/ m³。特殊混凝土价格双方另协商；
九、润泵砂浆320元/ m³。</t>
  </si>
  <si>
    <t>在合同执行期间，如遇单一原材料市场价格浮动超过±3%时，供需双方可协商调整单价。供需双方协商达成一致意见后，以补充协议或需方授权《混凝土结算表》的有效签认人陈源兴及郑晓彬 签署《混凝土结算表》的形式确认单价调整。双方应在15天过渡期内协商，达成一致意见调整混凝土价格；若双方协商不成，应于3个月内结算付清货款并解除合同。</t>
  </si>
  <si>
    <t xml:space="preserve">海珠生态城复建安置房项目地下室及主体土建工程总承包（标段二）  </t>
  </si>
  <si>
    <t>4万立方</t>
  </si>
  <si>
    <t>按公司规定提；业务信息费7元</t>
  </si>
  <si>
    <t>陈源兴及郑晓彬</t>
  </si>
  <si>
    <t>2017年8月28日付4519188元</t>
  </si>
  <si>
    <t>广州国际生物岛标准产业单元四期施工总承包地块一</t>
  </si>
  <si>
    <t xml:space="preserve">C15 256.99 C20 267.29 C25 277.59 C30 287.89 C35 303.34 C40 318.79 C45 339.39 C50 359.99 C55 382.65 C60 410.46 </t>
  </si>
  <si>
    <t>抗渗P6-P8加5元；P10-P12加8元；水下砼加15元；三天早强加30元；七天早强加15元；路面不加灰加15元；细石加15元；润泵砂浆360元；微膨胀加35元；膨胀剂如是来料加工，收加工费8元；自密实加60元；</t>
  </si>
  <si>
    <r>
      <t>建筑面积：约28万</t>
    </r>
    <r>
      <rPr>
        <sz val="12"/>
        <rFont val="宋体"/>
        <charset val="134"/>
      </rPr>
      <t>㎡</t>
    </r>
    <r>
      <rPr>
        <sz val="12"/>
        <rFont val="楷体_GB2312"/>
        <family val="3"/>
        <charset val="134"/>
      </rPr>
      <t>；建筑高度约180米；写字楼核心筒框架结构，公寓框剪结构。</t>
    </r>
  </si>
  <si>
    <r>
      <t>按当季广州地区信息价（季度）调整幅度进行调整。具体为：以签订本合同当季度《广州地区建设工程常用材料综合价格》中的商品混凝土材料价为基准价，每季度按照信息价调整幅度来调整结算价。如当季信息价未出，则信息价按当季已出月份的信息价的平均值做为调整依据。如：合同价为320元/m</t>
    </r>
    <r>
      <rPr>
        <sz val="12"/>
        <rFont val="宋体"/>
        <charset val="134"/>
      </rPr>
      <t>³</t>
    </r>
    <r>
      <rPr>
        <sz val="12"/>
        <rFont val="楷体_GB2312"/>
        <family val="3"/>
        <charset val="134"/>
      </rPr>
      <t>，当季度信息价为350元/m</t>
    </r>
    <r>
      <rPr>
        <sz val="12"/>
        <rFont val="宋体"/>
        <charset val="134"/>
      </rPr>
      <t>³</t>
    </r>
    <r>
      <rPr>
        <sz val="12"/>
        <rFont val="楷体_GB2312"/>
        <family val="3"/>
        <charset val="134"/>
      </rPr>
      <t>，到收货时信息价变为360元/m</t>
    </r>
    <r>
      <rPr>
        <sz val="12"/>
        <rFont val="宋体"/>
        <charset val="134"/>
      </rPr>
      <t>³</t>
    </r>
    <r>
      <rPr>
        <sz val="12"/>
        <rFont val="楷体_GB2312"/>
        <family val="3"/>
        <charset val="134"/>
      </rPr>
      <t>，则结算单价调整为320+320*（360-350）/350=329元/m</t>
    </r>
    <r>
      <rPr>
        <sz val="12"/>
        <rFont val="宋体"/>
        <charset val="134"/>
      </rPr>
      <t>³</t>
    </r>
    <r>
      <rPr>
        <sz val="12"/>
        <rFont val="楷体_GB2312"/>
        <family val="3"/>
        <charset val="134"/>
      </rPr>
      <t>。（如出现当季广州地区信息价（季度）与当季市场价严重不符时，出现暴涨暴跌情况，以双方最终协商单价为准。）</t>
    </r>
  </si>
  <si>
    <t>南站番禺石壁四村留用地项目（自编4#）地块</t>
  </si>
  <si>
    <r>
      <t>489751.1方；</t>
    </r>
    <r>
      <rPr>
        <sz val="12"/>
        <color indexed="10"/>
        <rFont val="楷体_GB2312"/>
        <family val="3"/>
        <charset val="134"/>
      </rPr>
      <t>合同金额14154586.57元</t>
    </r>
  </si>
  <si>
    <t>按公司规定1.8%；业务信息费5元/方</t>
  </si>
  <si>
    <t xml:space="preserve">进度款：每月支付一次，支付比例为当期供货款的80%。乙方应在每月15日前上报当月完成工程进度款申报表（甲方在月底前审核完成），经过甲方审核后在次月30日左右（遇节假日顺延）支付到乙方指定账户。
结算款：施工标段内主体结构工程封顶后：一个月内结算完毕支付至95%， 5%余款在本工程主体验收（以获取政府部门颁发的主体验收合格报告为准）完成二个月内付清。42#地结算款甲方应最迟于    2018   年    12   月    30   日前付清。 </t>
  </si>
  <si>
    <t>甲方要求乙方供应的混凝土每天（每批次）可以有2车不足5m³，如超出的车数，甲方应按每车支付100元的运费补偿给乙方。</t>
  </si>
  <si>
    <t>2017年8月29日付616159.46元</t>
  </si>
  <si>
    <t>2017.8.1</t>
  </si>
  <si>
    <t>长兴合同编号：20170802</t>
  </si>
  <si>
    <t xml:space="preserve">C15 250 C20 260 C25 270 C30 280 C35 295 C40 310 C45 330 C50 355 C55 385 C60 420 砂浆420 </t>
  </si>
  <si>
    <t>如遇市场单一原材料价格浮动超过+3%时，双方再协商一次单价。若双方协商不成，应于3个月内结算付清货款并解除本合同。</t>
  </si>
  <si>
    <t>花地河治理工程-20个城中村支管完善工程（海龙围分区支管完善工程）</t>
  </si>
  <si>
    <t>按公司规定提；业务信息费3元/方</t>
  </si>
  <si>
    <t>当月货款（当月指第一个月）于第三个月25号付清，以此类推。</t>
  </si>
  <si>
    <t>C30 285(含税）</t>
  </si>
  <si>
    <t>市机电设备安装公司</t>
  </si>
  <si>
    <t>一江两岸三带核心段景观照明提升工程</t>
  </si>
  <si>
    <t>翁总：15815249268</t>
  </si>
  <si>
    <t>广东省建筑工程有限公司</t>
  </si>
  <si>
    <t>广州美术馆</t>
  </si>
  <si>
    <t>广州市第四建筑建筑工程有限公司</t>
  </si>
  <si>
    <t>广州呼吸中心项目前期工程</t>
  </si>
  <si>
    <t>上海建工四建有限公司</t>
  </si>
  <si>
    <t>广州逸彩新世界第一小区</t>
  </si>
  <si>
    <t>白云区江高镇东风新街保障性住房项目施工总承包</t>
  </si>
  <si>
    <t xml:space="preserve">白云嘉禾联边、火车南站高速以东、番禺新造保障性住房项目前期工程施工总承包—火车南站东新高速以东
</t>
  </si>
  <si>
    <t>广东中鲁建设有限公司</t>
  </si>
  <si>
    <t>广州市脑科医院芳村院区</t>
  </si>
  <si>
    <t>2017.3.16</t>
  </si>
  <si>
    <r>
      <t xml:space="preserve">长泰合同编号：CT17-0316 </t>
    </r>
    <r>
      <rPr>
        <b/>
        <sz val="10"/>
        <color indexed="10"/>
        <rFont val="楷体_GB2312"/>
        <family val="3"/>
        <charset val="134"/>
      </rPr>
      <t>从2017.5.1变更为长兴合同；长兴合同编号：CX17-050101</t>
    </r>
  </si>
  <si>
    <t>广州科学城神舟路以东、斑鱼塘路以南</t>
  </si>
  <si>
    <t>C15 255 C20 265 C25 275 C30 285 C35 300 C40 315 C45 335 C50 360 C55 390 C60 425 砂浆380</t>
  </si>
  <si>
    <t>广州市伟腾建筑工程有限公司</t>
  </si>
  <si>
    <t>如遇市场单一原材料价格浮动超过+3%时，双方再协商调整单价。双方应在10天过渡期内协商一致调整混凝土价格：若双方协商不成，应于一个月内结算付清货款并解除本合同。</t>
  </si>
  <si>
    <t>广州保瑞抗癌新技术研发生产基地</t>
  </si>
  <si>
    <t>（当月为第一个月）第一个月货款的80%于第三个月30日前支付，以此类推，剩余的20%货款在单栋主体结构封顶三个月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</si>
  <si>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 xml:space="preserve">王和平 、 黄奕坚 、 梁冠强  </t>
  </si>
  <si>
    <t>杨严军</t>
  </si>
  <si>
    <t>2017年6月8日付1168872元</t>
  </si>
  <si>
    <t>2017年8月14日付1267674元</t>
  </si>
  <si>
    <t xml:space="preserve"> 合同编号：（长泰合同）</t>
  </si>
  <si>
    <t>广州市天河区五山路141号尚德大厦A座中建三局一公司物资部   杨晓倩，电话13533396395</t>
  </si>
  <si>
    <t>合同结算单价</t>
  </si>
  <si>
    <t>按信息价下浮23%，润泵350元。暂定价C30 ＜120，277元， C30≥120， 283元；从2014年4季度（2014年9月21日）采用固定单价 C10 265 C15 275 C20 285 C25 295 C30 305 C35 320 C40 335 C45 355 C50 375 C55 395 C62 415 从2015年10月21日起C10 240 C15 250 C20 260 C25 270 C30 280 C35 295 C40 310 C45 330 C50 350 C55 370 C60 390 从2016年5月12日开始C30 258；从2016年12月15日至19日起增加20元；C30 278; 从2016年12月20日至2017年1月28日上增加40元；C30 318; 从2017年3月1日起上调20元；C30 278元；</t>
  </si>
  <si>
    <t>P6-P8加5元/m3；P10-P12加10 元/m3；早强加10 元/m3；瓜米石加10元/m3；膨胀加40元/m3；水下加15 元/m3。泵送砼增加费：201~250米增加15元/m3；251~300米增加25元/m3；301~350米增加35元/m3。自密实混凝土：C40增加60元/m3； C50增加50元/m3；C60增加40元/m3。</t>
  </si>
  <si>
    <t>调养方式</t>
  </si>
  <si>
    <t>以上单价为混凝土运输到工地价格（含运输费用、税费，含泵送材料费5元/m3，不含现场泵送机械费用）。以上结算价是以广州建设工程造价管理站公布的2016年2季度混凝土综合价格为基准。若市场混凝土价格有波动时，按混凝土供货期间广州市建设工程造价管理站公布的季度对应标号普通混凝土的价格与该站2016年2季度公布的对应标号混凝土价格进行对比，浮动±5%以外时，调整超过以外部分的价差，浮动在±5%以内(含±5%)不作调整，即仍按上述固定单价结算。</t>
  </si>
  <si>
    <t>中建三局第一建设工程有限责任公司广州分公司</t>
  </si>
  <si>
    <t>含税价</t>
  </si>
  <si>
    <t>提成及业务费</t>
  </si>
  <si>
    <t>按公司规定计提成，2元/M3业务费</t>
  </si>
  <si>
    <t>保利琶洲项目四项目</t>
  </si>
  <si>
    <t>80000m3，总额2800万元</t>
  </si>
  <si>
    <t>结算单确认人</t>
  </si>
  <si>
    <t>合同付款方式</t>
  </si>
  <si>
    <t>每月20日办理结算，次月30前支付上月结算货款的80%，宽限7天，余款20%在工程主体封顶后四个月内平均支付给卖方。买方未按合同约定期限结算和付款，卖方有权暂停供砼，买方须按应付货款总额的每月以1%向卖方支付违约金。</t>
  </si>
  <si>
    <t>误差在1%</t>
  </si>
  <si>
    <t>C30 ＜120，277元， C30≥120， 283元</t>
  </si>
  <si>
    <t>2013年12月1日至12月19日</t>
  </si>
  <si>
    <t>2013年12月20日至12月31日</t>
  </si>
  <si>
    <t>2014年1月1日至1月19日</t>
  </si>
  <si>
    <t>2014年1月20日至2月16日</t>
  </si>
  <si>
    <t>2014年2月17日至3月18日</t>
  </si>
  <si>
    <t>2014年2月26日付282032元</t>
  </si>
  <si>
    <t>2014-3-19至2014-4-19</t>
  </si>
  <si>
    <t>2014年3月25日付70987.2元</t>
  </si>
  <si>
    <t>2014-4-20至2014年5月18日</t>
  </si>
  <si>
    <t>2014年4月21付278002.4元</t>
  </si>
  <si>
    <t>2014年5月19日至6月18日</t>
  </si>
  <si>
    <t>2014年5月22日付299715.42元</t>
  </si>
  <si>
    <t>2014年6月19日至7月20日</t>
  </si>
  <si>
    <t>2014年7月22付3630639.75</t>
  </si>
  <si>
    <t>2014年7月20至8月19日</t>
  </si>
  <si>
    <t>2014年8月22付2304687.65</t>
  </si>
  <si>
    <t>2014年8月20至9月19</t>
  </si>
  <si>
    <t>2014年9月22付3249207.44</t>
  </si>
  <si>
    <t>2014年9月19日至10月16</t>
  </si>
  <si>
    <t>2014年10月24付2835608.8</t>
  </si>
  <si>
    <t>15年第一季度调差</t>
  </si>
  <si>
    <t>2014.9.2工地多算了2方到平台，工地要求加上，2014年.11月工地要求退回900元；</t>
  </si>
  <si>
    <t>2014年10月18日至11月19日</t>
  </si>
  <si>
    <t>2014年11月25付1272565.2</t>
  </si>
  <si>
    <t>2014年11月19日至12月15</t>
  </si>
  <si>
    <t>2014年12月19至2015年1月18</t>
  </si>
  <si>
    <t>2015年1月27付3070962.72</t>
  </si>
  <si>
    <t>2015年1月19至2015年2月9</t>
  </si>
  <si>
    <t>2015年2月13付1060377.6</t>
  </si>
  <si>
    <t>2015年2月10日至2015年3月18日</t>
  </si>
  <si>
    <t>2015年3月24付778213.6</t>
  </si>
  <si>
    <t>2015年3月19日至2015年4月18日</t>
  </si>
  <si>
    <t>2015年4月23付173918</t>
  </si>
  <si>
    <t>2015年4月19日至2015年5月18日</t>
  </si>
  <si>
    <t>2015年5月25付40万</t>
  </si>
  <si>
    <t>2015年5月19日至2015年6月18日</t>
  </si>
  <si>
    <t>2015年6月26付2044427.2</t>
  </si>
  <si>
    <t>2015年6月17日至2015年7月18日</t>
  </si>
  <si>
    <t>2015年7月27付763918.8元</t>
  </si>
  <si>
    <t>2015年7月17日至2015年8月18日</t>
  </si>
  <si>
    <t>2015年8月26日付354526元</t>
  </si>
  <si>
    <t>2015年8月17日至2015年9月18日</t>
  </si>
  <si>
    <t>2015年9月29付217984元；</t>
  </si>
  <si>
    <t>2015年9月17日至2015年10月18日</t>
  </si>
  <si>
    <t>2015年4月19日-2015年10月18日</t>
  </si>
  <si>
    <t>2015年10月17日至2015年11月18日</t>
  </si>
  <si>
    <t>2015年11月24日付1954315.69元</t>
  </si>
  <si>
    <t>2015年11月17日至2015年12月18</t>
  </si>
  <si>
    <t>2015年12月31日付1701353.42万</t>
  </si>
  <si>
    <t>2015年12月17日至2016年1月18</t>
  </si>
  <si>
    <t>2016年1月22日付1722552.11万</t>
  </si>
  <si>
    <t>2016年1月17日至2016年2月18</t>
  </si>
  <si>
    <t>2016年2月26日付1550684.61元</t>
  </si>
  <si>
    <t>2016年2月19日至2016年3月17</t>
  </si>
  <si>
    <t>2015年4月1日付16050元；+4月28日付41378.54元；</t>
  </si>
  <si>
    <t>2016年3月18日至2016年4月18日</t>
  </si>
  <si>
    <t>2016年4月18日至2016年5月18日</t>
  </si>
  <si>
    <t>2016年5月31日付133505元；</t>
  </si>
  <si>
    <t>2016年5月18日至2016年6月18日</t>
  </si>
  <si>
    <t>2016年6月24日退回3780元</t>
  </si>
  <si>
    <t>2016年6月18日至2016年7月19日</t>
  </si>
  <si>
    <t>2016年7月1日付137073元</t>
  </si>
  <si>
    <t>2016年7月18日至2016年8月19日</t>
  </si>
  <si>
    <t>2016年8月3日付73178元</t>
  </si>
  <si>
    <t>2016年8月18日至2016年9月20日</t>
  </si>
  <si>
    <t>2016年10月9日付409287.5元</t>
  </si>
  <si>
    <t>2016年9月18日至2016年10月20日</t>
  </si>
  <si>
    <t>2016年11月4日付407149.5元</t>
  </si>
  <si>
    <t>2016年10月18日至2016年11月20日</t>
  </si>
  <si>
    <t>2016年11月18日至2016年12月21日</t>
  </si>
  <si>
    <t>2016年12月18日至2017年1月22日</t>
  </si>
  <si>
    <t>2017年2月18日至2017年3月15日</t>
  </si>
  <si>
    <t>2017年3月18日至2017年4月18日</t>
  </si>
  <si>
    <t>2017年4月19日至2017年5月15日</t>
  </si>
  <si>
    <t>2017年6月29日付1947272元</t>
  </si>
  <si>
    <t>2017年8月2日付101217.82元</t>
  </si>
  <si>
    <r>
      <t>签定日期：2</t>
    </r>
    <r>
      <rPr>
        <sz val="12"/>
        <rFont val="宋体"/>
        <charset val="134"/>
      </rPr>
      <t>014年3月21日</t>
    </r>
  </si>
  <si>
    <t xml:space="preserve"> 合同编号：BFSY-SH-2014-006号（泰兴合同）</t>
  </si>
  <si>
    <t xml:space="preserve">水下c30:335.8  c20:299  c30:322 C35P8：340.4 C35：335.8 C45:363.4    </t>
  </si>
  <si>
    <t>特殊混凝土按公司规定加收。三天早强达到70%，每立方加25元；细石混凝土加10元</t>
  </si>
  <si>
    <t>中铁建工集团有限公司</t>
  </si>
  <si>
    <t>中铁建工集团有限公司广州市轨道交通十四号线一期工程石湖停车场施工一标项目经理部</t>
  </si>
  <si>
    <t>王玉民、李芳茜、卢鸿铭、付晓辉</t>
  </si>
  <si>
    <t>自签订合同之日起一个月内上述单价不作调整。一个月后根据市场材料情况进行调整。</t>
  </si>
  <si>
    <t>自供砼之日起一个月内所供砼款的85%，主体完成余额分三个月内付清，或于最后一次供砼之日起3个月内付清。</t>
  </si>
  <si>
    <t>2014年6月1日至6月21日</t>
  </si>
  <si>
    <t>2014年6月22日至7月15日</t>
  </si>
  <si>
    <t>2014年7月16日至8月15</t>
  </si>
  <si>
    <t>2014年8月1付100万元</t>
  </si>
  <si>
    <t>2014年8月16日至9月15</t>
  </si>
  <si>
    <t>2014年9月11付50万元；9月17付50万元</t>
  </si>
  <si>
    <t>2014年9月16日至10月15</t>
  </si>
  <si>
    <t xml:space="preserve">2014年10月16日至11月15 </t>
  </si>
  <si>
    <t>2014年11月24付50万元</t>
  </si>
  <si>
    <t>2014年11月16至12月15</t>
  </si>
  <si>
    <t>2014年12月23付200万元</t>
  </si>
  <si>
    <t>2014年12月16至2015年1月15</t>
  </si>
  <si>
    <t>2015年2月13付180万元</t>
  </si>
  <si>
    <t>2015年1月16至2015年2月15</t>
  </si>
  <si>
    <t>2015年2月16至2015年3月15</t>
  </si>
  <si>
    <t>2015年3月16至2015年4月15</t>
  </si>
  <si>
    <t>2015年4月16至2015年5月15</t>
  </si>
  <si>
    <t>2015年5月14付75万元</t>
  </si>
  <si>
    <t>2015年5月16至2015年6月15</t>
  </si>
  <si>
    <t>2015年6月9付100万元</t>
  </si>
  <si>
    <t>2015年6月16至2015年7月15</t>
  </si>
  <si>
    <t>2015年8月7日付款100万元</t>
  </si>
  <si>
    <t>2015年12月21日付100万（剩下308498.56元；其它的支付2标）</t>
  </si>
  <si>
    <t>2016年1月付1542462.62元；</t>
  </si>
  <si>
    <t>2016年1月27付1542462.62元；</t>
  </si>
  <si>
    <t>2016年9月付20万</t>
  </si>
  <si>
    <t>2017年1月18日付5万</t>
  </si>
  <si>
    <t xml:space="preserve"> 合同编号：（长兴合同）</t>
  </si>
  <si>
    <r>
      <t xml:space="preserve">C10：310  C15:315  C20:325          C30水下桩：360      C25：335   C30：345  C35：365  C40：385  2014年5月15日起 混凝土每立方米上浮7元/m³ C30：352 ;从2014年11月15开始按信息价下调20% C30：332  M30砂浆；380  </t>
    </r>
    <r>
      <rPr>
        <sz val="10"/>
        <color indexed="10"/>
        <rFont val="宋体"/>
        <charset val="134"/>
      </rPr>
      <t xml:space="preserve">2014年11月15日起（含2014.11.15）起C10:273; C15:283 C20:293 C25:303 C30:313  C35:329 C40:345 C45:363 C50:383 C55:408 C60:438 </t>
    </r>
  </si>
  <si>
    <t>市场价格浮动在+5%以内双方再协商结算价格</t>
  </si>
  <si>
    <t>中铁建工集团有限公司广州地铁坑口BT融资建设工程项目经理部</t>
  </si>
  <si>
    <t>按公司规定计提成（申请为1.5元），2元/M3业务费</t>
  </si>
  <si>
    <t>广州地铁坑口BT融资建设工程</t>
  </si>
  <si>
    <t>m3，合同暂定价5013750</t>
  </si>
  <si>
    <t>每月20日双方以甲方签字的送货单对帐结算，并于每月25日前提供相同数量、金额，能满足甲方要求的发票。合同签订后，乙方垫资金供货三个月后，从第四个月开始，甲方于当月20日前支付之前所供混凝土货款金额的70%（无息），地下室底板浇注完成后付至总货款的80%，待地下室施工完成后付至总货款的100%（无息），最迟2015年6月底付清。（如发现假发票一经核实按货款的30%进行罚款）。每延期一天，应偿付乙方延期付款总额的万分之五违约金，最高不超过合同总价的1%。</t>
  </si>
  <si>
    <t>当大于50立方的方量必须指派一名现场调度。</t>
  </si>
  <si>
    <t>1、从2014年4月18日起  细石混凝土增加10元/m³；早强混凝土：3天早强达到100%加45元/m³； 2、从2014年5月15日起  早强混凝土：3天早强达到80%加25元/m³  在原合同标号混凝土每立方米上浮7元。3、从2014年11月15日起，每月结算单价按广州市建设工程造价管理站公布2014年第三季度广州地区建设工程常用材料综合价格中混凝土价格下浮20%（需分开泵送及普通混凝土），实际结算单价按今后公布的每季度混凝土价格下浮20%进行结算（需分泵送及普通混凝土）。每季度调整一次价差，价差款于每月支付。</t>
  </si>
  <si>
    <t>还款计划：2015年7月计划100万元；2015年8月计划100万元；2015年9月计划150万元；2015年10月计划200万元；2015年11月计划50万元</t>
  </si>
  <si>
    <t>2015年8月计划支付1000000元；2015年9月计划支付2500000元；2015年10月计划支付3000000元；2015年11月计划支付3000000元；2015年12月计划支付3000000元</t>
  </si>
  <si>
    <t>2013年11月1日至12月13日</t>
  </si>
  <si>
    <t>2013年12月14日至2014年1月16日</t>
  </si>
  <si>
    <t>2014年1月17日至2月16日</t>
  </si>
  <si>
    <t>2014年2月17日至3月13日</t>
  </si>
  <si>
    <t>2014年3月14至4月17</t>
  </si>
  <si>
    <t>2014年4月18至5月14</t>
  </si>
  <si>
    <t>2014年4月22付10万元</t>
  </si>
  <si>
    <t>2014年5月15至6月15</t>
  </si>
  <si>
    <t>2014年6月16至7月15</t>
  </si>
  <si>
    <t>2014年7月18付30万元</t>
  </si>
  <si>
    <t>2014年7月16至8月20</t>
  </si>
  <si>
    <t>2014年8月21至9月15</t>
  </si>
  <si>
    <t>2014年9月26付150万元</t>
  </si>
  <si>
    <t>2014年9月16至10月15</t>
  </si>
  <si>
    <t>2014年10月16至10月31</t>
  </si>
  <si>
    <t>2014年11月1至11月15</t>
  </si>
  <si>
    <t>2014年11月25 付200万元</t>
  </si>
  <si>
    <t>2014年11月16至11月30</t>
  </si>
  <si>
    <t>2014年12月1至12月15</t>
  </si>
  <si>
    <t>2014年12月16至12月31</t>
  </si>
  <si>
    <t>2015年1月1至1月14</t>
  </si>
  <si>
    <t>2015年1月4付100万元</t>
  </si>
  <si>
    <t>2015年1月15至1月31</t>
  </si>
  <si>
    <t>2015年2月16 付150万元</t>
  </si>
  <si>
    <t>2015年2月1至2月10</t>
  </si>
  <si>
    <t>2015年3月10至3月15日</t>
  </si>
  <si>
    <t>2015年3月16至3月31日</t>
  </si>
  <si>
    <t>2015年4月1至4月15日</t>
  </si>
  <si>
    <t>2015年4月27付200万元</t>
  </si>
  <si>
    <t>2015年4月16至4月31日</t>
  </si>
  <si>
    <t>2015年5月1至5月15日</t>
  </si>
  <si>
    <t>2015年5月16至2015年5月31日</t>
  </si>
  <si>
    <t>2015年6月8日付150万</t>
  </si>
  <si>
    <t>2015年6月1至6月14日</t>
  </si>
  <si>
    <t>2015年6月15至6月30日</t>
  </si>
  <si>
    <t>2015年7月21付100万</t>
  </si>
  <si>
    <t>2015年11月15日至2015年6月14日调差</t>
  </si>
  <si>
    <t>2015年8月28日付100万</t>
  </si>
  <si>
    <t>2015年9月29付250万</t>
  </si>
  <si>
    <t>2015年11月6日付300万</t>
  </si>
  <si>
    <t>2015年12月7日付149万元+151万元</t>
  </si>
  <si>
    <t>2016年01月20日付300万</t>
  </si>
  <si>
    <t>2016年3月1日付100万（一部分收款支付坑口前期的货款）</t>
  </si>
  <si>
    <t xml:space="preserve"> 合同编号：BF-买卖-GZDTKK-2015-0008(长兴合同）</t>
  </si>
  <si>
    <r>
      <t xml:space="preserve">合同结算单价
</t>
    </r>
    <r>
      <rPr>
        <sz val="10"/>
        <rFont val="宋体"/>
        <charset val="134"/>
      </rPr>
      <t>（泵送；若采用非泵送在此基础下调5元/方）</t>
    </r>
  </si>
  <si>
    <t xml:space="preserve">C10 275 C15 285 C20 295 C25 305 C30 315 C35 325 C40 340 C45 355 C50 375 C55 395 C60 420 C30水下 325 C25水下 315 </t>
  </si>
  <si>
    <t>润泵砂浆按C20型号的的价格执行；细石混凝土单价：在每立方原强度等级混凝土单价的基础上增加10元/m3；早强混凝土（C40及C40强度等级以下）单价：3天早强达到100%，在每立方原强度等级混凝土单价的基础上增加30元/m3；早强混凝土（C40及C40强度等级以下）单价：3天早强达到80%，在每立方原强度等级混凝土单价的基础上增加20元/m3；膨胀剂单价加收35元/m3；2016.4.1申请P6不加价。</t>
  </si>
  <si>
    <t>合同单价从2015年第2季度起，每季度调整一次，具体调整办法如下：第n季度（n≥1）的价格计算方法如下：第n季度的结算价格=合同价格*（1+调整系数F）；调整系数F=（Pn-Po）/ Po *100%；F指市场材料价格波动的调整系数，Po指2015年第2季度（基准季度）《广州地区建设工程常用材料综合价格》预拌商品混凝土材料指导价，Pn指第n季度《广州地区建设工程常用材料综合价格》预拌商品混凝土材料指导价。</t>
  </si>
  <si>
    <t>商住楼地上39层、27层</t>
  </si>
  <si>
    <t>按公司规定提（因财务无法核定节点，写申请1.5元每方）；业务信息费7元/方；</t>
  </si>
  <si>
    <t>21545m3;7206185元</t>
  </si>
  <si>
    <t>高晓函（15226566217）汪佳（18633825863）</t>
  </si>
  <si>
    <t>郭云龙</t>
  </si>
  <si>
    <t>从合同签定日起，每月结算完成后，甲方在收到乙方开具的正式的增值税发票后，付至乙方送货总额的70%，主体结构验收后付至总货款的85%，竣工验收后付至总货款的95%，剩余5%作为质量保证金在塔楼主体结构封顶后两年一次性付清。如发生纠纷，则延后至纠纷最终解决后30天内付清。</t>
  </si>
  <si>
    <t>付款承诺：2016年1月20日计划支付300万元；2016年2月3日，计划支付100万元；</t>
  </si>
  <si>
    <t>2015.7.15-2015.8.15</t>
  </si>
  <si>
    <t>2015.8.15-2015.9.15</t>
  </si>
  <si>
    <t>2015.9.15-2015.10.15</t>
  </si>
  <si>
    <t>2015.10.15-2015.11.15</t>
  </si>
  <si>
    <t>2015.11.16-2015.12.15</t>
  </si>
  <si>
    <t>2015.12.16-2015.1.15</t>
  </si>
  <si>
    <t>2016.1.16-2016.2.20</t>
  </si>
  <si>
    <t>2016年3月9日B2#A-D轴交1-5轴屋面构架（主体封顶）</t>
  </si>
  <si>
    <t>2016.2.21-2016.3.14</t>
  </si>
  <si>
    <t>2016.3.21-2016.4.14</t>
  </si>
  <si>
    <t>2016年5月23日付30万</t>
  </si>
  <si>
    <t>2016.4.21-2016.5.14</t>
  </si>
  <si>
    <t>2016.5.21-2016.6.14</t>
  </si>
  <si>
    <t>2016年7月4日付30万</t>
  </si>
  <si>
    <t>2016.6.21-2016.7.14</t>
  </si>
  <si>
    <t>2016年8月4日付30万</t>
  </si>
  <si>
    <t>2016.7.21-2016.8.15</t>
  </si>
  <si>
    <t>2016年8月30日付248万</t>
  </si>
  <si>
    <t>2016.8.16-2016.10.15</t>
  </si>
  <si>
    <t>2017年第三季度调差</t>
  </si>
  <si>
    <t>2017年1月24日付96万</t>
  </si>
  <si>
    <r>
      <t>2</t>
    </r>
    <r>
      <rPr>
        <sz val="12"/>
        <rFont val="宋体"/>
        <charset val="134"/>
      </rPr>
      <t>014年3月28</t>
    </r>
  </si>
  <si>
    <t xml:space="preserve"> 合同编号：TJSDCWZ-2014-006
（长泰合同）</t>
  </si>
  <si>
    <r>
      <t xml:space="preserve">含税单价：C15：307 C20：318 C25：330 C30：346 C35：362 C40：378 C45：393 非普通泵送混凝土单价在各普通泵送混凝土基础上调8元/m³  润泵砂浆：350 普通泵送C50：409 </t>
    </r>
    <r>
      <rPr>
        <sz val="10"/>
        <color indexed="10"/>
        <rFont val="宋体"/>
        <charset val="134"/>
      </rPr>
      <t>从2014年12月16开始 C15 280 C20 290 C25 300 C30 310 C35 325 C40 340 C45 355 调差以2015年第一季度对比，如价格幅动系数在正负3%（含±3%）以内的不作调整，如超过，则合同单价从2015年第一季度起，第n季度（n≥1)的价格计算如下：第n季度的结算价格=合同价格*（1+涨跌系数F);涨跌系数F=(pn-po)/po*100%±3%)</t>
    </r>
  </si>
  <si>
    <t>抗渗P6-P8在原标号基础上增加5元/m³抗渗P10在原标号基础上增加8元/m³；抗裂膨胀费用在原标号上增加35元/m³；聚丙烯纤维费用在原标号上增加35元/m³；细石增加15元/m³</t>
  </si>
  <si>
    <t>中铁建工集团有限公司广州番禺天骄时代商业楼第六期项目经理部</t>
  </si>
  <si>
    <t>付款承诺：2016年5月31日前支付300万元；2016年12月30日陆续支付至合格总货款的95%</t>
  </si>
  <si>
    <t>业务信息费3元/m³</t>
  </si>
  <si>
    <t xml:space="preserve">杨蓬勃 王超天 王在京 王朝书 </t>
  </si>
  <si>
    <t>甲方每月结请本月所供混凝土款的60%，余款待主体封顶3个月无息支付至合格总货款的95%，5%质保金如无质量问题工程竣工1年无息付清。</t>
  </si>
  <si>
    <t>各强度混凝土结算单价按2013年第四季度广州市建设工程造价管理站公布的广州地区建设工程常用材料综合价格普通混凝土价格下浮21%结算，今后供货期间当季度广州市建设工程造价管理站公布的对应强度等级的泵送混凝土单价与2013年第四季度对比，如涨幅和跌幅在±3%以内的不做调整，如涨幅和涨跌超过±3%则按当季度对应强度等级的普通混凝土单价下浮21%结算。</t>
  </si>
  <si>
    <t>2014年5月1日至6月15日</t>
  </si>
  <si>
    <t xml:space="preserve">2014年6月16至7月15 </t>
  </si>
  <si>
    <t>2014年7月16至8月15</t>
  </si>
  <si>
    <t>2014年8月16至9月15</t>
  </si>
  <si>
    <t>2014年10月23付20万元</t>
  </si>
  <si>
    <t>2014年10月16日至11月15日未结算</t>
  </si>
  <si>
    <t>2015年2月13付350万元</t>
  </si>
  <si>
    <t>2015年1月16日至2015年2月10日</t>
  </si>
  <si>
    <t>2015年3月18日至4月15</t>
  </si>
  <si>
    <t>2015年4月16日至5月15</t>
  </si>
  <si>
    <t>2015年4月29付200万元</t>
  </si>
  <si>
    <t>2015年5月16至6月15日</t>
  </si>
  <si>
    <t>2015年6月2日100万元</t>
  </si>
  <si>
    <t>2015年6月16日至2015年7月15日</t>
  </si>
  <si>
    <t>2015年7月10付100万</t>
  </si>
  <si>
    <t>2015年7月16日至2015年8月15日</t>
  </si>
  <si>
    <t>2015年8月12日付120万</t>
  </si>
  <si>
    <t>2015年第一、二季度调差</t>
  </si>
  <si>
    <t>2015年8月16日至2015年9月15日</t>
  </si>
  <si>
    <t>2015年9月23付100万</t>
  </si>
  <si>
    <t>2015年9月16日至2015年10月15日</t>
  </si>
  <si>
    <t>2015年10月27日付100万</t>
  </si>
  <si>
    <t>2015年10月16日至2015年11月15日</t>
  </si>
  <si>
    <t>2015年12月3日付150万</t>
  </si>
  <si>
    <t>2015年11月16日至2015年12月15日</t>
  </si>
  <si>
    <t>2016年1月25日付100万；1月29日付200万</t>
  </si>
  <si>
    <t>2016年5月27日付250万</t>
  </si>
  <si>
    <t>2016年7月29日付50万</t>
  </si>
  <si>
    <t>2016年8月29日付100万</t>
  </si>
  <si>
    <t>2016年9月27日付50万</t>
  </si>
  <si>
    <t>2016年11月4日付100万</t>
  </si>
  <si>
    <t>2016年12月20日付100万</t>
  </si>
  <si>
    <t>2017.1.11-至2017.3.15</t>
  </si>
  <si>
    <t>2017年1月16日付100万</t>
  </si>
  <si>
    <t>2017.4.15至2017.6.15</t>
  </si>
  <si>
    <t>2017年5月25日付850829.95元</t>
  </si>
  <si>
    <t xml:space="preserve"> 合同编号：TX14-0909
（泰兴合同）</t>
  </si>
  <si>
    <t>含税价：C15：295 C20：305 C25：315 C30：325 C35：340  C40：355 C45：375 C50：400 C55：430 C60：465 M10砂浆：350 C15石粉：315  从2015年3月20日上调10元/m3;从2015年4月5日上调10元/m3</t>
  </si>
  <si>
    <r>
      <t xml:space="preserve">一、 抗渗砼P6-P8在原单价上另加收5元/m3；P10-P12在原单价上另加收10元/m3；二、 </t>
    </r>
    <r>
      <rPr>
        <sz val="9"/>
        <color indexed="10"/>
        <rFont val="宋体"/>
        <charset val="134"/>
      </rPr>
      <t>水下桩或坍落度</t>
    </r>
    <r>
      <rPr>
        <sz val="9"/>
        <rFont val="宋体"/>
        <charset val="134"/>
      </rPr>
      <t>超过180mm时在原单价上另加收</t>
    </r>
    <r>
      <rPr>
        <sz val="9"/>
        <color indexed="10"/>
        <rFont val="宋体"/>
        <charset val="134"/>
      </rPr>
      <t>13元/ m3</t>
    </r>
    <r>
      <rPr>
        <sz val="9"/>
        <rFont val="宋体"/>
        <charset val="134"/>
      </rPr>
      <t>；细石混凝土在原单价上另加收</t>
    </r>
    <r>
      <rPr>
        <sz val="9"/>
        <color indexed="10"/>
        <rFont val="宋体"/>
        <charset val="134"/>
      </rPr>
      <t>10元/</t>
    </r>
    <r>
      <rPr>
        <sz val="9"/>
        <rFont val="宋体"/>
        <charset val="134"/>
      </rPr>
      <t xml:space="preserve"> m3；三、 路面砼（包括耐磨层、球场、地坪、地面、道路、跑道、找平层或找坡层（除天面、屋面）在原单价上另加收15元/ m3；四、 </t>
    </r>
    <r>
      <rPr>
        <sz val="9"/>
        <color indexed="10"/>
        <rFont val="宋体"/>
        <charset val="134"/>
      </rPr>
      <t>3天早强</t>
    </r>
    <r>
      <rPr>
        <sz val="9"/>
        <rFont val="宋体"/>
        <charset val="134"/>
      </rPr>
      <t>：≤C30混凝土达到70%加20元/m3；达到80%加25元/m3；达到90%加35元/m3；达到100%加45元/m3；≥C35混凝土强度值达到70%加25元/m3；达到80%加30元/m3；达到90%加40元/m3；达到100%加50元/m3。五、</t>
    </r>
    <r>
      <rPr>
        <sz val="9"/>
        <color indexed="10"/>
        <rFont val="宋体"/>
        <charset val="134"/>
      </rPr>
      <t>7天早强</t>
    </r>
    <r>
      <rPr>
        <sz val="9"/>
        <rFont val="宋体"/>
        <charset val="134"/>
      </rPr>
      <t xml:space="preserve">：≤C30混凝土强度值达到80%加10元/m3；达到90%加15元/m3；达到100%加25元/m3；≥C35混凝土强度值达到80%加15元/m3；达到90%加20元/m3；达到100%加30元/m3；六、清水或无粉煤灰（纯水泥）混凝土≤C35加25元/m3；≥C40加20元/m3；七、掺膨胀剂：普通砼掺6%加35元/m3，掺8%加40元/m3，掺10%加45元/m3，掺12%加50元/m3，八、30层以上或100米以上泵送混凝土单价在原单价上另加收18元/ m3；特殊混凝土价格双方另协商。
</t>
    </r>
  </si>
  <si>
    <t>广东力信电建工程有限公司</t>
  </si>
  <si>
    <t>广州市电力工程有限公司</t>
  </si>
  <si>
    <t>如不开具发票，价格下浮3.5%</t>
  </si>
  <si>
    <t>商品砼2元/m³，M10砂浆石粉砼5元/m³</t>
  </si>
  <si>
    <t>220千伏镜湖（雅瑶）输变电工程（不含110千伏线路工程）</t>
  </si>
  <si>
    <t>王英茂 赵国军 雷邦君</t>
  </si>
  <si>
    <r>
      <t>吴冬松 欧海兵、</t>
    </r>
    <r>
      <rPr>
        <sz val="12"/>
        <color indexed="10"/>
        <rFont val="楷体_GB2312"/>
        <family val="3"/>
        <charset val="134"/>
      </rPr>
      <t>新增王英茂、雷邦君</t>
    </r>
  </si>
  <si>
    <t>当月货款次月28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</si>
  <si>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需方每批次浇捣的混凝土尾数只能有一车不足9m3，超出一车以上，按每车达不到9m3的差额部分，另向需方收取30元/m3空运费。</t>
  </si>
  <si>
    <r>
      <t>如遇市场单一原材料价格浮动超过</t>
    </r>
    <r>
      <rPr>
        <u/>
        <sz val="9"/>
        <rFont val="Times New Roman"/>
        <family val="1"/>
      </rPr>
      <t>+</t>
    </r>
    <r>
      <rPr>
        <sz val="9"/>
        <rFont val="Times New Roman"/>
        <family val="1"/>
      </rPr>
      <t>3%</t>
    </r>
    <r>
      <rPr>
        <sz val="9"/>
        <rFont val="宋体"/>
        <charset val="134"/>
      </rPr>
      <t>时，双方再协商一次单价。双方应在</t>
    </r>
    <r>
      <rPr>
        <sz val="9"/>
        <rFont val="Times New Roman"/>
        <family val="1"/>
      </rPr>
      <t>10</t>
    </r>
    <r>
      <rPr>
        <sz val="9"/>
        <rFont val="宋体"/>
        <charset val="134"/>
      </rPr>
      <t>天过渡期内协商一致调整混凝土价格：若双方协商不成，应于一个月内结算付清货款并解除本合同。</t>
    </r>
  </si>
  <si>
    <t>开具发票单位抬头为“广州市电力工程有限公司”，如需方委托“广州市电力工程有限公司”代为支付该项目款项的，供方需协助办理相关手续。</t>
  </si>
  <si>
    <t xml:space="preserve">2014年7月1日至8月31 </t>
  </si>
  <si>
    <t>2014年10月30日付405720（期票为2015年1月27</t>
  </si>
  <si>
    <t>2015年2月14付1152700（期票5.4）</t>
  </si>
  <si>
    <t>2015年3月9付1203260</t>
  </si>
  <si>
    <t>2015年5月14付697172.5（期票8.15）</t>
  </si>
  <si>
    <t>2015年7月21日付999790元（期票10.28）</t>
  </si>
  <si>
    <t>2015年9月26日付219227.5元（期票12.14）</t>
  </si>
  <si>
    <t>2015年10月29日付587735元（承兑汇票2016.1.18-减去航云变电站）</t>
  </si>
  <si>
    <t>2016年2月3日付282430元；（承兑2016.5.2）</t>
  </si>
  <si>
    <t>2017年1月22付280295元（承兑2017.4.17）</t>
  </si>
  <si>
    <t xml:space="preserve">（长泰合同）合同编号:hcgx-sby001-2014
</t>
  </si>
  <si>
    <t>2014年11月18日之前C30：305，19日开始为C15：266 C20：276 C25：286 C30：296  C35：311 C40：326 C45：346 C50：366 C55：396 C60：431   M15湿拌砂浆315  从2015年4月5日上调20元/m3；从2015年7月1日起C15 273 C20 283 C25 293 C30 303 C35 318 C40 333 C45 353 C50 373 C55 403 C60 438 M10砂浆 292 M15砂浆 302</t>
  </si>
  <si>
    <t>3天早强砼及7天早强砼强度必须达到85%以上；  道路混凝土建议不添加粉煤灰，普通砼混凝土不得用于道路、地面或球场等表面有耐磨性要求的部位，如因混凝土本身质量问题造成道路表面起粉等异常现象的质量责任，由此造成的质量问题由甲方承担。</t>
  </si>
  <si>
    <t>名 称</t>
  </si>
  <si>
    <t>水下砼</t>
  </si>
  <si>
    <t>防水砼P6-P8</t>
  </si>
  <si>
    <t>防 水砼P10-P12</t>
  </si>
  <si>
    <t>3 天早强砼</t>
  </si>
  <si>
    <t>7  天早强砼</t>
  </si>
  <si>
    <t>细石砼</t>
  </si>
  <si>
    <t>膨胀砼UEA8%-10%</t>
  </si>
  <si>
    <t>膨胀砼UEA12%</t>
  </si>
  <si>
    <t>不加粉煤灰、砼</t>
  </si>
  <si>
    <t>广东宏昌建设工程有限公司</t>
  </si>
  <si>
    <t>另加费用后</t>
  </si>
  <si>
    <t>水博苑工程-建筑工程施工总承包</t>
  </si>
  <si>
    <t>林树勋</t>
  </si>
  <si>
    <t>郑亿民</t>
  </si>
  <si>
    <t>特殊混凝土单价</t>
  </si>
  <si>
    <t>水下砼 15元/m3 防水P6-P8 5元/m3 防水P10-P12 10元/m3  3天早强砼 15元/m3   7天早强砼 10元/m3  细石砼 10元/m3  膨胀砼UEA8%-10%  30元/m3   膨胀砼UEA8%-12%  40元/m3  不加粉煤灰砼 10元/m3</t>
  </si>
  <si>
    <t>业务信息费3元；提成由蔡镇汉与张文彬各50%</t>
  </si>
  <si>
    <r>
      <t>预付款方式；</t>
    </r>
    <r>
      <rPr>
        <sz val="12"/>
        <color indexed="10"/>
        <rFont val="宋体"/>
        <charset val="134"/>
      </rPr>
      <t>2015年7月1日起付款变更为</t>
    </r>
    <r>
      <rPr>
        <sz val="12"/>
        <rFont val="宋体"/>
        <charset val="134"/>
      </rPr>
      <t>：当月货款次月15日内付清。</t>
    </r>
  </si>
  <si>
    <t>需方每批次浇捣的混凝土尾数只能有一车不足6m³，超出一车以上的，按每车达不到6m³的差额部分，另向需方收取30元/m³的空运费</t>
  </si>
  <si>
    <t>双方约定的价格调整原则：以《2014年第三季度广州地区建设工程常用材料综合价格》中的预拌混凝土综合价格为基准期价，在合同履行期间，若《广州地区建设工程常用材料综合价格》供应当期月份砼市场参考价格涨落超出《2014年第三季度广州地区建设工程常用材料综合价格》基准期价格的3%时，涨落在±3%以内（含±3%）部分不作调整，涨落在±3%以上的，超出±3%的部分款项于确认后的第一次供货时开始调整（注：P0=《2014年第三季度广州地区建设工程常用材料综合价格》的预拌混凝土综合价格为基准期价，P1=《广州地区建设工程常用材料综合价格》供应当期月份砼市场参考价，涨落百分比A=（P1- P0）/ P0*100%）。若价格涨落百分比在±3%以内，乙方不得提出价格调整，不得以此为由拒绝供货或延迟供货，否则造成的一切损失（包括误工费、工期延误等）均由乙方负责，同时甲方保留提出法律诉讼的权利。</t>
  </si>
  <si>
    <t>2014年11月19-11月30</t>
  </si>
  <si>
    <t>2014年11月30付3万元；11月28付2万元</t>
  </si>
  <si>
    <t>2014年12月5付2万元；12月30付10万元+50万元</t>
  </si>
  <si>
    <t>2015年1月14付40万元</t>
  </si>
  <si>
    <t>2015年2月10付10万元+10万元  付10万元（期票为3月30)</t>
  </si>
  <si>
    <t>2015年4月24付20万+4月29付40万元(期票5.10)</t>
  </si>
  <si>
    <t>2015年5月20付50万元</t>
  </si>
  <si>
    <t>2015年6月5付40万（期票6.12）</t>
  </si>
  <si>
    <t>2015年7月14日付20万</t>
  </si>
  <si>
    <t>2015年7月28付5万（期票8月）+2015年8月14日付116231元（期票9.20）</t>
  </si>
  <si>
    <t>2015年10月11日付304635元（期票11.15）+10月8日付762693.5元（期票11.9）</t>
  </si>
  <si>
    <t>2015年11月25日付152872元（期票12.30）</t>
  </si>
  <si>
    <t>2015年12月11日付206883.5元（期票12.15）</t>
  </si>
  <si>
    <t>2017年2月28日付5万</t>
  </si>
  <si>
    <t>2017年4月13日付5万</t>
  </si>
  <si>
    <t>2017年6月12日付60883.16元</t>
  </si>
  <si>
    <t>2017年7月21日付59158.84元（期票8.31）</t>
  </si>
  <si>
    <t>长兴合同编号:CX15-1123</t>
  </si>
  <si>
    <t>C10：223 C15：233 C20：243 C25：253 C30：263 C35：273 C40：288 C45：303 C50：323 C55：343 C60：373  C65 413 从2016年3月1日付下调5元/方；（C30:258)</t>
  </si>
  <si>
    <t>1、本单价为到场不含税价；含税单价每立方增加4%。2、砼所用水泥指定用“华润”、“海螺”；3、抗渗P6- P8加5元/立方；4、瓜米石砼在原级别单价上加10元/立方;5、微膨胀砼在原级别单价上加30元/立方;6、泵送砂浆单价按同批次标号混凝土单价。7、C20及其以上等级的砼均能较好地满足泵送要求。8、坍落度超过180mm时在原级别单价上加10元/立方;水下桩砼在原级别单价上加15元/立方;</t>
  </si>
  <si>
    <t xml:space="preserve"> 其它约定事项：若砼原材料单价波动幅度在±5％内不予调整，大于±5％时以实际发生月份相应的广州市造价信息公布原材料单价同开始施工月份相应的广州市造价信息公布原材料超过±5％的单价之差，按双方各承担50％的原则进行调差，本月发生工程量的调差于下月进行。本协议单价是以签约月份的广州市造价信息公布的原材料单价为基准而确定的，以后双方签约以此为砼原材料调价基价，按上述调价办法调整每月实际发生量的供货货款。单价调整时每立方米砼的原材料双方按如下标准执行：水泥290㎏、中砂0.48M3、碎石0.72M3，不再区分实际用砼的差异，统一执行调价标准。</t>
  </si>
  <si>
    <t xml:space="preserve">广州尚智建筑劳务有限公司  </t>
  </si>
  <si>
    <t>中海广钢新城AF040137、040138地块项目及幼儿园、托儿所</t>
  </si>
  <si>
    <t>杨</t>
  </si>
  <si>
    <t>联系电话13609771431</t>
  </si>
  <si>
    <t>若砼原材料单价波动幅度在±5％内不予调整，大于±5％时以实际发生月份相应的广州市造价信息公布原材料单价同开始施工月份相应的广州市造价信息公布原材料超过±5％的单价之差，按双方各承担50％的原则进行调差，本月发生工程量的调差于下月进行。本协议单价是以签约月份的广州市造价信息公布的原材料单价为基准而确定的，以后双方签约以此为砼原材料调价基价，按上述调价办法调整每月实际发生量的供货货款。单价调整时每立方米砼的原材料双方按如下标准执行：水泥290㎏、中砂0.48M3、碎石0.72M3，不再区分实际用砼的差异，统一执行调价标准。</t>
  </si>
  <si>
    <t>我司承诺于2017年8月1日前将所有货款全部付清。</t>
  </si>
  <si>
    <t>荔湾区质量安全监督站</t>
  </si>
  <si>
    <t>罗雄、李智林</t>
  </si>
  <si>
    <t>方强、郑仁坤、樊有权</t>
  </si>
  <si>
    <t>自供砼之日起，第一个月与第二个月的货款于第五个月20日内支付75%，第三个月与第四个月的货款于第七个月20日内支付75%，以此类推。（如1月份与2月份的货款的75%于5月20日前支付，3月份与4月份货款的75%于7月20日前支付）。余留款为供方总货款的25%作为保证金，在本合同工程砼供应完成后三个月内，供方将完整的资料及份数向需方提供后，需方向供方一次性支付清余款。需方未能按照国家质量标准，保质、保量、保证供应，混凝土设计配合比未能符合国家标准要求的，需方有权在保证金里扣除相应的责任款项。</t>
  </si>
  <si>
    <t>需方要求供方供应的混凝土每批次尾料只能有一车不足5 m3，否则需方应按每车支付50元的运费补偿给供方。</t>
  </si>
  <si>
    <t>按公司规定；业务信息费3元/m3</t>
  </si>
  <si>
    <t>2016年4月28日付265459元；</t>
  </si>
  <si>
    <t>2016年6月20日付228788元</t>
  </si>
  <si>
    <t>2016年7月26日付3445310元；</t>
  </si>
  <si>
    <t>2016年9月1日付2918940元；</t>
  </si>
  <si>
    <t>2016年9月30日付2011360元（期票10.12）+1701720元（期票10.31）</t>
  </si>
  <si>
    <t>2016年12月8日付1877400元</t>
  </si>
  <si>
    <t>2016年12月29日付1353513元</t>
  </si>
  <si>
    <t>2017年1月21日付615157元（期票1.25）</t>
  </si>
  <si>
    <t>2017年3月16日付300万（期票7.1到期）</t>
  </si>
  <si>
    <t>2015年9月至2016年12月调差款</t>
  </si>
  <si>
    <t>2017年5月26日付70万</t>
  </si>
  <si>
    <t>2017年1月至7月调差款</t>
  </si>
  <si>
    <t>2017年8月28日付1957968元；+301元</t>
  </si>
  <si>
    <t>合同编号:QS2015[003]号
长兴合同</t>
  </si>
  <si>
    <t>广州市白云区金沙洲环洲路金悦广场813室杨巧芬：13416122570</t>
  </si>
  <si>
    <t>不含税结算单价</t>
  </si>
  <si>
    <t xml:space="preserve">C15：283  C20：293  C25：303  C30：313   C35：328 C40：343 C45：363 C50：383 C55：408 C60：438 C65:478 从2016年3月1日起下调35元C30 278 从2016年12月10日起上调30元；C30 308；从2016年12月15日起上调30元；C30 338; </t>
  </si>
  <si>
    <t>1、按实供货数量（现场签收货单）结算。2、抗渗砼按同等级普通砼增价：P8（含P8）及以下增 5 元/m3，P10（含P10）以上增 10 元/m3。3、零星膨胀砼按同等级普通砼增价25元/m3,大数量膨胀砼双方另行议价。4、水下桩砼按同等级普通砼增价10元/m3。 5、早强砼按同等级普通砼增价：三天早强增20元/m3，七天早强增10元/m3，特殊情况单价另议。6、不掺粉煤灰砼按同等级普通砼增价15元/m3。7、瓜米石砼按同等级普通砼增价15元/m3。8、如材料（主要是水泥、石、砂）单价升减5%以内，单价不作调整，升减达到5%以上，单价另作调整，双方以书面形式确认。</t>
  </si>
  <si>
    <t>南通四建集团有限公司</t>
  </si>
  <si>
    <t>不含税</t>
  </si>
  <si>
    <t>广钢新城AF040403、AF0404地块项目（自编号：A1栋、A2栋、A3、A4栋）</t>
  </si>
  <si>
    <t>李威</t>
  </si>
  <si>
    <t>陈任其、郭先扬</t>
  </si>
  <si>
    <t>按公司提成（业务信息费8元/方）</t>
  </si>
  <si>
    <r>
      <t>1从供方正式供货之日起，地下室部分采用中海节点同步付款（即：底板付款一次，地下室顶板完成付款一次），该节点的80%砼款在需方收到中海该节点款项之日起五天内付清。（</t>
    </r>
    <r>
      <rPr>
        <sz val="9"/>
        <color indexed="10"/>
        <rFont val="宋体"/>
        <charset val="134"/>
      </rPr>
      <t>即最迟底板部位的货款应于2015年8月30日前付清所供砼款的80%；地下室顶板于2015年9月30日前付清所供砼款的80%</t>
    </r>
    <r>
      <rPr>
        <sz val="9"/>
        <rFont val="宋体"/>
        <charset val="134"/>
      </rPr>
      <t>）。2、+0.00以上部位采用当月货款的80%需方在次月30号前付清，以此类推（前提：货款所属月资料需提供给需方，若资料不齐（双方在资料交付时确认），需方有权在供方资料齐全后付款）。3、每月剩余20%的砼款需方在该工程混凝土主体结构封顶，即供应至天面时（从最后一次供砼之日算起，如因需方原因连续十天仍未能供砼的视为封顶）后三个月内每月平均支付至90%（百分之九十）。4、所有砼款最迟应在2016年07月31日前付清（前提在所有资料提供完毕,并通过需方资料员验收，若后期有资料需要补充和修改，供方需无条件配合）。</t>
    </r>
  </si>
  <si>
    <t>需方每批次浇捣的混凝土尾数只能有一车不足8m3，超出一车以上，按每车达不到8m3的差额部分，另向需方收取50元/m3空运费。若单批次浇捣的混凝土只有一车且不足8m3的，须向需方收取50元/m3空运费。润泵砂浆不收取空运费。</t>
  </si>
  <si>
    <t>2017年6月份写申请，按付款承诺（2017年6月5日付100万（期票7.31）2017年</t>
  </si>
  <si>
    <t>2015年8月3日付款255万</t>
  </si>
  <si>
    <t>2015年9月6日付200万+2015年9月14日付2669921.6元</t>
  </si>
  <si>
    <t>2015年10月15付2481158.4元</t>
  </si>
  <si>
    <t>2015年11月16付200万元</t>
  </si>
  <si>
    <t>2015年12月21日付1975042.4元（期票2016.1.15）；200万（期票2016.1.15）</t>
  </si>
  <si>
    <t>2016年2月3日付4021118.4万；2月4日付2548287.2元（期票4.8）</t>
  </si>
  <si>
    <t>2016年4月30日付100万</t>
  </si>
  <si>
    <t>2016年5月18日付50万+2016年5月31日付300万</t>
  </si>
  <si>
    <t>2016年6月15日付1562274.40元（期票6.30-延期7.8）</t>
  </si>
  <si>
    <t>2016年5月11日A4栋主体封顶；A3栋5月14日封顶。</t>
  </si>
  <si>
    <t>2016年8月13付1171159.20元（期票8.19）</t>
  </si>
  <si>
    <r>
      <t>2016年7月31日付170万（延期10.15）+666380元；（延期至9.9）+1171159.20元（期票8.13）</t>
    </r>
    <r>
      <rPr>
        <b/>
        <sz val="12"/>
        <color indexed="10"/>
        <rFont val="宋体"/>
        <charset val="134"/>
      </rPr>
      <t>+1843167.7元（延期2016.11.21）</t>
    </r>
  </si>
  <si>
    <t>2016年11月18日付1343167.7元</t>
  </si>
  <si>
    <t>2016年12月9日付50万</t>
  </si>
  <si>
    <t>2017年1月22日付865989元</t>
  </si>
  <si>
    <t>2017年6月5日付100万（期票7.31）+付100万（期票9.15）+付100万（期票9.30）+付622519.7元</t>
  </si>
  <si>
    <t>合同编号:CX15-0613（长兴合同）</t>
  </si>
  <si>
    <t>C15：270  C20：280  C25：290  C30：300 C35：315  C40：330 C45：350 C50：370 C55：395 C60：425 润泵砂浆单价按C30混凝土单价结算；</t>
  </si>
  <si>
    <r>
      <t>1、按实供货数量（现场签收货单）结算。2、抗渗砼按同等级普通砼增价：P8（含P8）及以下增5元/m³，P10（含P10）以上增10元/m³。3、零星膨胀砼按同等级普通砼增价25元/m³。4、大数量膨胀砼双方另行议价。5、水下桩砼按同等级普通砼增价10元/m³（塌落度大约180）。6、早强砼按同等级普通砼增价：三天早强增加20元/m³，七天早强增加10元/m³，特殊情况单价另议。7、不掺粉煤灰砼按同等级普通砼增价15元/m³。8、瓜米石砼按同等级普通砼增价15元/m³。9、单价为不含税价，含税价增3%。
如材料（主要是水泥、石、砂）单价升减5%以内，单价不作调整，升减达到5%以上，单价另作调整，双方以书面形式确认。附：</t>
    </r>
    <r>
      <rPr>
        <sz val="11"/>
        <color indexed="10"/>
        <rFont val="宋体"/>
        <charset val="134"/>
      </rPr>
      <t>洗泵管清水、洗管清水单价35元/方；一车不足7方按7方计。润泵砂浆按C30混凝土单价结算。C65单价在C60原等级单价上增加40元/方；</t>
    </r>
  </si>
  <si>
    <t>中太建设集团股份有限公司</t>
  </si>
  <si>
    <t>四川中宇建设工程有限公司</t>
  </si>
  <si>
    <t>含税单价增加3%</t>
  </si>
  <si>
    <t>中海广钢新城AF040404地块项目B1B2B7B8四栋主楼和C10C11两栋售楼部</t>
  </si>
  <si>
    <t>陈俊儒</t>
  </si>
  <si>
    <t>徐祥中、刘智慧、张辽东</t>
  </si>
  <si>
    <t>（属公司业务）1.5%；业务信息费6元/方</t>
  </si>
  <si>
    <t>从供货之日起，采用月结方式结算，当月货款的80%在次月30号前支付，剩下20%在该工程封顶三个月内付清（2017年12月31日前付清所有的砼款）。2、如需方不按合同付款，供方有权停止供砼，逾期每日按万分之五支付违约金。2016.3.1补充协议：更改工程项目竣工验收后十天内一次性付清。</t>
  </si>
  <si>
    <t>需方每批次浇捣的混凝土尾数只能有一车不足8m3，超出一车以上，按每车达不到8m3的差额部分，另向需方收取50元/m3空运费。若单批次浇捣的混凝土只有一车且不足8m3的，须向需方收取50元/m3空运费。润泵砂浆不收取空运费。（2016.1.7写申请减免）</t>
  </si>
  <si>
    <t>2015年8月6日付200万</t>
  </si>
  <si>
    <t>2015年10月10日付500万（期票10.29）</t>
  </si>
  <si>
    <t>2015年12月4日付400万（期票2016.1.10-延期到1.18）</t>
  </si>
  <si>
    <t>2016年02月1日付100万（期票4.15）+200万</t>
  </si>
  <si>
    <t>提供竣工验收资料时间为2016年3月31日</t>
  </si>
  <si>
    <t>2016年7月6日付120万</t>
  </si>
  <si>
    <t>2016年8月26日付150万（期票10.25）</t>
  </si>
  <si>
    <t>2016年11月18日付300万（期票2017.1.20）</t>
  </si>
  <si>
    <t>2017年7月24日付1393262.5元（期票10.30）</t>
  </si>
  <si>
    <t>长兴合同编号:CX16-0226</t>
  </si>
  <si>
    <t xml:space="preserve">D1幢为地上9层；地下-3层；层高为35米；D2、D3幢为地上26地下为-3层；结构类型：剪力墙结构 </t>
  </si>
  <si>
    <t>C15：245 C20：255  C25：265  C30：275       C35：290 C40：305 C45：325  C50：345 C55：370 C60：400 从7.15起上调20元 C30 295 从2016年7月15日起上调20元 C30 295 ；从2016年12月10号上调20元；C30 315 从2016年12月15日起上调335</t>
  </si>
  <si>
    <t xml:space="preserve">1、按实供货数量（现场签收货单）结算。2、抗渗砼按同等级普通砼增价：P8（含P8）及以下增5元/m³，P10（含P10）以上增10元/m³。3、零星膨胀砼按同等级普通砼增价25元/m³。4、大数量膨胀砼双方另行议价。5、水下桩砼按同等级普通砼增价10元/m³（塌落度大约180）。6、早强砼按同等级普通砼增价：三天早强增加20元/m³，七天早强增加10元/m³，特殊情况单价另议。7、不掺粉煤灰砼按同等级普通砼增价15元/m³。8、瓜米石砼按同等级普通砼增价15元/m³。9、单价为不含税价，含税价增3%。
</t>
  </si>
  <si>
    <t>广钢新城AF040137、AF040138地块项目商业（自编号D1、D2、D3栋）</t>
  </si>
  <si>
    <t>徐祥中、</t>
  </si>
  <si>
    <t>地址</t>
  </si>
  <si>
    <t>荔湾区芳村大道南，鹤洞路以南AF040137、AF040138地块</t>
  </si>
  <si>
    <t>如材料（主要是水泥、石、砂）单价升减5%以内，单价不作调整，升减达到5%以上，单价另作调整，双方以书面形式确认。</t>
  </si>
  <si>
    <t>按公司规定提；业务信息费10元/元；</t>
  </si>
  <si>
    <t>从供货之日起，采用月结方式结算，当月（当月为第一个月）货款的80%在第三个月30号前支付，剩下20%在该工程项目竣工验收后10天内一次性付清（需方应最迟于  2017 年  10 月  31  日前付清所有的砼款）。2、如需方不按合同付款，供方有权停止供砼，逾期每日按万分之五支付违约金。</t>
  </si>
  <si>
    <r>
      <t>需方每批次浇捣的混凝土尾数只能有一车不足8m3，超出一车以上，按每次不到8m3的差额部分，另向需方收取50元/m3空运费。若单批次浇捣的混凝土只有一车且不足8m3的，须向需方收取不足8 m3部分的50元/m3空运费。（</t>
    </r>
    <r>
      <rPr>
        <sz val="10"/>
        <color indexed="10"/>
        <rFont val="宋体"/>
        <charset val="134"/>
      </rPr>
      <t>从2016年4月份起尾数有变动</t>
    </r>
    <r>
      <rPr>
        <sz val="10"/>
        <rFont val="宋体"/>
        <charset val="134"/>
      </rPr>
      <t>）当天浇筑只能有一车不足5方，超出一车按5方的差额收取30元/方的空运费。</t>
    </r>
  </si>
  <si>
    <t>2016年6月15日付280万（延期6.20）</t>
  </si>
  <si>
    <t>2016年7月27日付2497458元（期票8.15-）</t>
  </si>
  <si>
    <t>2016年8月26日付100万（期票10.15）</t>
  </si>
  <si>
    <t>2016年9月27日付100万（期票10.25）</t>
  </si>
  <si>
    <t>2016年11月18日付200万（期票2017.1.20）</t>
  </si>
  <si>
    <t>5月份开票税金</t>
  </si>
  <si>
    <t>2017年7月24日付100万（期票11.30）</t>
  </si>
  <si>
    <t>泰兴合同编号:2016砼-03</t>
  </si>
  <si>
    <t>地上9幢；地下三层；30万平方米</t>
  </si>
  <si>
    <t>C15：248 C20：258  C25：268  C30：278       C35：293 C40：308 C45：328  C50：348 C55：368 C60：388 从2016年12月15日至12月19日上调20元；C30 298 2016年12月20日至1月28日上调30元；C30 328；2017.1.27起C30 278</t>
  </si>
  <si>
    <t>附加抗渗S6-S8，在原单价基础上增加5元/m3，附加抗渗S10-S12，在原单价基础上增加10 元/m3；如为水下混凝土，则在原单价基础上每立方增加15元；如为细石混凝土，则在原单价基础上每立方增加15元；3天早强达到80%在原单价基础上每立方增加30 元；5天早强达到85%在原单价基础上每立方增加 20 元；7天早强在原单价基础上每立方增加10元；膨胀剂来料加工加5元/m3的加工费；如附加膨胀剂功效则在原单价基础上每立方增加35元；润泵砂浆 300元/m3。自密实混凝土：C40增加45元/m3，C50增加50元/m3，C60增加40元/m3；超高层混凝土增加费：210-250米增加15元/m3。</t>
  </si>
  <si>
    <t>广州红云化工厂项目</t>
  </si>
  <si>
    <t>夏之云</t>
  </si>
  <si>
    <t>联系电话020-85279050</t>
  </si>
  <si>
    <t>以广州市建设工程造价管理站公布的2015年4季度普通混凝土价格为基准。若市场混凝土价格有波动时，按混凝土供货期间广州市建设工程造价管理站公布的对应标号普通混凝土的价格与该站2015年4季度公布的对应标号普通混凝土的价格进行对比，超过【-3%、+3%】以外时，调整超过部分的价差，浮动在【-3%、+3%】以内时（含±3%）以内不作调整。材料价差计算方法按下列公式计算：C=(B/A-(1+5%))*D(当B大于A时)或C=(B/A-(1-5%))*D(当B小于A时)其中：C是可调整的价差；B为混凝土供应期间广州市建设工程造价管理站公布的季度对应标号普通混凝土的价格；A为2015年4季度广州市建设工程造价管理站公布的《工程常用材料综合价格》对应标号普通混凝土的价格，D为合同固定结算单价。调整价差=E*C，其中：E为结算时双方确认的季度供应混凝土数量。</t>
  </si>
  <si>
    <t>付饶、汤凌霄、鲁胜蓝、张英明</t>
  </si>
  <si>
    <t>王功福</t>
  </si>
  <si>
    <r>
      <t>从2016年 3 月 19 日开始，原合同约定的付款条件：每月20日结算后，混凝土供应第三个月开始支付第一个月结算额的70%货款，宽限期15天，以此类推，余30%货款在当期工程主体封顶后六个月内支付至95%，余5%作为质量保证金，在工程竣工验收后6各月内支付。</t>
    </r>
    <r>
      <rPr>
        <sz val="10"/>
        <color indexed="10"/>
        <rFont val="宋体"/>
        <charset val="134"/>
      </rPr>
      <t>修改为：每月20日结算后，混凝土供应第七个月开始支付第一个月结算额的70%货款，宽限期15天，以此类推，余30%货款在当期工程主体封顶后六个月内支付至95%，余5%作为质量保证金，在工程竣工验收后6个月内支付。</t>
    </r>
  </si>
  <si>
    <t>按公司规定提；当地地材费15元；</t>
  </si>
  <si>
    <t>2015年11月10日至12月20日</t>
  </si>
  <si>
    <t>2015年12月21日至2016年1月20日</t>
  </si>
  <si>
    <t>2016年1月21日至2月20日</t>
  </si>
  <si>
    <t>2016年2月21日至3月20日</t>
  </si>
  <si>
    <t>2016年3月21日至4月20日</t>
  </si>
  <si>
    <t>2016年4月18日至5月18日</t>
  </si>
  <si>
    <t>2016年5月18日至6月18日</t>
  </si>
  <si>
    <t>2016年6月18日至7月18日</t>
  </si>
  <si>
    <t>2016年7月18日至8月18日</t>
  </si>
  <si>
    <t>2016年8月18日至9月19日</t>
  </si>
  <si>
    <t>2016年10月11日付5086995.73元（贴现109942.7元）--退回</t>
  </si>
  <si>
    <t>2016年9月18日至10月20日</t>
  </si>
  <si>
    <t>于2016年11月12日申请更改付款方式。</t>
  </si>
  <si>
    <t>2016年10月18日至11月21日</t>
  </si>
  <si>
    <t>2016年11月30日付706255.44元</t>
  </si>
  <si>
    <t>2016年11月17日至12月14日</t>
  </si>
  <si>
    <t>2016年12月付1463858.48元</t>
  </si>
  <si>
    <t>2016年12月15日至2017年1月23日</t>
  </si>
  <si>
    <t>2017年1月12日付382439.88元</t>
  </si>
  <si>
    <t>2016.12.15至2017.1.28调差</t>
  </si>
  <si>
    <t>2017年2月付440636.66元</t>
  </si>
  <si>
    <t>2017年1月16日至2017年3月15日</t>
  </si>
  <si>
    <t>2017年3月16日至2017年4月16日</t>
  </si>
  <si>
    <t>2017年4月17日至2017年5月14日</t>
  </si>
  <si>
    <t>2017年5月15日至2017年6月15日</t>
  </si>
  <si>
    <t>2017年6月29日付4580560元</t>
  </si>
  <si>
    <t>2017年6月16日至2017年7月16日</t>
  </si>
  <si>
    <t>2017年7月付745288.16元</t>
  </si>
  <si>
    <t>2017年7月16日至2017年8月16日</t>
  </si>
  <si>
    <t>2017年8月25日付112848.09元</t>
  </si>
  <si>
    <t>长兴合同编号:DXGS-WZ-2015001</t>
  </si>
  <si>
    <t xml:space="preserve">C15：244 C20：253 C25:260 C30：267 4 C35：277 C40：288  C45：299 C50：309  C55：325 C60：338  砂浆 350 从2016年12月10日付20元；C30 287.4 从2016年12月15日上调20元 C30 307.4 </t>
  </si>
  <si>
    <t>一、C40抗折达到5.0，每立方在原等级单价基础上增加20元/m3.二、砂浆单价350元/立方。三、抗渗砼P6-P8在原单价上另加收5元/m3；P10-P12在原单价上另加收10元/m3；四、水下桩或坍落度超过180mm时在原单价上另加收10元/ m3；细石混凝土在原单价上另加收10元/ m3；五、路面砼（包括耐磨层、球场、地坪、地面、道路、跑道、车道、找平层或找坡层（除天面、屋面）在原单价上另加收10元/ m3；五、7天早强：混凝土强度值达到90%加10元/m3；达到100%加15元/m3； 六、无粉煤灰（纯水泥）砼加15元/m3；清水砼加20元/m3。七、掺膨胀剂：普通砼掺10%以内加35元/m3，掺12%加45元/m3。</t>
  </si>
  <si>
    <t>广东省建筑工程机械施工有限公司</t>
  </si>
  <si>
    <t>东新高速公路扩建项目</t>
  </si>
  <si>
    <t>林经理</t>
  </si>
  <si>
    <t>联系电话13380059633</t>
  </si>
  <si>
    <t>1.单价四舍五入保留整数2.双方约定以供料当季度广州市建设工程造价管理站发布的《广州地区建设工程常用综合价格》混凝土信息价中普通混泥土价格（泵送非泵送均按此价）下浮24%为供料当季度的结算单价。
信息价未公布的，先沿用上季度信息价，待信息价公布后，相应价差于公布当月进度款中一并调整。</t>
  </si>
  <si>
    <t>蔡妃全、李玉全</t>
  </si>
  <si>
    <t>罗冠星</t>
  </si>
  <si>
    <t>每自然月为一个供货期。次月15日之前完成对账，供方先提供发票，需方于次月30日之前支付上月供货期货款的80%。本工程工期600天。600天完工后三个月支付至95%，600天完工后六个月支付剩余全部货款。</t>
  </si>
  <si>
    <t>需方每批次浇捣的混凝土尾数只能有一车不足9m3，超出一车以上，按每车达不到9m3的差额部分，另向需方收取20元/m3空运费。</t>
  </si>
  <si>
    <t>2016年02月3日付5万元；</t>
  </si>
  <si>
    <t>2016年5月26日付20万</t>
  </si>
  <si>
    <t>2016年7月6日付30万</t>
  </si>
  <si>
    <t>2016年8月10日付40万</t>
  </si>
  <si>
    <t>2016年9月29日付32万</t>
  </si>
  <si>
    <t>2016年11月9日付15万</t>
  </si>
  <si>
    <t>2016年11月29日付30万</t>
  </si>
  <si>
    <t>2016年12月16日付10万</t>
  </si>
  <si>
    <t>2017年1月4日付12万+1月19日付20万；1月24日付10万</t>
  </si>
  <si>
    <t>2016年二季度调差</t>
  </si>
  <si>
    <t>2016年三季度调差</t>
  </si>
  <si>
    <t>2016年第四季度</t>
  </si>
  <si>
    <t>2017年3月31日付10万</t>
  </si>
  <si>
    <t>2017年5月8日付89万元</t>
  </si>
  <si>
    <t>2017年6月14日付26万</t>
  </si>
  <si>
    <t>2017年7月20日付41万</t>
  </si>
  <si>
    <t>2017年8月29日付97万（退25万）</t>
  </si>
  <si>
    <t>长兴合同编号:HN-15-111</t>
  </si>
  <si>
    <t>本工程幼儿园1幢，地上3层（部分2层），建筑面积2922平方米</t>
  </si>
  <si>
    <t xml:space="preserve">C15 242 C20 252 C25 262 C30 272 C35 287 砂浆 300 C40 302 </t>
  </si>
  <si>
    <t>各标号抗渗p6-p8每立方增加5元；抗渗p10-p12每立方增加10元；2、各标号微膨胀6%-8%商品砼每立方增加30元；微膨胀剂10%-12%商品砼每立方增加40元；3、水下砼、细石混凝土每立方增加15元；</t>
  </si>
  <si>
    <t>中建三局第二建筑工程有限责任公司华南公司</t>
  </si>
  <si>
    <t>广州市鸣翠花园幼儿园项目</t>
  </si>
  <si>
    <t xml:space="preserve">1000m3 </t>
  </si>
  <si>
    <t>联系电话15812431851</t>
  </si>
  <si>
    <t>在本工程供应期间，价格调整以2015年1季度《广州工程造价信息》中公布的广州市同标号商品混凝土信息价（普通混凝土）为基准，涨跌在±5%以内不作任何调整，涨跌若超过±5%以内不作任何调整，涨跌若超过±5%，则仅超过±5%以外的价格进行同比例调整。计算方法为：若（C-B)/B&gt;5%,则D=A[(C-B)/B-5%]; 若（C-B)/B&gt;-5%,则D=-A[/(C-B)//B-5%](A表示本次商砼对应的合同价；B表示2015年1季度《广州工程造价信息》中公布的广州市各标号商品混凝土信息价(商品混凝土）；C表示供应期间当季《广州工程造价信息》中公布的供应当季广州市各标号商品混凝土信息价（商品混凝土）；D表示在原合同价基础上应调整的价格）。润泵砂浆供应期间按本合同单价单价执行不作调整。</t>
  </si>
  <si>
    <t>混凝土浇筑完毕后每月16-20日至项目商务部办理结算手续，供方提供全额商品混凝土销售发票并出具财务收款收据，需方于次月支付当期商品混凝土货款的70%，每月30%的余款作为质量和履约保证金在该部分工程主体结构全部封顶后6个内支付到总结算额的95%，余款5%在工程竣工后1个月内付清，供方接受六个月的商业承诺汇票及银行承兑汇票，相关贴息费用供方全部承担。若供方原因未能按月办理相关结算手续，则需方有权停止支付供方款项，所带来的违约责任由供方承担。</t>
  </si>
  <si>
    <t>按公司规定；业务信息费4元/方；</t>
  </si>
  <si>
    <t>2015年11月16日至2016年1月20日</t>
  </si>
  <si>
    <t>2015年1月10日至2016年3月29日</t>
  </si>
  <si>
    <t>2016年2月3日付11万</t>
  </si>
  <si>
    <t>2016年第一季度</t>
  </si>
  <si>
    <t>2017年1月24日付15万</t>
  </si>
  <si>
    <t>2015.12.16</t>
  </si>
  <si>
    <r>
      <t>长泰合同编号:HN-15-111从</t>
    </r>
    <r>
      <rPr>
        <b/>
        <sz val="12"/>
        <color indexed="10"/>
        <rFont val="楷体_GB2312"/>
        <family val="3"/>
        <charset val="134"/>
      </rPr>
      <t>2017年4月20日起变更长兴合同；合同编号：HN-17-30</t>
    </r>
  </si>
  <si>
    <t>广州市海珠区金成商务中心中建三局二公司，尤松收，电话159-8913-5279</t>
  </si>
  <si>
    <t>该项目用地面积14603平方米，总建筑面积201396平方米，包括两栋高度202米的42层超高层办公楼（含4层商业裙房），地下为5层</t>
  </si>
  <si>
    <t>润管砂浆 300 C15 242 C20 252 C25 262 C30 272 C35 287 C40 302 C45 319 C50 339 C55 359 C60 379从2016年12月14日至2017年1月27日起上调28元；（此期间不做调差）C30 300; 2017年1月27起 C30 272 ；从2017年4月23日起上调8元/方；C30 280元/方；</t>
  </si>
  <si>
    <r>
      <t>各标号抗渗p6-p8每立方增加5元；抗渗p10-p12每立方增加8元；2、各标号微膨胀6%-8%商品砼每立方增加25元；微膨胀剂10%-12%商品砼每立方增加35元；3、各标号细石混凝土每立方增加12元；4、如需方提供外加剂时供方负责存储、加工及人工，每立方增加3元；水下加15元；三天达75%加20元；早强7天达75%加10元；WK抗裂纤维膨胀剂45元（</t>
    </r>
    <r>
      <rPr>
        <sz val="11"/>
        <color indexed="10"/>
        <rFont val="宋体"/>
        <charset val="134"/>
      </rPr>
      <t>公司实收40元</t>
    </r>
    <r>
      <rPr>
        <sz val="11"/>
        <color indexed="8"/>
        <rFont val="宋体"/>
        <charset val="134"/>
      </rPr>
      <t>）自密实C60在原等级单价基础上增加60元；自密实C55在原等级单价基础上增加70元；自密实C50在原等级单价基础上增加80元；</t>
    </r>
  </si>
  <si>
    <t>广州市广铝、远大总部经济大厦项目总承包工程</t>
  </si>
  <si>
    <t>130000m3</t>
  </si>
  <si>
    <t>杨星；刘吉君；胡涛；刘鑫鑫；</t>
  </si>
  <si>
    <t>按公司规定；业务信息费4元/m3</t>
  </si>
  <si>
    <t>2016.1.1至2016.3.12</t>
  </si>
  <si>
    <t>2016.3.12至2016.4.12</t>
  </si>
  <si>
    <t>2016.4.13至2016.5.15</t>
  </si>
  <si>
    <t>2016年5月30日付60万</t>
  </si>
  <si>
    <t>2016.5.22至2016.6.13</t>
  </si>
  <si>
    <t>2016.6.14至2016.7.15</t>
  </si>
  <si>
    <t>2016.7.16至2016.8.15</t>
  </si>
  <si>
    <t>2016.8.16至2016.9.13</t>
  </si>
  <si>
    <t>2016年9月13日付25万</t>
  </si>
  <si>
    <t>2016.9.14至2016.10.15</t>
  </si>
  <si>
    <t>2016.10.14至2016.11.15</t>
  </si>
  <si>
    <t>2016年11月28日付500万（期票17.2.8）</t>
  </si>
  <si>
    <t>2016.11.16至2016.12.13</t>
  </si>
  <si>
    <t>2017年1月23日付150万</t>
  </si>
  <si>
    <t>2016.11.16至2017.1.14</t>
  </si>
  <si>
    <t>2017.1.16至2017.2.14</t>
  </si>
  <si>
    <t>2017.2.16至2017.3.14</t>
  </si>
  <si>
    <t>2017年3月31日付50万</t>
  </si>
  <si>
    <t>2017.3.16至2017.4.13</t>
  </si>
  <si>
    <t>2017.4.14至2017.5.15</t>
  </si>
  <si>
    <t>2017年6月1日付230万（承兑11月26日）</t>
  </si>
  <si>
    <t>2017.5.16至2017.6.13</t>
  </si>
  <si>
    <t>2017.6.14至2017.7.12</t>
  </si>
  <si>
    <t>2017年8月28日付64万</t>
  </si>
  <si>
    <t>2017年4月20日起变更长兴合同；合同编号：HN-17-30</t>
  </si>
  <si>
    <t>2016.3.7</t>
  </si>
  <si>
    <t>长兴合同编号:CX16-0304</t>
  </si>
  <si>
    <t>项目总用地面积13660平方米，将共建3栋均为33层的住宅楼。地下一层。</t>
  </si>
  <si>
    <t>C15 230 C20 240 C25 250 C30 260 C35 275 C40 290 C45 305 C50 325 C55 350 C60 375 C65 435 C70 485 C75 565 C80 645 从2016年5月12日下调2元 C30 258 从2016年12月15日至12月19日上调20元；C30 280 2016年12月20日至1月28日上调40元；C30 320 从2017年3月1日起上调20元；C30 278元；</t>
  </si>
  <si>
    <t>附加抗渗S6-S8，在原单价基础上增加5元/m3，附加抗渗S10-S12，在原单价基础上增加10 元/m3；如为水下混凝土，则在原单价基础上每立方增加15元；如为细石混凝土，则在原单价基础上每立方增加15元；早强混凝土在原单价基础上每立方增加30 元；润泵砂浆 300元/m3。自密实混凝土：C40增加45元/m3，C50增加50元/m3，C60增加40元/m3；超高层混凝土增加费：210-250米增加15元/m3。</t>
  </si>
  <si>
    <t>以广州市建设工程造价管理站公布的2015年4季度普通混凝土价格为基准。若市场混凝土价格有波动时，按混凝土供货期间广州市建设工程造价管理站公布的对应标号普通混凝土的价格与该站2015年4季度公布的对应标号普通混凝土的价格进行对比，超过【-5%、+5%】以外时，调整超过部分的价差，浮动在【-5%、+5%】以内时（含±5%）以内不作调整。材料价差计算方法按下列公式计算：C=(B/A-(1+5%))*D(当B大于A时)或C=(B/A-(1-5%))*D(当B小于A时)其中：C是可调整的价差；B为混凝土供应期间广州市建设工程造价管理站公布的季度对应标号普通混凝土的价格；A为2015年4季度广州市建设工程造价管理站公布的《工程常用材料综合价格》对应标号普通混凝土的价格，D为合同固定结算单价。调整价差=E*C，其中：E为结算时双方确认的季度供应混凝土数量。</t>
  </si>
  <si>
    <t>广州广纸地块项目</t>
  </si>
  <si>
    <t>李经理</t>
  </si>
  <si>
    <t>马映雪、赵宝忠、郁建根、刘昌柳</t>
  </si>
  <si>
    <t>赵能全（李剑华）</t>
  </si>
  <si>
    <t>按公司规定；业务信息费3元/方；</t>
  </si>
  <si>
    <t>（结算周期为上月 21 日到本月20日）每月 20 日办理结算，混凝土供应第三个月开始支付第一个月结算货款的 70 %，宽限期15天，余款 30 %在工程主体封顶后六个月内支付至95%，余5%作为质量保证金，在工程竣工验收后6个月内支付。</t>
  </si>
  <si>
    <t xml:space="preserve">2016年5月1日至2016年6月17日 </t>
  </si>
  <si>
    <t xml:space="preserve">2016年6月18日至2016年7月17日         </t>
  </si>
  <si>
    <t xml:space="preserve">2016年7月18日至2016年8月18日         </t>
  </si>
  <si>
    <t>2016年8月30日付568829.1元</t>
  </si>
  <si>
    <t xml:space="preserve">2016年8月18日至2016年9月19日         </t>
  </si>
  <si>
    <t xml:space="preserve">2016年9月18日至2016年10月19日         </t>
  </si>
  <si>
    <t xml:space="preserve">2016年10月17日至2016年11月16日         </t>
  </si>
  <si>
    <t xml:space="preserve">2016年11月16日至2016年12月14日         </t>
  </si>
  <si>
    <t>2016年12月23日付942364.4万+1057635.6元</t>
  </si>
  <si>
    <t xml:space="preserve">2016年12月15日至2017年1月15日         </t>
  </si>
  <si>
    <t>2017年1月12日付3492412.8元</t>
  </si>
  <si>
    <t>上调20元部分调差</t>
  </si>
  <si>
    <t xml:space="preserve">2017年1月16日至2017年3月16日         </t>
  </si>
  <si>
    <t>2017年3月24日付2065476.89元</t>
  </si>
  <si>
    <t>2017年3月16日至4月15日</t>
  </si>
  <si>
    <t>2017年6月13日付1456387.5元</t>
  </si>
  <si>
    <t>2017年8月1日付1193979.93元</t>
  </si>
  <si>
    <t>长兴合同编号:CT16-0425</t>
  </si>
  <si>
    <t>商住楼3栋、地下4层、地上54层；</t>
  </si>
  <si>
    <t>C15 220 C20 230 C25 240 C30 250 C35 260 C40 275 C45 295 C50 315 C55 340 C60 365 砂浆330 从2016年12月10日至15日上调20元；C30 270 从2016年12月16日上调40元；C30 310 ；</t>
  </si>
  <si>
    <r>
      <t>（1）水下砼在同一标号泵送砼的基础上加收15.00元／m3（2）抗渗砼P6-P8在同一等级的基础上加收5.00元／m3(3) 抗渗砼P10-P12在同一等级的基础上加收10.00元／m3（4）早强砼在同一等级的基础上加收15.00元／m3（5）细石砼在同一等级的基础上加收15.00元／m3（6）膨胀砼在同一等级的基础上加收30.00元／m3（7）道路路面耐磨层砼在同一等级的基础上加收10.00元／m3（8）本单价含增值税专用发票，不含泵送机械租赁费。（9）主体</t>
    </r>
    <r>
      <rPr>
        <sz val="10"/>
        <color indexed="10"/>
        <rFont val="宋体"/>
        <charset val="134"/>
      </rPr>
      <t>结构第34层开始每立方混凝土单价增加8.00元／m3</t>
    </r>
    <r>
      <rPr>
        <sz val="10"/>
        <color indexed="8"/>
        <rFont val="宋体"/>
        <charset val="134"/>
      </rPr>
      <t>（10）单价说明：如不含发票下浮3 % ; 超缓凝增加5元/方；清水混凝土每立方增加25元/方；</t>
    </r>
  </si>
  <si>
    <t>广东中城集团建设有限公司</t>
  </si>
  <si>
    <t>含税（如不含发票下浮3%）</t>
  </si>
  <si>
    <t>广钢新城AF040416、415地块项目自编C6、C7、C8栋</t>
  </si>
  <si>
    <t>如供方每月供应的混凝土价格超过指导价的±3%（不含3%）时，仅对超出部分进行价差调整，且价差不参与计算其他任何费用。（以2016年第一季度广州市造价站发布的《广州市工程造价信息》中混凝土价格为基准价），调价公式如下：当Xi＞1.03%X0时，Yi= P0+ P0×（Xi÷X0-1.03)；当Xi＜97% X0时，Yi= P0- P0×（0.97-Xi÷X0)Yi:施工期间每季度采购的混凝土调整后的价格；Xi：供应期间《广州市工程造价信息》每季度发布混凝土的价格；X0:调差指导价，2016年第一季度广州造价站发布的《广州市工程造价信息》P0为本合同单价</t>
  </si>
  <si>
    <t>同一工程同一部位同一时期出现二次以上的尾数不足6m3的情况，否则必须补贴乙方每车200元运费。</t>
  </si>
  <si>
    <t>张宏旭、程光红</t>
  </si>
  <si>
    <t>当月（当月为第一个月）货款于第三个月25前支付70%：,剩余30%在主体结构封顶四个月内付清尾款。（如2017年08月30日前主体结构未封顶的，视为已封顶，则最迟应于2018年12月30日前无息付清所供砼款）。结算周期为上月26日至本月25日</t>
  </si>
  <si>
    <t>按公司规定提；信息费2元/方；</t>
  </si>
  <si>
    <t>2016年8月25日付100万</t>
  </si>
  <si>
    <t>2016年9月13日付100万+9月30日付130万</t>
  </si>
  <si>
    <t>2016.7.26-2016.8.25</t>
  </si>
  <si>
    <t>2016.8.26-2016.9.25</t>
  </si>
  <si>
    <t>2016.9.26-2016.10.25</t>
  </si>
  <si>
    <t>2016年10月28日付230万</t>
  </si>
  <si>
    <t>2016.10.26-2016.11.25</t>
  </si>
  <si>
    <t>2016年11月29日付130万</t>
  </si>
  <si>
    <t>2016.11.26-2016.12.25</t>
  </si>
  <si>
    <t>2016年12月16日付50万+12月21日付160万</t>
  </si>
  <si>
    <t>2017年第一季度调差未回</t>
  </si>
  <si>
    <t>2016.12.26-2017.1.26</t>
  </si>
  <si>
    <t>2017年1月20日付130万</t>
  </si>
  <si>
    <t>2017.1.26-2017.2.26</t>
  </si>
  <si>
    <t>2017年3月24日付200万（期票4.25）</t>
  </si>
  <si>
    <t>2017年4月21日付110万</t>
  </si>
  <si>
    <t>2017年5月24日付130万（期票6.20）</t>
  </si>
  <si>
    <t>2017年7月4日付140万（期票7.30）</t>
  </si>
  <si>
    <t>2017年8月9日付80万（期票8.25）</t>
  </si>
  <si>
    <t>2017.7.26-2017.8.25</t>
  </si>
  <si>
    <t xml:space="preserve">长泰合同编号:（集采平台）：HN-16-67公司华南物CG2016023  </t>
  </si>
  <si>
    <t>广州市海珠区琶洲阅江路</t>
  </si>
  <si>
    <t xml:space="preserve">C15 225 C20 235 C25 245 C30 255 C35 270 C40 285 </t>
  </si>
  <si>
    <t>抗渗 S6-S8 加3元；抗渗 S10-S12 加8元；细石加10元；早强 3 天达 75%加10元；水下砼加12元 润管砂浆同批次混凝土</t>
  </si>
  <si>
    <t>中建三局第二建设工程有限责任公司</t>
  </si>
  <si>
    <t>唯品会琶洲总部大厦基坑支护及土石方工程</t>
  </si>
  <si>
    <t>20000方；金额5500000元</t>
  </si>
  <si>
    <t xml:space="preserve">以上商品混凝土（包括未列入的不同标号的商品混凝土）的单价经双方同意：该部分工程所需商品混凝土的单价按以上合同价作为结算单价，需方不再承担任何其它费用。在本工程供应期间，价格调整以 2016 年 1 季度《广州工程造价信息》中公布的广州市同标号商品混凝土信息价（普通混凝土）为基准，涨跌在±5%以内不作任何调整，涨跌若超过±5%，则仅对超过±5%以外的价格进行同比例调整。计算方法为：若 (C-B)/B&gt;5%, 则 D=A[(C-B)/B -5%] ；若 (C-B)/B&lt;-5%, 则 D=-A[┃(C-B)┃/B -5%]（A 表示本次商砼对应的合同价；B 表示 2016 年 1 季度《广州工程造价信息》中公布的广州市各标号商品混凝土信息价（商品混凝土）；C 表示供应期间当季《广州工程造价信息》中公布的供应当季广州市各标号商品混凝土信息价（商品混凝土）；D 表示在原合同价基础上应调整的价格）。
</t>
  </si>
  <si>
    <t>曹钰；电话18565386990；张放；电话18820400028；</t>
  </si>
  <si>
    <t>洪炎；18620690929；</t>
  </si>
  <si>
    <t>混凝土浇筑完毕后每月 15 日至项目商务部办理结算手续，供方提供商品砼销售发票，需方于次月支付该月商品混凝土货款的 70%，基坑支护及土石方分部分项工程施工结束后 6 个月内支付至 95%，余款 5%在该分部分项工程验收合格后 1 个月内付清；需方可提供 6 个月银行承兑汇票和商业承兑汇票用于支付货款，相关贴息费用由供方全部承担；若供方原因未能及时按月办理相关结算手续，则需方有权停止支付供方款项，所带来的违约责任将由供方承担。</t>
  </si>
  <si>
    <t>按公司规定提；业务信息费用3元/方（业务费用）</t>
  </si>
  <si>
    <t>2016.6.16至2016.9.10</t>
  </si>
  <si>
    <t>2016.9.16至2016.10.11</t>
  </si>
  <si>
    <t>2016.10.11至2016.11.12</t>
  </si>
  <si>
    <t>2016年12月8日付100万（商业承兑汇票2017.5.28）</t>
  </si>
  <si>
    <t>2017年1月19日付230万</t>
  </si>
  <si>
    <t>2017.2.15至2017.3.15</t>
  </si>
  <si>
    <t>2017年4月28日付30万</t>
  </si>
  <si>
    <t>2017年7月25日付100万</t>
  </si>
  <si>
    <t>2017年8月24日付728949.49元</t>
  </si>
  <si>
    <t xml:space="preserve">长泰合同编号: JC-JA-HNT-2016-001 </t>
  </si>
  <si>
    <t>黄埔大道东自编706号广东省基础工程集团有限公司建安工程分公司工程部林鑫森电话18588860146</t>
  </si>
  <si>
    <t>C15 215 C20 225 C25 235 C30 245 C35 260 C40 275 C45 295 从2016年12月12日起上调40元；C30 285</t>
  </si>
  <si>
    <t>1、泵送砼单价在普通砼单价的基础上不增加费用。
2、P6-P8增加5元/m3；P10-P12增加10元/m3。 
3、水下混凝土增加15元/m3。
4、普通早强混凝土（7天强度）增加15元/m3。普通早强混凝土（3天强度）增加25元/m3。</t>
  </si>
  <si>
    <t>星河湾集团总部基坑支护和土方工程</t>
  </si>
  <si>
    <t>12000方</t>
  </si>
  <si>
    <t>石经理</t>
  </si>
  <si>
    <t>联系电话13902253782</t>
  </si>
  <si>
    <t>单价以2016年第一季度广州市造价站公布的预拌混凝土综合价格中的泵送混凝土单价为基准价，今后供货过程中，当季度的预拌混凝土综合价格中的泵送混凝土单价与2016年第一季度对比浮动超过±3%时，如增加或减少的，则当季度相应的增加或减少。</t>
  </si>
  <si>
    <t>程文政、何家航</t>
  </si>
  <si>
    <t>每月砼款于次月5日前（即第二个月）付70%，剩余20%于第三个月支付，每个月以此类推，剩余10%的混凝土款甲方在本项目基坑支护和土方工程砼浇筑完毕3个月内全部付清。乙方收取每月混凝土款时，必须提供相应数量的正式增值税专用发票给甲方（发票抬头为广东省基础工程集团有限公司）。</t>
  </si>
  <si>
    <t>按公司规定业务员提成率提；业务信息2元/方</t>
  </si>
  <si>
    <t>2016年6月16日至8月20日</t>
  </si>
  <si>
    <t>2016年10月14日付80万</t>
  </si>
  <si>
    <t xml:space="preserve">2016年9月21日至2016年10月20日 </t>
  </si>
  <si>
    <t xml:space="preserve">2016年10月21日至2016年11月21日 </t>
  </si>
  <si>
    <t>2016年12月2日付20万</t>
  </si>
  <si>
    <t>2016年12月16日付20万</t>
  </si>
  <si>
    <t>2016年11月22日至2016年12月17日</t>
  </si>
  <si>
    <t>2016年12月30日付343521元</t>
  </si>
  <si>
    <t>2016年12月22日至2017年1月22日</t>
  </si>
  <si>
    <t>2017年1月24日付20万</t>
  </si>
  <si>
    <t>2017年2月28日付20万</t>
  </si>
  <si>
    <t>2017年1月16日至2017年2月16日</t>
  </si>
  <si>
    <t>2017年5月5日付20万</t>
  </si>
  <si>
    <t>2017年2月17日至2017年6月30日</t>
  </si>
  <si>
    <t>2017年6月15日付30万</t>
  </si>
  <si>
    <t>2017年9月1日付30万</t>
  </si>
  <si>
    <t>2016.11.30</t>
  </si>
  <si>
    <t>长兴合同编号: cx16-0226</t>
  </si>
  <si>
    <t xml:space="preserve">C15：245 C20：255  C25：265  C30：275       C35：290 C40：305 C45：325  C50：345 C55：370 C60：400 从7.15起上调20元 C30 295 从2016年7月15日起上调20元 C30 295 </t>
  </si>
  <si>
    <t>四川中宇建设有限公司</t>
  </si>
  <si>
    <t>芳村唯品会项目</t>
  </si>
  <si>
    <t>2017.2.7</t>
  </si>
  <si>
    <t>长泰合同编号:-南招CC2017008</t>
  </si>
  <si>
    <t>总建筑面积为16.5万平方米，地上建筑11万平方米，地下5.5万平方米。2栋超高层（地上31层和24层；和综合裙楼组成（地上9层；地下四层）</t>
  </si>
  <si>
    <t>C10 218 C15 228 C20 238 C25 248 C30 258 C35 273 C40 288 C45 308 C50 328 C55 348 C60 368 从 2016 年12 月 20 日至 2017 年 1 月 28 日混凝土供应单价在上述合同单价对应标号基础上增加 40 元/m3，此段期间混凝土供应单价不再进行其他任何形式调差。2017 年1月28日后恢复上述合同单价供应结算及调差。从2017年3月1日起上调20元；C30 278元；</t>
  </si>
  <si>
    <t>上述价格为到工地价，包含运输费等所有费用（不含泵送机械费） 。
2、其他特殊混凝土的不含税价格为：附加抗渗P6-P8，在原单价基础上增加 3.883 元/m3，附加抗渗
P10-P12， 在原单价基础上增加 8.737 元/m3； 如为水下混凝土， 则在原单价基础上每立方增加 13.592
元；如为细石混凝土，则在原单价基础上每立方增加 13.592 元；3天早强混凝土在原单价基础上每
立方增加 18.446 元；7天早强混凝土在原单价基础上每立方增加 8.737 元；如附加膨胀剂6%-8%则
在原单价基础上每立方增加 28.155 元；如附加膨胀剂10%-12%则在原单价基础上每立方增加34.951
元；加纤维每立方增加 28.155 元；普通清水混凝土每立方增加 19.417元；装饰清水混凝土每立方
增加 24.271元；润泵砂浆 同标号混凝土单价 。
3、其它特殊要求以及价格表中未涉及标号的砼增加费，双方协商确定价格并签订补充协议。</t>
  </si>
  <si>
    <t>中建三局第一建设工程有限责任公司</t>
  </si>
  <si>
    <t>唯品会琶洲总部大厦项目</t>
  </si>
  <si>
    <t>本工程所用混凝土预计为 100000 立方，本合同暂定总金额约为
3200 万元 （含增值税） ； 大写为 叁仟贰佰 万元； 其中， 不含税价款为 31067961
元人民币，增值税为 932039 元人民币。</t>
  </si>
  <si>
    <t>买、卖双方在履行本合同过程中，以本合同约定的供货价格(含税价）进行结算，只有当混凝土信息价对比 2016 年 3 季度《 广州市 工程造价信息》信息价价格上下浮动超过 5 %时，方可调整混凝土结算价格， 5 %以内（含 5 %）不予调整，仅调整 5 %以外部分。调价计算方法：材料价差计算方法按下列公式计算：C=(B/A-(1+5%))*D(当 B 大于 A 时)或 C=(B/A-(1-5%))*D(当 B 小于 A 时)其中：C 是可调整的价差；B 为混凝土供应期间广州市建设工程造价管理站公布的季度对应标号普通混凝土的价格；A 为 2016 年 3 季度广州市建设工程造价管理站公布的《工程常用材料综合价格》对应标号普通混凝土的价格，D 为合同固定结算单价。调整价差=E*C，其中：E 为结算时双方确认的季度供应混凝土数量。</t>
  </si>
  <si>
    <t>王东鹏</t>
  </si>
  <si>
    <t>余翔</t>
  </si>
  <si>
    <t>买方在每月 20 日前与卖方办理当月达到验收合格部分的货款结算手续，在混凝土供应第三个月开始支付第一个月经审核确认后结算量的 70 %的混凝土款， 宽限期 15 天， 以此类推， 余款 30%在本工程主体结构封顶之日起计 6 个月内，买方支付混凝土款至 95 %给卖方；余 5 %作为工程质量保证金，在本工程竣工验收后 6 个月内付清。</t>
  </si>
  <si>
    <t>按公司规定提；业务信息费4元</t>
  </si>
  <si>
    <t>2017年1月16至2017年3月15日</t>
  </si>
  <si>
    <t>2017年4月17日至2017年5月18日</t>
  </si>
  <si>
    <t>2017年5月18日至2017年6月16日</t>
  </si>
  <si>
    <t>2017年6月13日付115347.95元</t>
  </si>
  <si>
    <t>2017年6月18日至7月15日</t>
  </si>
  <si>
    <t>2017年7月16日至8月15日</t>
  </si>
  <si>
    <t>2017年8月2日付2201431.39元+8月25日付346859.66元</t>
  </si>
  <si>
    <t>广州金辉建设有限公司</t>
  </si>
  <si>
    <t>信息费4元</t>
  </si>
  <si>
    <t>长兴合同编号:CX2017-0531</t>
  </si>
  <si>
    <t>C15 248 C20 258 C25 268 C30 278 C35 293 C40 308 C45 328 C50 353</t>
  </si>
  <si>
    <t>一、润泵砂浆320元/m3；
二、抗渗砼P6-P8在原单价上另加收5元/m3；P10-P12在原单价上另加收10元/m3；
三、水下桩或坍落度超过180mm时在原单价上另加收15元/ m3；细石混凝土在原单价上另加收15元/ m3；
四、路面砼（包括耐磨层、球场、地坪、地面、道路、跑道、找平层或找坡层（除天面、屋面）在原单价上另加收7元/ m3；
四、3天早强：达到80%加45元/m3；
五、清水或无粉煤灰（纯水泥）混凝土≤C35加25元/m3；≥C40加20元/m3；
六、掺膨胀剂：普通砼掺6%加35元/m3，掺8%加40元/m3，掺10%加45元/m3，掺12%加50元/m3，特殊混凝土价格双方另协商。</t>
  </si>
  <si>
    <t>广州市保富建筑安装工程有限公司</t>
  </si>
  <si>
    <t>保利广钢224地块道路临时施工项目</t>
  </si>
  <si>
    <t>4000方</t>
  </si>
  <si>
    <t>以上材料单价由乙方负责全程运费，包含运输到甲方指定地点的运费，如价格需要调整，需经双方协商后再定价，定价方案由双方签字确认方能生效，作为支付下一次货款的依据。若双方协商不成，应于一个月内结算付清货款并解除本合同。</t>
  </si>
  <si>
    <t>黄晓明</t>
  </si>
  <si>
    <t>按双方确认的签字完整的收据单进行计算，供货前当月货款甲方开具次月20日期票付清。逾期付款的，乙方有权停止供货，并按每日万分之五计收违约金。</t>
  </si>
  <si>
    <t>信息费2元</t>
  </si>
  <si>
    <t>2017年5月1日至6月3日</t>
  </si>
  <si>
    <t>2017年5月31日付15万（期票6.21）</t>
  </si>
  <si>
    <t>长兴合同编号:2017第 号</t>
  </si>
  <si>
    <t>临时道路</t>
  </si>
  <si>
    <t xml:space="preserve">C15 255 C20 265 C25 275 C30 285 C35 300 C40 315 C45 335 C50 360 C55 390 </t>
  </si>
  <si>
    <t>广州市芳村市政园林建设工程有限公司</t>
  </si>
  <si>
    <t>广钢0809、223地块临时施工道路工程</t>
  </si>
  <si>
    <t>2500方</t>
  </si>
  <si>
    <t>如因材料价格升降，影响商品混凝土成本，商品混凝土单价（以市场同型号、规格砼的单价平均值为比较基数）升降在±5%以内（含5%）不作调整，超过±5%时，由甲乙双方协商并签订调价补充协议，增减超出±5%以外的商品混凝土差价，在收到对方调价通知五个工作日内回复，五个工作日内按原价继续供货，五工作日内不回复视同已认可调价通知中的新价格，按调价通知约定的内容执行。若五个工作日内回复不同意调价，双方须积极协商，若双方协商不成，甲方有权找其它混凝土公司供应，甲乙双方终止合同。乙方负责已供混凝土质量责任并将相关技术资料提供给甲方，甲方在终止合同后收齐乙方提供的所有验收资料后三个月内向乙方结清余款。但款项结清并不能免除乙方供应商品混凝土的质量责任，否则视乙方违约并赔偿甲方因此而引起的一切损失。合同签订后，任何本合同的补充协议或调价函，就算已经签字盖章确认，若与本条约定有冲突，均执行本条款，与本条款有冲突的补充协议或调价函均视为无效。</t>
  </si>
  <si>
    <t>（当月指第一个月）当月货款在第三个月25日前付清，逾期付款的，乙方有权停止供货，并按逾期金额每日万分之五计收违约金。</t>
  </si>
  <si>
    <t>乙方必须按甲方提供开票信息开具发票：
公司名称：广州市芳村市政园林建设工程有限公司
纳税人识别号：9144010319101034XA
地址：广州市荔湾区汾水浣花西路200号首层
电话：020-81005166
开户行及账号：建行广州芳村支行 4400 1460 8010 5029 3498</t>
  </si>
  <si>
    <t>甲方每批次或同一强度只允许有一车不足6m3的尾数，超出一车时则每一车补送料须向乙方另行补偿100元运费。若单独运送水泥砂浆不足6 m3，每车亦需补偿运费100元。</t>
  </si>
  <si>
    <t>长兴合同编号:CX17-0802</t>
  </si>
  <si>
    <t>番禺区兴南路旁</t>
  </si>
  <si>
    <t xml:space="preserve">C15 250 C20 260 C25 270 C30 280 C35 295 C40 310 C45 330 C50 355 C55 385 C60 420 砂浆 320 </t>
  </si>
  <si>
    <t xml:space="preserve">
一、抗渗砼P6-P8在原单价上另加收5元/m3；P10-P12在原单价上另加收10元/m3；
二、水下桩或坍落度超过180mm时在原单价上另加收15元/ m3；细石混凝土在原单价上另加收10元/ m3；
三、路面砼（包括耐磨层、球场、地坪、地面、道路、跑道、找平层或找坡层（除天面、屋面）在原单价上另加收7元/ m3；
四、3天早强：≤C30混凝土达到70%加20元/m3；达到80%加25元/m3；达到90%加35元/m3；达到100%加45元/m3；≥C35混凝土强度值达到70%加25元/m3；达到80%加30元/m3；达到90%加40元/m3；达到100%加50元/m3。
五、7天早强：≤C30混凝土强度值达到80%加5元/m3；达到90%加10元/m3；达到100%加20元/m3；≥C35混凝土强度值达到80%加10元/m3；达到90%加15元/m3；达到100%加25元/m3；
六、清水或无粉煤灰（纯水泥）混凝土≤C35加25元/m3；≥C40加20元/m3；
七、掺膨胀剂：普通砼掺6%加35元/m3，掺8%加40元/m3，掺10%加45元/m3，掺12%加50元/m3，
八、30层以上或100米以上泵送混凝土单价在原单价上另加收18元/ m3；特殊混凝土价格双方另协商。</t>
  </si>
  <si>
    <t>110kV番禺新城输变电工程</t>
  </si>
  <si>
    <t>10000方</t>
  </si>
  <si>
    <t>赵福杰、黄庆荣、廖武攀</t>
  </si>
  <si>
    <t>凌兴雪、刘兰芳、肖玲玲</t>
  </si>
  <si>
    <t>当月货款次月月底付清，否则，供方有权停止供货并且有权拒付技术资料，并追究需方违约责任。用支票支付货款的，抬头必须填写供方单位名称。此工地不论什么原因导致停供，需方必须在最后一次供应砼之日起30天内将余款全部付清。逾期的按每日万分之五收取违约金。</t>
  </si>
  <si>
    <t>按公司规定提；业务信息费2元</t>
  </si>
  <si>
    <t>中建三局第一建设有限公司</t>
  </si>
  <si>
    <t>荔湾区百花香料厂地块项目</t>
  </si>
  <si>
    <t>2017.7.13</t>
  </si>
  <si>
    <t>长兴合同编号:CX17-0713</t>
  </si>
  <si>
    <t>单价1:C15 240 C20 250 C25 260 C30 270 C35 285 C40 300 C45 320 C50 345 C55 375 C60 410 砂浆 320 ；单价2：C15 245 C20 255 C25 265 C30 275  C35 290 C40 305 C45 325 C50 350 C55 380 C60 415 砂浆 325</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</si>
  <si>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五、7天早强：≤C30混凝土强度值达到80%加5元/m3；达到90%加10元/m3；达到100%加20元/m3；≥C35混凝土强度值达到80%加10元/m3；达到90%加15元/m3；达到100%加25元/m3；
六、清水或无粉煤灰（纯水泥）混凝土≤C35加25元/m3；≥C40加20元/m3；
七、掺膨胀剂：普通砼掺6%加35元/m3，掺8%加40元/m3，掺10%加45元/m3，掺12%加50元/m3，
八、30层以上或100米以上泵送混凝土单价在原单价上另加收18元/ m3；特殊混凝土价格双方另协商。</t>
  </si>
  <si>
    <t>不含税单价；含税5%</t>
  </si>
  <si>
    <t>猎德污水处理厂厂内污泥干化减量工程</t>
  </si>
  <si>
    <t>15000m3</t>
  </si>
  <si>
    <t>陈崇文</t>
  </si>
  <si>
    <t>付款方式1：当月货款次月25日内付清，单价按合同第一条款单价1执行。
付款方式2：（当月为第一个月）第一个月货款于第三个月25日前付清，以此类推支付，单价按合同第一条款单价2执行。
如需方未能按付款方式1支付的，单价按合同第一条款单价2执行。</t>
  </si>
  <si>
    <t>谢春林、赖国东、谢树俊</t>
  </si>
  <si>
    <t>谢春林</t>
  </si>
  <si>
    <t>按公司规定；业务信息费2元；</t>
  </si>
  <si>
    <t xml:space="preserve">湖南省湘棋送变站建设有限公司
</t>
  </si>
  <si>
    <t>华发中央公园鹤翔变电站</t>
  </si>
  <si>
    <t>魏经理13822133130</t>
  </si>
  <si>
    <t>广州市市政工程有限公司</t>
  </si>
  <si>
    <t>二沙岛环境品质跃升工程</t>
  </si>
  <si>
    <t>签定日期：2011年3月25日</t>
  </si>
  <si>
    <t>合同编号:CX11-0315</t>
  </si>
  <si>
    <t>资料员：13544361355</t>
  </si>
  <si>
    <r>
      <t>C15:220  C20:230  C25:240  C30:250  C35:260  C40:275  C45:290  C50:310  C55:330  C60:360  2011年9月20日上调6元，2012年8月1日下调6元，</t>
    </r>
    <r>
      <rPr>
        <sz val="10"/>
        <color indexed="10"/>
        <rFont val="宋体"/>
        <charset val="134"/>
      </rPr>
      <t>2012年10月25日上调10元，2013年3月1日下调3元，2013年8月1日上调6元，2013年10月10日上调55元，C30：318元，</t>
    </r>
  </si>
  <si>
    <t>抗渗砼P6-P8加5元,P10-P12加10元,水下桩加15元,细石加10元,浇筑部位为路面、地面、耐磨层加10元，35层以上泵送混凝土加10元</t>
  </si>
  <si>
    <t>汕头市建安（集团）公司广州公司</t>
  </si>
  <si>
    <t>开具材料发票（砂、石、水泥发票）税金加4%</t>
  </si>
  <si>
    <t>提成及业务信息费</t>
  </si>
  <si>
    <t>按公司规定计提成，信息费1元/m3</t>
  </si>
  <si>
    <t>广东省人民医院东病区医技综合楼及地下车库工程</t>
  </si>
  <si>
    <t>陈跃华</t>
  </si>
  <si>
    <t>郑标成、郑安建、许伟武、陈明辉</t>
  </si>
  <si>
    <t>肖亮雄</t>
  </si>
  <si>
    <t>广东海外建设监理有限公司</t>
  </si>
  <si>
    <t>检测站:广州市越秀区建设工程质量监督检测室</t>
  </si>
  <si>
    <t>质量站:广州市越秀区建设工程质量安全监督站</t>
  </si>
  <si>
    <t>当月货款次月25日前付清，</t>
  </si>
  <si>
    <t>需方每批次浇捣的混凝土尾数只能有一车不足9m3，超出一车以上，按每车支付100元的运费补偿给供方。</t>
  </si>
  <si>
    <t>如原材料价格变动太大，双方可再协商价格，以海螺水泥为标准，单价升降20元/吨，含20元，混凝土单价上下调整5元/m3</t>
  </si>
  <si>
    <t>甲方于2015年8月31日前支付20万元；同时乙方于2015年8月31日前提供项目的所有混凝土技术资料。2.经甲乙双方协商，乙方同意减免12000元；剩余款项70786.5元于2015年9月30日前付清。至此甲乙双方所有财务两清。</t>
  </si>
  <si>
    <r>
      <t>2011年4月28日付11610元</t>
    </r>
    <r>
      <rPr>
        <b/>
        <sz val="12"/>
        <color indexed="10"/>
        <rFont val="宋体"/>
        <charset val="134"/>
      </rPr>
      <t>（退票）,5月9日换票</t>
    </r>
  </si>
  <si>
    <t>2011年5月26日付40350元</t>
  </si>
  <si>
    <t>2011年8月1日付514890元，2011年8月25日付518800元</t>
  </si>
  <si>
    <t>2011年9月23日付540320元</t>
  </si>
  <si>
    <t>2011年10月31日付103454元（11月入账）</t>
  </si>
  <si>
    <t>2011年12月13日付109312元</t>
  </si>
  <si>
    <t>2011年1月1日付128777元(期票1月10日)</t>
  </si>
  <si>
    <t>2012年3月13日付78502元,2048元</t>
  </si>
  <si>
    <t>2012年5月29日付20万（期票6月15日）</t>
  </si>
  <si>
    <t>2012年8月28日付6384元，付140487元</t>
  </si>
  <si>
    <t>2012年11月26日付62268元</t>
  </si>
  <si>
    <t>2012年12月24日付94560元</t>
  </si>
  <si>
    <t>2013年2月3日付30万元</t>
  </si>
  <si>
    <t>2013年4月14日付30万元</t>
  </si>
  <si>
    <t>2013年5月16日付573600元</t>
  </si>
  <si>
    <t>2013年5月29日付392261元，付320953元（期票6月30日）</t>
  </si>
  <si>
    <t>2013年7月16日付254242元（期票8月15日）</t>
  </si>
  <si>
    <t>2013年8月28日付292077元</t>
  </si>
  <si>
    <t>2013年10月21日付193883元</t>
  </si>
  <si>
    <t>2013年10月22日付429382元（期票11月15日）</t>
  </si>
  <si>
    <t>2013年12月5日付257456元</t>
  </si>
  <si>
    <t>2013年1月2日付314817元</t>
  </si>
  <si>
    <t>2014年1月24日付322183元</t>
  </si>
  <si>
    <t>2014年4月22付309795.5元</t>
  </si>
  <si>
    <t>2014年6月21付20万元</t>
  </si>
  <si>
    <t>2014年7月29 付15万元</t>
  </si>
  <si>
    <t>2014年8月29付15万元</t>
  </si>
  <si>
    <t>2014年12月3付15万元</t>
  </si>
  <si>
    <t>2015年9月8日付20万；9.18协议扣除12000元</t>
  </si>
  <si>
    <t>2016年01月11日付70786.5元</t>
  </si>
  <si>
    <t>合同编号：恒盛合新字DTCL001
（长泰合同）</t>
  </si>
  <si>
    <t>供应日期：2013年1月8日至2015年1月7日</t>
  </si>
  <si>
    <r>
      <t>C10:230  C15:240  C20:250  C25:260  C30:270  C35:280  C40:295  C45:310 C50:330  C55:350  C60:380 ，2013年8月18日上调5元（调价函未确认），2013年10月7日上调60元，2013年12月1日下调5元，C30：330元/m3 ;</t>
    </r>
    <r>
      <rPr>
        <sz val="10"/>
        <color indexed="10"/>
        <rFont val="宋体"/>
        <charset val="134"/>
      </rPr>
      <t xml:space="preserve"> （从2016年5月1日起下调50元，C30 280）</t>
    </r>
  </si>
  <si>
    <t>特殊混凝土按公司规定，膨胀剂加工费2元</t>
  </si>
  <si>
    <t>开发票</t>
  </si>
  <si>
    <t>业务信息费1元</t>
  </si>
  <si>
    <t>大塘商业中心工程</t>
  </si>
  <si>
    <t>黄、吴新宙</t>
  </si>
  <si>
    <t>李列飞、吴新宙</t>
  </si>
  <si>
    <t>李列飞、吴新宙、增加李柏良（对单签名）、周庭武（核实）、骆祥珍、彭焰梁</t>
  </si>
  <si>
    <t>每月5号前双方核实并确认上月数量、金额，在当月的前15日内付清上月货款，第二个月货款在第三个月的前15日支付，依次类推。甲方逾期付款的，应当按所欠款每日万分之五计算支付违约金，乙方并有权停止供砼。</t>
  </si>
  <si>
    <t>乙方供应混凝土时间从出厂到达工地超过2小时后甲方有权拒绝接收。同时，捣水下混凝土桩供料停供待料不能超过1小时，如超时造成断桩，乙方负全部责任。</t>
  </si>
  <si>
    <t>天河检测站</t>
  </si>
  <si>
    <t>2013年3月12日付295107.5</t>
  </si>
  <si>
    <t>2013年4月27日付907527.50元，付674150元</t>
  </si>
  <si>
    <t>2013年5月28日付270087.50元</t>
  </si>
  <si>
    <t>2013年7月30日付418810元</t>
  </si>
  <si>
    <t>2013年10月29日付227955元</t>
  </si>
  <si>
    <t>2013年12月12日付36万元</t>
  </si>
  <si>
    <t>2014年1月18日付454512.50元</t>
  </si>
  <si>
    <t>2014年4月9付378170</t>
  </si>
  <si>
    <t>5月6日付727600元</t>
  </si>
  <si>
    <t>2014年7月14付154255元</t>
  </si>
  <si>
    <t>2014年9月10付230350.4元+1510838元</t>
  </si>
  <si>
    <t>2014年12月24付586696.5</t>
  </si>
  <si>
    <t>2015年4月2付837503.6</t>
  </si>
  <si>
    <t>2015年6月15付150万</t>
  </si>
  <si>
    <t>2015年8月3日付496275</t>
  </si>
  <si>
    <t>2015年9月21付968195.83元</t>
  </si>
  <si>
    <t>2015年12月17日付150万</t>
  </si>
  <si>
    <t xml:space="preserve">2016年1月22日付851767.17元 </t>
  </si>
  <si>
    <t>主体资料到2015年11月</t>
  </si>
  <si>
    <t>2016年5月9日付50万</t>
  </si>
  <si>
    <t>2016年8月10日付334560元+8月12日付165440元</t>
  </si>
  <si>
    <t>2016年9月14日付30万</t>
  </si>
  <si>
    <t>2016年12月1日付50万</t>
  </si>
  <si>
    <t>2017年1月17日付30万</t>
  </si>
  <si>
    <t>2017年6月5日付50万</t>
  </si>
  <si>
    <t>2013年12月25</t>
  </si>
  <si>
    <t>合同编号：CT13-12125 改为长兴合同</t>
  </si>
  <si>
    <t>供应日期：2013年12月25日至完工</t>
  </si>
  <si>
    <t>C15：285  C20：298 C25;307 C30:320  C35;333 C40;351 C45：364 C50：381  C55：403 C60;425 砂浆：395</t>
  </si>
  <si>
    <t>特殊混凝土按公司规定；外摻材料由需方提供材料，供方负责人工投放的，每立方增加4元/m³</t>
  </si>
  <si>
    <t>广州卓东房地产开发有限公司</t>
  </si>
  <si>
    <t>广州卓东房地产开发有限公司；广东茂达建筑工程有限公司</t>
  </si>
  <si>
    <t>开发票 7%</t>
  </si>
  <si>
    <t>每方回扣2元</t>
  </si>
  <si>
    <t>广州番禺天骄·时代城商业综合楼一期</t>
  </si>
  <si>
    <t>33000m3</t>
  </si>
  <si>
    <t>蔡阳均</t>
  </si>
  <si>
    <t>13802786187</t>
  </si>
  <si>
    <t>蔡上池 李观成 李日弟</t>
  </si>
  <si>
    <t>蔡彩雄 蔡紹昌</t>
  </si>
  <si>
    <t>1.自供砼之日起至地下室部分：当月货款在次月20日前支付50%，上盖部份：当月货款在次月20日前支付70%，所供余款在主体结构封顶四个月内等额付清，最迟应当于2015年7月16日之前付清。2.如2015年2月15日之前主体结构未封顶的，需方须支付供方垫资金额100万元，其他月结应付款不变。上述任何一条付款方式需方未按约定执行，供方有权停止供货直至需方付清货款。逾期的按每天万分之五收逾期付款违约金</t>
  </si>
  <si>
    <r>
      <t>价格调整</t>
    </r>
    <r>
      <rPr>
        <sz val="10"/>
        <rFont val="楷体_GB2312"/>
        <family val="3"/>
        <charset val="134"/>
      </rPr>
      <t>：自供砼之日起至2014年9月15日前上述结算单价不作调整，自2014年9月16日起如遇市场单一原材料价格浮动超过-5%时，则每立方米下调5元，如浮动超过+5%时，则按实际原材料波动价格进行相应调整，（签订合同时，原材料基准价按水泥P‖42.5R420元/吨，砂62元/吨，石子98元/吨为计价依据）原材料涨跌时按混凝土配合比摻量比列进行调整价格。</t>
    </r>
  </si>
  <si>
    <t>2014年4月付92414元</t>
  </si>
  <si>
    <t>2014年8月18付728632</t>
  </si>
  <si>
    <t>2014年9月19付949292</t>
  </si>
  <si>
    <t>2014年10月23付100万元</t>
  </si>
  <si>
    <t>2014年11月24付58万元</t>
  </si>
  <si>
    <t>2014年12</t>
  </si>
  <si>
    <t>2014年12月25付80万元+2014年12月26付10万元</t>
  </si>
  <si>
    <t>2015年2月13付250万元</t>
  </si>
  <si>
    <t>2015年4月1付20万</t>
  </si>
  <si>
    <t>2015年5月7付40万（期票6.15）</t>
  </si>
  <si>
    <t>2015年7月16日付100万元</t>
  </si>
  <si>
    <t>2015年11月6付30万元（承兑汇票2016.1.23）+50万元（承兑汇票2016.3.14）</t>
  </si>
  <si>
    <t>2016年2月3日付50万元</t>
  </si>
  <si>
    <t>2016年5月10日付20万</t>
  </si>
  <si>
    <t>2016年8月15日付20万</t>
  </si>
  <si>
    <t>2016年12月20日付10万</t>
  </si>
  <si>
    <t>2017年1月23日付20万</t>
  </si>
  <si>
    <t>2017年3月28日付252455.5元</t>
  </si>
  <si>
    <t>合同编号：CT14-0308（长泰合同）</t>
  </si>
  <si>
    <t>2014年3月1日起至供应结束</t>
  </si>
  <si>
    <t>C10:265  C15:275  C20:285  C25:295  C30:305  C35:320 C40:335  C45:350 C50:370  C55:390 C60:420  砂浆420 2015年3月20上调15元，2015年4月5日上调15元 ；从2015年8月20日下调5元/方；从2016年1月20日下调15元；（未回）</t>
  </si>
  <si>
    <r>
      <t xml:space="preserve"> 抗渗砼P6-P8在原单价上另加收5元/m3；P10-P12在原单价上另加收10元/m3；水下桩或坍落度超过180mm时在原单价上另加收15元/ m3；</t>
    </r>
    <r>
      <rPr>
        <sz val="10"/>
        <color indexed="10"/>
        <rFont val="宋体"/>
        <charset val="134"/>
      </rPr>
      <t>细石</t>
    </r>
    <r>
      <rPr>
        <sz val="10"/>
        <rFont val="宋体"/>
        <charset val="134"/>
      </rPr>
      <t>混凝土在原单价上另加收10元/ m3；路面砼（包括耐磨层、球场、地坪、地面、道路、跑道、找平层或找坡层（除天面、屋面）在原单价上另加收15元/ m3； 3天早强：≤C30混凝土达到70%加20元/m3；达到80%加25元/m3；达到90%加35元/m3；达到100%加45元/m3；≥C35混凝土强度值达到70%加25元/m3；达到80%加30元/m3；达到90%加40元/m3；达到100%加50元/m3。
7天早强：≤C30混凝土强度值达到80%加10元/m3；达到90%加15元/m3；达到100%加25元/m3；≥C35混凝土强度值达到80%加15元/m3；达到90%加20元/m3；达到100%加30元/m3；
清水或无粉煤灰（纯水泥）混凝土≤C35加25元/m3；≥C40加20元/m3；掺膨胀剂：普通砼掺6%加35元/m3，掺8%加40元/m3，掺10%加45元/m3，掺12%加50元/m3；高抛混凝土在原等级单价上增加60元/方；</t>
    </r>
  </si>
  <si>
    <t>广东琼盛建设工程有限公司</t>
  </si>
  <si>
    <t>按公司提成 （业务信息费每立方回扣1元/方）</t>
  </si>
  <si>
    <t>商业办公楼工程项目部（哥弟总部大楼）</t>
  </si>
  <si>
    <t>刘斌、万勇</t>
  </si>
  <si>
    <t>1.当月（第一个月）于第三个月30日前付80%，余款20%于主体结构封顶三个月内付清。否则，供方有权停止供货并且拒付技术资料，并追究需方违约责任。用支票支付货款的，抬头必须填写供方单位名称。此工地无论什么原因导致停供，需方必须在最后一次供应砼之日起三个月内将余款全部付清。逾期的按每日万分之五收取违约金。  2.供方需在次月5号之前与需方仓库人员核对上月所供混凝土数量及金额，并在对账单上签字确认。</t>
  </si>
  <si>
    <t>2014年7月8付302144</t>
  </si>
  <si>
    <t>2014年8月6付326600（期票为8月25</t>
  </si>
  <si>
    <t>2014年9月3付20万元+225718（期票为9月22）</t>
  </si>
  <si>
    <t>2014年10月17付449322（期票为12月24</t>
  </si>
  <si>
    <t>2014年11月28付273690</t>
  </si>
  <si>
    <t>2014年12月28付276868</t>
  </si>
  <si>
    <t>2015年1月9付314296</t>
  </si>
  <si>
    <t>2015年2月10付177320（期票为2月16；2015年2月13付118934</t>
  </si>
  <si>
    <t>2015年4月22付856836（期票为5月25)</t>
  </si>
  <si>
    <t>2015年5月21付1141812（期票为6月15)</t>
  </si>
  <si>
    <t>2015年7月25付1205168元</t>
  </si>
  <si>
    <t>2015年8月12付50万（期票8.31）-延期+479332（期票9.15）</t>
  </si>
  <si>
    <t>2015年9月20日付812454元；</t>
  </si>
  <si>
    <t>2015年10月8日付360458元（期票11.30）</t>
  </si>
  <si>
    <t>2015年11月10日付151444元</t>
  </si>
  <si>
    <t>2016年02月01日付30万（期票2.5）</t>
  </si>
  <si>
    <t>2016年6月20日付50万（期票8.1）+512442元（期票8.31）</t>
  </si>
  <si>
    <r>
      <t>2016年11月1日付20万（期票2016.11.30-</t>
    </r>
    <r>
      <rPr>
        <b/>
        <sz val="12"/>
        <color indexed="10"/>
        <rFont val="宋体"/>
        <charset val="134"/>
      </rPr>
      <t>延期至2016.12.8</t>
    </r>
    <r>
      <rPr>
        <b/>
        <sz val="12"/>
        <rFont val="宋体"/>
        <charset val="134"/>
      </rPr>
      <t>）+付20万（期票2016.12.31）+付20万（期票2017.1.25）</t>
    </r>
  </si>
  <si>
    <t>2017年4月11日付50万（期票5.31）+付50（期票6.31）+付50万（期票7.31）+付379279.5（期票8.31）</t>
  </si>
  <si>
    <t>签定日期：2014年11月1</t>
  </si>
  <si>
    <t>合同编号：CX14-1102（长兴合同）</t>
  </si>
  <si>
    <t>供应日期：从2014年11月1日起</t>
  </si>
  <si>
    <t>C15:276 C20：287 C25：298 C30：305 C35：320 C40：335 C45：346 C50：361 C5：383 C60：398 砂浆420  从2014年11月1日起固定单价C15:276 C20：287 C25：298 C30：305 C35：320 C40：335 C45：346 C50：361 C55：383 C60：398 砂浆420 ；从2015年9月1日起下调10元/方 C30 295；从2016年1月1日起下调10元；C30 285 砂浆420 ；C65在C60基础上增加80元/方；2016年12月10日起上调30元；C30 315 从2017年3月1日起下调10元；C30 305元；</t>
  </si>
  <si>
    <t xml:space="preserve"> 抗渗砼P6-P8在原单价上另加收5元/m3；P10-P12在原单价上另加收10元/m3；水下桩或坍落度超过180mm时在原单价上另加收15元/ m3；细石混凝土在原单价上另加收15元/ m3；路面砼（包括耐磨层、球场、地坪、地面、道路、跑道、找平层或找坡层（除天面、屋面）在原单价上另加收15元/ m3； 3天早强：≤C30混凝土达到70%加20元/m3；达到80%加25元/m3；达到90%加35元/m3；达到100%加45元/m3；≥C35混凝土强度值达到70%加25元/m3；达到80%加30元/m3；达到90%加40元/m3；达到100%加50元/m3。
7天早强：≤C30混凝土强度值达到80%加10元/m3；达到90%加15元/m3；达到100%加25元/m3；≥C35混凝土强度值达到80%加15元/m3；达到90%加20元/m3；达到100%加30元/m3；
清水或无粉煤灰（纯水泥）混凝土≤C35加25元/m3；≥C40加20元/m3；掺膨胀剂：普通砼掺6%加35元/m3，掺8%加40元/m3，掺10%加45元/m3，掺12%加50元/m3；高抛混凝土在原等级单价上增加60元/方；30层以上或100米以上泵送混凝土单价在原单价上另收18元/方；甲方指定本项目使用海螺、华润水泥、西北、北江砂。特殊混凝土价格双方另协商。5%膨胀剂加30元/方；</t>
  </si>
  <si>
    <t>广东省八建集团有限公司</t>
  </si>
  <si>
    <t>该项目总占地面积49,050平方米,总建筑面积101,235平方米,包括4幢7层至20层高的展贸中心,设有4层高的地下室。</t>
  </si>
  <si>
    <t>开发票 5%</t>
  </si>
  <si>
    <t>广州市涛景国际展贸中心</t>
  </si>
  <si>
    <t xml:space="preserve">龙俊才 易君超  </t>
  </si>
  <si>
    <t xml:space="preserve">王郁明 曾素青、龙俊才、龙志超； </t>
  </si>
  <si>
    <t>第一个月货款第三个月30日前付80%，±0.00板完成后两个月内付清±0.00以下所供货款（如2015年6月30日前±0.00板未完成的，视为已完成）±0.00以上部位付款方式:当月货款于第三个月25日前付80%，余款的20%于主体结构封顶后 3个月内付清（如2016年1月30日前主体结构未封顶的，视为已封顶）</t>
  </si>
  <si>
    <t>需方每批次浇捣的混凝土尾数只能有二车不足9m³，超过2车以上的，按每车达不到9m³的差额部分，另向需方收取30元/立方米的空运费</t>
  </si>
  <si>
    <t>实际供货单价：当月供货的各强度等级商品砼的单价=《广州建设工程造价信息》公布的当季度广州地区建设工程常用材料综合价格中普通泵送混凝土综合价格×（1-26%）</t>
  </si>
  <si>
    <r>
      <t>调差</t>
    </r>
    <r>
      <rPr>
        <sz val="11"/>
        <rFont val="宋体"/>
        <charset val="134"/>
      </rPr>
      <t>：从2014年11月1日起，如遇原材料市场价格浮动超过±3%，双方协商一次单价，双方应在10天过渡期内协商一致调整价格。</t>
    </r>
  </si>
  <si>
    <r>
      <t>付款方式变更：第一个月货款于第三个月前付80%，±0.00板完成2个月内付清±0.00以下所供货款（如2015年10月30日前±0.00板未完成的，视为已完成）；±0.00以上部位付款方式：当月货款于第三个月25日前支付80%，余款20%于主体结构封顶后3个月内付清（</t>
    </r>
    <r>
      <rPr>
        <sz val="10"/>
        <color indexed="10"/>
        <rFont val="楷体_GB2312"/>
        <family val="3"/>
        <charset val="134"/>
      </rPr>
      <t>2016年4月30日前主体结构为封顶的视为已封顶</t>
    </r>
  </si>
  <si>
    <t>2015年1月24付639932.8</t>
  </si>
  <si>
    <t>2015年2月13付504000</t>
  </si>
  <si>
    <t>2015年4月17付600000</t>
  </si>
  <si>
    <t>2015年5月26付30万元</t>
  </si>
  <si>
    <t>2015年6月12付50万</t>
  </si>
  <si>
    <t>2015年7月13付1317102元（7.20）</t>
  </si>
  <si>
    <t>2015年8月29日付150万（期票9.18）</t>
  </si>
  <si>
    <t>2015年9月25付50万（期票9.29）+9月30付50万</t>
  </si>
  <si>
    <t>2015年9月付1476356（期票9.25）-延期到9月30日--2015.10.8换票；2015年10月30日付50万元</t>
  </si>
  <si>
    <t>2015年11月12日付100万；+11月23日付925858元；</t>
  </si>
  <si>
    <t>2015年12月11日付2594089元；</t>
  </si>
  <si>
    <t>2016年01月4日付200元；01月18日付792416.8元；</t>
  </si>
  <si>
    <t>2016年02月2日付320万</t>
  </si>
  <si>
    <t>2016年4月14日付50万（期票4.25）+付50万（期票4.29---延期2016年5月6日）</t>
  </si>
  <si>
    <t>2016年5月23日付150万（期票6.5）+150万（期票6.5）+2016年6月29日付80万元；</t>
  </si>
  <si>
    <t>2016年6月29日付2164943.52元（期票7.25）+2016年7月1日付50万</t>
  </si>
  <si>
    <t>2016年7月11日付50万</t>
  </si>
  <si>
    <t>2016年9月2日付260万；9月27日付150万</t>
  </si>
  <si>
    <t>2016年10月28日付200万</t>
  </si>
  <si>
    <t>2016年11月25日付200万（期票11.30）</t>
  </si>
  <si>
    <t>2016年12月14日付100（12.28日到期延期至12.31）+100万（12.28延期至12.31）</t>
  </si>
  <si>
    <t>2017年1月23日付250万</t>
  </si>
  <si>
    <r>
      <t>2017年3月9日付150万（期票3.30--延期4.5）+</t>
    </r>
    <r>
      <rPr>
        <b/>
        <sz val="12"/>
        <color indexed="10"/>
        <rFont val="宋体"/>
        <charset val="134"/>
      </rPr>
      <t>3月15日付150万（期票4.28）</t>
    </r>
  </si>
  <si>
    <t>2017年3月16日付985973.5元（期票3.25）</t>
  </si>
  <si>
    <t>2017年5月24日付50万+50万</t>
  </si>
  <si>
    <t>2017年7月31日付50万（期票8.25）</t>
  </si>
  <si>
    <t>2017年4月10日A栋封顶；2017年1月2日B栋封顶；1月4日D栋封顶；1月8日C栋封顶；</t>
  </si>
  <si>
    <t>长泰合同编号：CT15-0922</t>
  </si>
  <si>
    <t xml:space="preserve">C15：240 C20：252 C25：261 C30：270 C35;284 C40;298 C45;312 C50;325 C55:346 C60:364 砂浆：350 从2016年12月15日上调50元；C30 320 </t>
  </si>
  <si>
    <t>抗渗混凝土P6-P8在原级别基础上增加5元/M3；P10-P12混凝土在原级别基础上增加 10 元/M3；
二、水下混凝土或坍落度超过180mm时在原级别上另加收15元/ m3；细石混凝土在原级别上另加收15元/ m3；（除此表注明外)
三、路面砼（包括耐磨层、球场、地坪、地面、道路）部位不掺加粉煤灰在原单价上另加收10元/ m3；
四、3天早强：≤C30混凝土达到80%（不含80%）加35元/m3；
五、7天早强：≤C30混凝土达到80%（不含80%）加25元/m3；
六、清水混凝土在原级别上加25元/m3；
七、掺膨胀剂：普通砼掺12%加40元/m3。
八、抗裂混凝土在原级别上不另加价（除抗裂要求材料外，材料也可以双方面议）
九、如需方要求使用本合同约定以外的混凝土，价格另议。早强80%为单独施工产生的砼款另外付款。</t>
  </si>
  <si>
    <t xml:space="preserve"> 湛江市粤西建筑工程公司</t>
  </si>
  <si>
    <t>广州机施建设集团有限公司</t>
  </si>
  <si>
    <t>建筑规模：地下室3层；主体28层</t>
  </si>
  <si>
    <t>含税单价；不含税则每立方混凝土单价在原合同单价下调10元/方；</t>
  </si>
  <si>
    <t>南方医院医疗综合楼</t>
  </si>
  <si>
    <t>庞平</t>
  </si>
  <si>
    <t>陈康龙</t>
  </si>
  <si>
    <t>陈康龙、庞平</t>
  </si>
  <si>
    <t xml:space="preserve">第四个月需方支付第一个月供应的混凝土款，以此类推。第四个月5日前供方自发出混凝土结算表，五天内需方对混凝土结算表中所载数量及金额进行审核确认，并将其中两份原件交还供方。
       </t>
  </si>
  <si>
    <t>需方每批次订购的混凝土（尾数）只能有贰车不限制数量；供方不得另收取空运补偿费用。如超出此车数，需方应按每车12立方计算除实际托运方数另补偿30元/M3空运费给供方。</t>
  </si>
  <si>
    <t>还款计划：2016年6月30日承兑于2016年8月10日一次性付清。从2016年7月27日开始所供砼按原合同付款方式支付。</t>
  </si>
  <si>
    <t>2015.11.6付245892.5元（不含税）</t>
  </si>
  <si>
    <t>2016年8月19日付100万+8月25日付1371214.10元+2016年8月26日付2245846.4元</t>
  </si>
  <si>
    <t>2016年12月15日付289578元</t>
  </si>
  <si>
    <t>2016年12月20日付440004元</t>
  </si>
  <si>
    <t>2017年4月26日付876197.5元+1950000元（期票5.31）</t>
  </si>
  <si>
    <t>2017年6月20日付88370元；</t>
  </si>
  <si>
    <t>长泰合同编号：CT15-1113</t>
  </si>
  <si>
    <t>C15：246.75 C20：255.75 C25：262.5 C30：269.25 C35;279.75 C40;290.25 C45;300.75 C50;310.5 C55:326.25 C60:339.75 从2016年12月17日至2017年1月27日止 C30 295元；</t>
  </si>
  <si>
    <t>一、抗渗砼P6-P8在原单价上另加收5元/m3；P10-P12在原单价上另加收10元/m3；
二、细石混凝土在原单价上另加收10元/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 m3；特殊混凝土价格双方另协商。防水剂来料加工费为5元/方；（协议未回</t>
  </si>
  <si>
    <t>湛江市粤西建筑工程公司</t>
  </si>
  <si>
    <t>侨建大厦项目</t>
  </si>
  <si>
    <t>黄裕、黎华生</t>
  </si>
  <si>
    <t>当月货款于第5个月支付（如1月份货款于5月10日前付清），以此类推。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</si>
  <si>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本暂定价暂以2015年第三季度广州市建设工程造价管理站发布的《广州地区建设工程常用综合价格》泵送混凝土价格下浮25%为单价，实际结算时则按当季度广州市建设工程造价管理站公布的《广州地区建设工程常用综合价格》泵送混凝土单价下浮25%结算，每季度调差一次。调差款于当月付清。</t>
  </si>
  <si>
    <t>2016.4.8需方委托供方添加防水剂，我司收取5.5元加工费（其中1.5元为工地协议调费用，须退还给工地）</t>
  </si>
  <si>
    <t>2月</t>
  </si>
  <si>
    <t>2016年5月3付56万+2016年5月23日付50万（期票6.10）</t>
  </si>
  <si>
    <t>3月</t>
  </si>
  <si>
    <t>4月</t>
  </si>
  <si>
    <t>2016年7月12日付20万</t>
  </si>
  <si>
    <t>5月</t>
  </si>
  <si>
    <t>2016年8月11日付130万</t>
  </si>
  <si>
    <t>6月</t>
  </si>
  <si>
    <t>7月</t>
  </si>
  <si>
    <t>2016年9月20日付80万</t>
  </si>
  <si>
    <t>8月</t>
  </si>
  <si>
    <t>2016年11月21日付93万+11月1日付50万</t>
  </si>
  <si>
    <t>9月</t>
  </si>
  <si>
    <t>2016年12月14日付60万</t>
  </si>
  <si>
    <t>10月</t>
  </si>
  <si>
    <t>2016年12月20日付50万</t>
  </si>
  <si>
    <t>2017年1月21日付70万</t>
  </si>
  <si>
    <t>2017年3月4日付75万+2017年4月1日付50万</t>
  </si>
  <si>
    <t>2017年4月13日付20万</t>
  </si>
  <si>
    <t>2017年5月12日付20万</t>
  </si>
  <si>
    <t>长兴合同编号：CX16-0314</t>
  </si>
  <si>
    <t>公司地址：广州市天河区天府路233华建大厦A栋写字楼16/17层01~11</t>
  </si>
  <si>
    <t>C10：233 C15：233 C20：243 C25：253  C30：263 C35;278 C40;293  C45;313 C50;338 C55:368  C60:403 砂浆 418从2016年7月20日上调15元/方；C30 278 (砂浆也一起上调）</t>
  </si>
  <si>
    <t>一、抗渗砼P6-P8在原单价上另加收5元/m3；P10-P12在原单价上另加收10元/m3；
二、水下桩或坍落度超过180mm时在原单价上另加收15元/ m3；细石、瓜米石混凝土在原单价上另加收15元/ m3；
三、路面砼（包括耐磨层、球场、地坪、地面、道路、跑道、车道、找平层或找坡层（除天面、屋面）在原单价上另加收15元/ m3；
四、7天早强加10元/ m3；
五、清水或无粉煤灰（纯水泥）混凝土≤C35加25元/m3；≥C40加20元/m3；
六、掺8%“广东粤盛特种建材有限公司”生产的澎胀纤维抗裂防水剂(SY-K)加30元/m3、掺12%加40元/m3；
七、外掺材料人工投放费每立方加收8元。
八、30层以上或100米以上泵送混凝土单价在原单价上另加收18元/ m3；特殊混凝土价格双方另协商。</t>
  </si>
  <si>
    <t>裕达建工集团有限公司</t>
  </si>
  <si>
    <t xml:space="preserve">广州市番禺区南村镇塘步东村盛邦商业大厦A、B、C座及地下车库1、2
</t>
  </si>
  <si>
    <t>李国富、梁康湖、黄华养、林康富、李上海</t>
  </si>
  <si>
    <t>该项目主体结构按节点分三次付款：①自供货起到主体结构第4层板完成7天内付已供货款的75%，（自2016年3月10日起，7个月内未完成结构第4层板视为已完成）。②主体结构第5层板至主体结构第12层板完成7天内付已供货款的70%（或支付不少于250万元），（主体结构第5层板起3个月内未完成第12层板的，视为已完成）。③主体结构第13层板至主体结构封顶7天内付所供砼款的80%，（第13层板计起4个月内主体结构未封顶的，视为已封顶）。④主体封顶后所供剩余货款自封顶之日起6个月内付清（封顶后次月起平均支付）。如 2017 年 6 月日前主体结构未封顶的，视为封顶。</t>
  </si>
  <si>
    <t>甲方在每期（次）浇灌混凝土时报尾数只允许一次(小于9m3/每车为尾数)，如因甲方报尾数不准确而发生第二车（次）以上的尾数，甲方应按100元/车运费补偿给乙方。单独一批次少于9方的加收100元/车。</t>
  </si>
  <si>
    <t>和解协议</t>
  </si>
  <si>
    <t>第一期付200万元；（开庭前）
第二期付2238000元；（2017年8月25日前支付）
第三期付2820061.5元；（2017年9月25日前支付）</t>
  </si>
  <si>
    <t>自2016年3月10日起，7个月内未完成结构第4层板视为已完成</t>
  </si>
  <si>
    <t>2016年10月20日付100万</t>
  </si>
  <si>
    <t>2016年11月18日付100万</t>
  </si>
  <si>
    <t>2017年1月23日付100万</t>
  </si>
  <si>
    <t>2017年6月29日付200万元</t>
  </si>
  <si>
    <t>长泰合同编号：TJ-22-GA-001-4</t>
  </si>
  <si>
    <t>广州白云区机场路33号
金维娜13512292747</t>
  </si>
  <si>
    <t>C15 252 C20 262 C25 272 C30 282 C35 297 C40 312 C45 332 C50 357从2016年10月20日起上调15元；297 从2016年12月12日至2017年1月31日上调40元；C30 322；</t>
  </si>
  <si>
    <t>抗渗P6-P8加5元/方；P10-P12加10元/方；细石15元/方；30层以上或100米以上砂浆加18元/方；路面加10元</t>
  </si>
  <si>
    <t>天津住宅集团建设工程总承包有限公司</t>
  </si>
  <si>
    <t>按公司规定提；业务信息费扣除税金回扣5%</t>
  </si>
  <si>
    <t>广州中央海航酒店广场项目一期写字楼工程</t>
  </si>
  <si>
    <t>王超华</t>
  </si>
  <si>
    <t>（当月为第一个月）第一个月货款于第三个月25日前付清，以此类推。</t>
  </si>
  <si>
    <t>2015年5月至8月</t>
  </si>
  <si>
    <t>2016年11月22日付47037元</t>
  </si>
  <si>
    <t>2017年2月16日付12465元</t>
  </si>
  <si>
    <t>2017年6月13日付13909元</t>
  </si>
  <si>
    <t>2017年8月2日付5140元</t>
  </si>
  <si>
    <t>广州市中央海航酒店广场项目二期写字楼工程</t>
  </si>
  <si>
    <t>2016.3.28</t>
  </si>
  <si>
    <t>长泰合同编号：CT16-0406</t>
  </si>
  <si>
    <r>
      <t></t>
    </r>
    <r>
      <rPr>
        <sz val="10"/>
        <rFont val="宋体"/>
        <charset val="134"/>
      </rPr>
      <t>C15 236 C20 244 C25 250 30 257 C35 266 C40 276 C45 286 C50 296 C55 310 C60 323 砂浆按同一批次从2016年12月15日至2017年1月25日上调40元；C30 297</t>
    </r>
  </si>
  <si>
    <t>一、如《广州地区建设工程常用材料综合价格》表中未公布的特殊混凝土则按下表单价加收：
①坍落度超过180mm时在原单价上另加收12元/ m3；
②细石混凝土在原单价上另加收15元/ m3；
③路面砼（包括耐磨层、球场、地坪、地面、道路、跑道、车道、找平层）在原单价上另加收10元/ m3；
④3天早强：≤C30混凝土达到70%加20元/m3；达到80%加25元/m3；达到90%加35元/m3；达到100%加45元/m3；≥C35混凝土强度值达到70%加25元/m3；达到80%加30元/m3；达到90%加40元/m3；达到100%加50元/m3。
⑤7天早强：≤C30混凝土强度值达到80%加10元/m3；达到90%加15元/m3；达到100%加25元/m3；≥C35混凝土强度值达到80%加15元/m3；达到90%加20元/m3；达到100%加30元/m3；
⑥掺膨胀剂：普通砼掺6%加25元/m3，掺8%加30元/m3，掺10%加35元/m3，掺12%加40元/m3，
⑦30层以上或100米以上泵送混凝土单价在原单价上另加收10元/ m3；特殊混凝土价格双方另协商。</t>
  </si>
  <si>
    <t>实际结算单价：</t>
  </si>
  <si>
    <r>
      <t>供应过程各等级混凝土结算单价按当季度的广州市建设工程造价管理站公布的《广州地区建设工程常用材料综合价格》预拌混凝土综合价格表中对应各强度等级混凝土单价</t>
    </r>
    <r>
      <rPr>
        <sz val="10"/>
        <rFont val="Wingdings"/>
        <charset val="2"/>
      </rPr>
      <t>*</t>
    </r>
    <r>
      <rPr>
        <sz val="10"/>
        <rFont val="宋体"/>
        <charset val="134"/>
      </rPr>
      <t>（1-27%）进行结算。每季度调整一次价差。</t>
    </r>
  </si>
  <si>
    <t>按公司规定提；业务信息费3元/方；</t>
  </si>
  <si>
    <t>金融城A001地块项目</t>
  </si>
  <si>
    <t>肖总</t>
  </si>
  <si>
    <t>186-6582-6366</t>
  </si>
  <si>
    <t>肖宇陪  、  庞中平 、 莫土方</t>
  </si>
  <si>
    <t xml:space="preserve"> 萧宇云、庞晓华 </t>
  </si>
  <si>
    <t>自供砼之日起至基坑支护工程完工10天内付清一次所供砼款（如基坑支护工程在2017年1月15日前未完成的，则需方应于2017年1月15日前支付所供砼的80%给供方，同时供方必须提供完整的所供砼的所有技术资料给需方，余款20%于基坑支护工程完工一个月内付清全部货款，否则，供方有权停止供货并且有权拒付技术资料，并追究需方违约责任。</t>
  </si>
  <si>
    <t>2017年4月13日付462264.97元；</t>
  </si>
  <si>
    <t>2017年第一季度</t>
  </si>
  <si>
    <t>长泰合同编号：CT16-1001</t>
  </si>
  <si>
    <t>面积10万平方米，</t>
  </si>
  <si>
    <t>C15 225 C20 235 C25 245 C30 255 C35 270 C40 285 C45 305 C50 330 C55 360 C60 395 从2016年2016年12月15日至2017年1月25日上调40元；C30 295</t>
  </si>
  <si>
    <t>一、润泵砂浆单价为320元/m3；
二、抗渗砼P6-P8在原单价上另加收5元/m3；P10-P12在原单价上另加收10元/m3；
三、水下桩或坍落度超过180mm时在原单价上另加收15元/ m3；细石混凝土在原单价上另加收15元/ m3；
四、路面砼（包括耐磨层、球场、地坪、地面、道路、跑道、车道、找平层或找坡层（除天面、屋面）在原单价上另加收15元/ m3；
五、3天早强：≤C30混凝土达到70%加20元/m3；达到80%加25元/m3；达到90%加35元/m3；达到100%加45元/m3；≥C35混凝土强度值达到70%加25元/m3；达到80%加30元/m3；达到90%加40元/m3；达到100%加50元/m3。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七、掺膨胀剂：普通砼掺6%加35元/m3，掺8%加40元/m3，掺10%加45元/m3，掺12%加50元/m3，八、特殊混凝土价格双方另协商。</t>
  </si>
  <si>
    <t>6万方</t>
  </si>
  <si>
    <t>陈钊铧</t>
  </si>
  <si>
    <t>13600099868</t>
  </si>
  <si>
    <t>不含税；含税5%</t>
  </si>
  <si>
    <t>按公司提成计；业务信息费6元</t>
  </si>
  <si>
    <t>1、从供砼之日起至2017年3月25日止，所供货款付款方式为：（当月为第一个月）第一个月货款于第五个月20日前付清，（ 如7月份货款于11月20日前支付，8月份货款于12月20日前支付），以此类推支付。从2017年3月26日所供混凝土货款付款方式为：（当月为第一个月）第一个月货款于第四个月20日前付清，以此类推支付。
2、自供砼之日起至地下室首层板完成10日内支付地下室以下结构所供混凝土货款，如2017年5月25日前未能完成的地下室首层板的，视为已完成，以先达到者为先。主体结构付款方式为：（当月为第一个月）第一个月货款于第四个月20日前付清，以此类推支付。
如需方未能按照上述1付款方式支付货款的，则视为需方选择2付款方式支付货款。</t>
  </si>
  <si>
    <t>陈上清、彭康土</t>
  </si>
  <si>
    <t>2017年5月31日付100万（期票6.2）</t>
  </si>
  <si>
    <t>2017年第二季度调差未回</t>
  </si>
  <si>
    <t>2017年7月1日付200万（期票8.10）</t>
  </si>
  <si>
    <t>建筑规模：建筑面积为20万平方米。其中，A地块面积为住宅用地，建筑面积为12万平方米；B地块为商业办公用地，建筑面积为8万平方米。</t>
  </si>
  <si>
    <t>2016年10月1日至12月31日</t>
  </si>
  <si>
    <t>2017年8月4日付120万</t>
  </si>
  <si>
    <t>2016.8.10</t>
  </si>
  <si>
    <t>长泰合同编号：CT16-1206</t>
  </si>
  <si>
    <t>工程地址：新港东路</t>
  </si>
  <si>
    <t>①C15 254 C20 260 C25 270 C30 278 C35 285 C40 296 C45 307 C50 319 C55 330 C60 346 C65 446 C70 496 2016年12月15日至1月25日上调40元/方；C30 318</t>
  </si>
  <si>
    <t xml:space="preserve">②C15 223 C20 229 C25 237 C30 244 C35 250 C40 260 C45 270 C50 280  C55 289 C60 304 C65 404 C70 454 </t>
  </si>
  <si>
    <t>C65单价在C60的单价基础上增加100元/m3。C70单价在C60的单价基础上增加150元/m3。一、砂浆单价290元/m3；
二、抗渗砼P6-P8在原单价上另加收5元/m3；P10-P12在原单价上另加收10元/m3；
三、水下桩或坍落度超过180mm时在原单价上另加收15元/ m3；细石混凝土在原单价上另加收15元/ m3；
四、路面砼（包括耐磨层、球场、地坪、地面、道路、跑道、车道、找平层或找坡层（除天面、屋面）在原单价上另加收15元/ m3；
五、3天早强：≤C30混凝土达到70%加20元/m3；达到80%加25元/m3；达到90%加35元/m3；达到100%加45元/m3；≥C35混凝土强度值达到70%加25元/m3；达到80%加30元/m3；达到90%加40元/m3；达到100%加50元/m3。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七、掺膨胀剂：普通砼掺6%加35元/m3，掺8%加40元/m3，掺10%加45元/m3，掺12%加50元/m3，八、30层以上或100米以上泵送混凝土单价在原单价上另加收18元/ m3；特殊混凝土价格双方另协商。</t>
  </si>
  <si>
    <t>①单价为付款方式①单价，每月实际结算单价以当季度广州市造价站公布的《广州地区建设工程常用材料综合价格预拌混凝土税前综合价格》泵送混凝土单价下浮18%结算，每季度调整一次价差，并于当月付清或抵扣。
②单价为付款方式②单价，每月实际结算单价以当季度广州市造价站公布的《广州地区建设工程常用材料综合价格预拌混凝土税前综合价格》泵送混凝土单价下浮28%结算，每季度调整一次价差，并于当月付清或抵扣。</t>
  </si>
  <si>
    <t>25000方；</t>
  </si>
  <si>
    <t>陈亚路</t>
  </si>
  <si>
    <t>联系电话13112290909</t>
  </si>
  <si>
    <t>不含税；含税加5%</t>
  </si>
  <si>
    <t>按公司业务提成提；业务信息费5元/方；</t>
  </si>
  <si>
    <t>付款方式①：供方带资供应，自供砼之日计起20个月内付清所有货款。
付款方式②：需方采取预付款方式支付货款，即先付款后供货。
如需方未能采取付款方式②支付的，则按付款方式①付款，并按第一条款①单价结算。上述任何一条付款方式需方未按约定执行，供方有权停止供货直至需方付清货款。逾期的按每天万分之五收逾期付款违约金。如因需方原因导致停工的，则从停工之日起一个月内付清所有货款。</t>
  </si>
  <si>
    <t>陈亚飞、陈亚原</t>
  </si>
  <si>
    <t>李咏</t>
  </si>
  <si>
    <t>2016年8月至9月</t>
  </si>
  <si>
    <t>2017年6月2日付50万</t>
  </si>
  <si>
    <t>2016.11.20</t>
  </si>
  <si>
    <r>
      <t>长泰合同编号：CX16-1001</t>
    </r>
    <r>
      <rPr>
        <b/>
        <sz val="10"/>
        <color indexed="10"/>
        <rFont val="宋体"/>
        <charset val="134"/>
      </rPr>
      <t>从2017.5.1起变更为长兴合同：合同编号：CX17-0410</t>
    </r>
  </si>
  <si>
    <t>建筑规模：二层地下室，18层主体</t>
  </si>
  <si>
    <r>
      <t></t>
    </r>
    <r>
      <rPr>
        <sz val="10"/>
        <rFont val="宋体"/>
        <charset val="134"/>
      </rPr>
      <t>C15 249 C20 259 C25 270 C30 280 C35 296 C40 312 C45 333 C50 359 C55 391 C60 336 2016年12月10日起上调30元；C30 310 从2017年3月1日起下调10元；C30 300元；</t>
    </r>
  </si>
  <si>
    <t xml:space="preserve"> 广西壮族自治区冶金建设公司 </t>
  </si>
  <si>
    <t>如遇到原材料价格波动价格变动，双方可重新协商定价。</t>
  </si>
  <si>
    <t>科技楼（自编A-1)</t>
  </si>
  <si>
    <t>25000方</t>
  </si>
  <si>
    <t>梁经理</t>
  </si>
  <si>
    <t>联系电话13697449692</t>
  </si>
  <si>
    <t>按公司规定业务员提成；业务信息费5元/方；</t>
  </si>
  <si>
    <t>每月结算一次，第一个月货款于第五个月20日前付第一个月货款的100%（例：1月份的货款于5月20日前付1月份货款100%，以此类推。），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</si>
  <si>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曾振良</t>
  </si>
  <si>
    <t>2017年5月7日付985973.5元</t>
  </si>
  <si>
    <t>2017年6月13日付94773元</t>
  </si>
  <si>
    <t>2017年7月21日付47042元</t>
  </si>
  <si>
    <t>2017年8月28日付903482元</t>
  </si>
  <si>
    <t>2017年9月4日付28800元</t>
  </si>
  <si>
    <t>2016.8.15</t>
  </si>
  <si>
    <t xml:space="preserve">长兴合同编号：穗建三（2016）年砼字（0804 ）号     </t>
  </si>
  <si>
    <t xml:space="preserve">C15 240 C20 250 C25 260 C30 270 C35 280 C40 295 C45 315 C50 340 C55 370 C60 405 从2016年10月1日起上调10元；C30 280 从2016年12月10日起上调30元 C30 310 </t>
  </si>
  <si>
    <t>P6-P8加5元；P10-P12加10元；砂浆320元；坍落度要求超过180mm加10元；水下砼10元；三天早强25元；七天早强加15元；细石加15元；路面砼加15元；掺膨胀剂30元；</t>
  </si>
  <si>
    <t>芳村高尔夫球场地块土地储备项目-公建教育配套工程（第二标段）</t>
  </si>
  <si>
    <t>孙上轩</t>
  </si>
  <si>
    <t>1.当月货款次月30日内结清。
2.供方在每次收取货款前，需提供有效的增值税普通发票给需方，否则需方有权延期付款且不承担逾期付款违约责任。
3.所有货款以人民币结算，付款方法以银行汇款或支票支付，以支票方式付款时，支票抬头与供方名称一致并写明“不得背书转让”。供方凭有效发票收取货款。</t>
  </si>
  <si>
    <t>供货数量以供方送货单数量为准。在供应过程中，需方对供货量有异议的，有权对供方所供货数量进行抽检解决，即以砼运输车的实际装载砼重量除以砼配合比中确定的砼容重（每立方米总用料量）作为该车的砼量。每车砼量应允许有±2%的误差。如连续3车次抽验结果均为负差且负差大于2％或一车次抽检结果负差大于5％时，则当次抽验浇注的所有车数均可按抽验结果中最大负差砼车的装载量计算方数，对抽查结果通知供方。</t>
  </si>
  <si>
    <t>孙上轩、</t>
  </si>
  <si>
    <t>孙上轩、庞世亮</t>
  </si>
  <si>
    <t>2016年12月6日付30万</t>
  </si>
  <si>
    <t>2017年1月2日付20万</t>
  </si>
  <si>
    <t>2017年2月21日付18万</t>
  </si>
  <si>
    <t>2017年3月10日付62万+3月31日付195832.5元</t>
  </si>
  <si>
    <t>2017年8月4日付78920元</t>
  </si>
  <si>
    <t>C30 295(临供）</t>
  </si>
  <si>
    <t>广东省地质建筑工程有限公司</t>
  </si>
  <si>
    <t>变电站及输电监测中心生产检测</t>
  </si>
  <si>
    <t>2017年6月23日付26225元</t>
  </si>
  <si>
    <t>C30 290(含税）</t>
  </si>
  <si>
    <t>广州市德坤建筑有限公司</t>
  </si>
  <si>
    <t>冼村二期F19-F21回迁改造项目</t>
  </si>
  <si>
    <t>广州机施建设有限公司</t>
  </si>
  <si>
    <t>科大讯飞人工智能大厦基坑支护工程</t>
  </si>
  <si>
    <r>
      <t>荔</t>
    </r>
    <r>
      <rPr>
        <sz val="12"/>
        <rFont val="宋体"/>
        <charset val="134"/>
      </rPr>
      <t>塱水产冰交易市场</t>
    </r>
  </si>
  <si>
    <t>湛江粤西建筑工程公司</t>
  </si>
  <si>
    <t>云城花海大厦</t>
  </si>
  <si>
    <t xml:space="preserve">华南理工大学 </t>
  </si>
  <si>
    <t>龙洞</t>
  </si>
  <si>
    <t>广东省航空护林站控制点测量</t>
  </si>
  <si>
    <t>2017年5月18日付392010元；</t>
  </si>
  <si>
    <t>2017年6月29日付58330元</t>
  </si>
  <si>
    <t>临供已打</t>
  </si>
  <si>
    <t>广州市红十字会医院住院楼</t>
  </si>
  <si>
    <t>2017年8月18日付16060元</t>
  </si>
  <si>
    <t>合同编号：（长泰合同）</t>
  </si>
  <si>
    <t>施工单位：中太建设集团股份有限公司，              工程名称：杨箕村项目（湖南省建筑工程集团总公司）</t>
  </si>
  <si>
    <t>C30：275元，包方：C30：280，2013年7月26日加价12元,2013年9月26日加8元，2013年10月1日上调30元，2013年10月12日上调35元，C30：360元2013年10月26日上调5元，C30：365元  2014年8月1起下调10元（在2013年12月12的基础上） C30:350元     砌筑/抹灰砂浆：283 从2015年8月1日起C10 280 C15 290 C20 300 C25 310 C30 320 C35 330 C40 345 C45 360 C50 375 C55 395 C60 42 C65 508 C70 598 C75 698 C80 788 砂浆 307 自密实 C60 475 C70 653 C80 853 不加灰（清水）C30以下15元/m3; C30 20元/m3；C35及以上加25元/M3</t>
  </si>
  <si>
    <t>广州天力建筑工程有限公司</t>
  </si>
  <si>
    <t>杨箕村现场预算：赵工13763361080</t>
  </si>
  <si>
    <t>5元/方；</t>
  </si>
  <si>
    <t>杨箕村旧城改造项目</t>
  </si>
  <si>
    <t>杨钢林</t>
  </si>
  <si>
    <t>供方应于每月5日前提交经双方确认的上月供应数量，需方在收到结算手续后50天内付至该批结算额的85%，余款在主体结构封顶后90天内付清。（最迟不超过2014年12月31日）</t>
  </si>
  <si>
    <t>2013.3.21-4.25</t>
  </si>
  <si>
    <t>2013.4.26-5.25</t>
  </si>
  <si>
    <t>2013.5.26-6.25</t>
  </si>
  <si>
    <t>① 10月18日 139方 45870元，</t>
  </si>
  <si>
    <t>② 2014年3月21日 C15 92方 单价330元</t>
  </si>
  <si>
    <t>③ 2014年4月14日 C35 150方 单价370</t>
  </si>
  <si>
    <t>2013.6.26-7.25</t>
  </si>
  <si>
    <t>2013年8月14日付450万元</t>
  </si>
  <si>
    <t>10月23日 100方 37000元，</t>
  </si>
  <si>
    <t>2014年3月23日 C15 100方 单价330元</t>
  </si>
  <si>
    <t>2014年4月16日  C25 76方 单价350</t>
  </si>
  <si>
    <t>2013.7.26-8.25</t>
  </si>
  <si>
    <t>2013年9月18日付693702.50元</t>
  </si>
  <si>
    <t>11月2日56方18480元</t>
  </si>
  <si>
    <t>2013.8.26-9.25</t>
  </si>
  <si>
    <t>2013年10月18日付650万（期票10月28日）</t>
  </si>
  <si>
    <r>
      <t>共计：</t>
    </r>
    <r>
      <rPr>
        <sz val="10"/>
        <color indexed="10"/>
        <rFont val="宋体"/>
        <charset val="134"/>
      </rPr>
      <t>295m³</t>
    </r>
    <r>
      <rPr>
        <sz val="10"/>
        <rFont val="宋体"/>
        <charset val="134"/>
      </rPr>
      <t>，金额：101350元（钱已退）</t>
    </r>
  </si>
  <si>
    <t>共计：192m³ 金额：63360元 （钱已退）</t>
  </si>
  <si>
    <r>
      <t>共计：</t>
    </r>
    <r>
      <rPr>
        <sz val="11"/>
        <color indexed="10"/>
        <rFont val="宋体"/>
        <charset val="134"/>
      </rPr>
      <t>226m³</t>
    </r>
    <r>
      <rPr>
        <sz val="11"/>
        <rFont val="宋体"/>
        <charset val="134"/>
      </rPr>
      <t xml:space="preserve"> 金额82100元（钱已退）</t>
    </r>
  </si>
  <si>
    <t>2013.9.26-10.25</t>
  </si>
  <si>
    <t>2013年10月25日付482万元</t>
  </si>
  <si>
    <t>2013.10.26-11.25</t>
  </si>
  <si>
    <t>④ 2014年5月20日 53方，C25，单价350</t>
  </si>
  <si>
    <t>⑤ 2014年6月20 120方 C35P8  单价375</t>
  </si>
  <si>
    <t>⑥ 2014年8月1日 243方 C15 单价330</t>
  </si>
  <si>
    <t>2013.11.26-12.25</t>
  </si>
  <si>
    <t>共计：53m³   金额：18550元</t>
  </si>
  <si>
    <r>
      <t>共计：</t>
    </r>
    <r>
      <rPr>
        <sz val="11"/>
        <color indexed="10"/>
        <rFont val="宋体"/>
        <charset val="134"/>
      </rPr>
      <t>120m³</t>
    </r>
    <r>
      <rPr>
        <sz val="11"/>
        <rFont val="宋体"/>
        <charset val="134"/>
      </rPr>
      <t xml:space="preserve"> 金额：45000</t>
    </r>
  </si>
  <si>
    <t>共计：243m³ 金额80190</t>
  </si>
  <si>
    <t>2013.12.26-12.31</t>
  </si>
  <si>
    <t>（钱已退）</t>
  </si>
  <si>
    <t>2014.1.1-2014.1.25</t>
  </si>
  <si>
    <t>2014.1.26-2.25</t>
  </si>
  <si>
    <t>⑦ 2014年11月25日 129方 C25</t>
  </si>
  <si>
    <t>⑧ 2014年12月5 112方 C20临设路面</t>
  </si>
  <si>
    <t>8次共计1464m³，已超464m³</t>
  </si>
  <si>
    <t>2014年3月10日付4351853.39元</t>
  </si>
  <si>
    <t>2014年11月26日 94方 C25</t>
  </si>
  <si>
    <t>共计223m³（钱已退）</t>
  </si>
  <si>
    <t>共计112m³</t>
  </si>
  <si>
    <t>2014年5月30日付261790.7元；810万元；8243023.7元；395185.6元</t>
  </si>
  <si>
    <t>2014年9月20付350万元+250万元+400万元</t>
  </si>
  <si>
    <t>2014年10月27付800万元</t>
  </si>
  <si>
    <t>2014年12月4付1022344+12月4日付3605933+</t>
  </si>
  <si>
    <t>2015年1月19付580万元</t>
  </si>
  <si>
    <t>2015年3月6付300万元</t>
  </si>
  <si>
    <t>2015年4月3付200万+2015年4月13付999997元</t>
  </si>
  <si>
    <t>2015年5月8日付2982229.10元+5月28付1271890.32万元+5月28付6321191.68</t>
  </si>
  <si>
    <t>2015年6月4日5318265元（中太建设）---【其中2015.6.3退空单款57980元，2014.9.26退空单数：113580元；2014.12退空单数97400元；2015.6.23退空单数：52500元</t>
  </si>
  <si>
    <t>2015年7月13日付806172.5元（中太）</t>
  </si>
  <si>
    <t>2015年8月14日713905元（中太）+2015年8月19日付400万</t>
  </si>
  <si>
    <t>2015年11月13付1010050元（期票11.16）</t>
  </si>
  <si>
    <t>2016年1月1日付999999万元</t>
  </si>
  <si>
    <t>2016年2月5日付200万</t>
  </si>
  <si>
    <t>2016年9月18日付103360.90元</t>
  </si>
  <si>
    <t>2017年4月15日付150万</t>
  </si>
  <si>
    <t xml:space="preserve">C30：275元，包方：C30：280，2013年7月26日加价12元,2013年9月26日加8元，2013年10月1日上调30元，2013年10月12日上调35元，C30：360元2013年10月26日上调5元，C30：365元  2014年8月1起下调10元（在2013年12月12的基础上） C30:350元     砌筑/抹灰砂浆：283 </t>
  </si>
  <si>
    <t>杨箕村D栋旧城改造项目</t>
  </si>
  <si>
    <t>供方应于每月5日前提交经双方确认的上月供应数量，需方在收到结算手续后50天内付至该批结算额的85%，余款在主体结构封顶后90天内付清。（最迟不超过2015年12月31日）</t>
  </si>
  <si>
    <t>每批次混凝土尾数只能有一车不足6m³，（供方车队车辆罐容量为9-15m³）超出此车次的，需方按每车150元补偿运费给供方。</t>
  </si>
  <si>
    <t>2015年1月8付1003223.64元</t>
  </si>
  <si>
    <t>2015年3月15付2040215.5万元</t>
  </si>
  <si>
    <t>6.9付949045元（湖南建总）+6.13付2946530元（湖南建总）</t>
  </si>
  <si>
    <t>2015年9月22付1075760元</t>
  </si>
  <si>
    <t>2016年9月D2栋主体封顶；2016年8月D1栋主体封顶。</t>
  </si>
  <si>
    <r>
      <t>2016年2月3日付57249.6元；2016年2月5日付400万；</t>
    </r>
    <r>
      <rPr>
        <b/>
        <sz val="12"/>
        <color indexed="10"/>
        <rFont val="宋体"/>
        <charset val="134"/>
      </rPr>
      <t>2016年2月5日付338940.49元</t>
    </r>
  </si>
  <si>
    <t>2016年4月20日付200万</t>
  </si>
  <si>
    <t>2016年6月24日付999992元</t>
  </si>
  <si>
    <t>2016年8月11日付350万</t>
  </si>
  <si>
    <t>2016年9月14日付869307.5元（湖南建总）+</t>
  </si>
  <si>
    <t>签定日期：2013年2月9日</t>
  </si>
  <si>
    <t>合同编号：CX13-0209，穗富建字[2013]第
（长泰合同）</t>
  </si>
  <si>
    <t>13824461044，公司预算部林小姐，海珠城现场预算，陈苗13265955870</t>
  </si>
  <si>
    <t>C10:235  C15:245  C20:255  C25:265  C30:275  C35:285  C40:300  C45:315  C50:335  C55:355  C60:385，图纸包方加5元，2013年7月26日加价12元，2013年9月26日加8元，2013年10月1日上调30元，2013年10月12日上调40元，2013年10月26日下调5元，2013年11月8日上调5元，C30：365元 2014年8月1起下调10元</t>
  </si>
  <si>
    <t>抗渗P6-8加5元/m3；P10-12加10元/m3。水下、细石加15元/m3。坍落度超过180mm加5元/m3。加9%膨胀剂每立方增加：C25加36元；C30加39元，C35加42元，C40加47元，C45加50元，C50加55元，C55加60元，C60加64元。加7%膨胀剂每立方增加：C25加27元，C30加28元，C35加31元，C40加35元，C45加38元，C50加42元，C55加46元，C60加48元。主体结构超过150米（含）在原价格基础上每立方增加15元。</t>
  </si>
  <si>
    <t>广州天力建筑工程有限公司，</t>
  </si>
  <si>
    <t>7天早强混凝土达到80%，每立方在原单价增加10元； 7天早强混凝土达到90%，每立方在原单价增加15元；、 7天早强混凝土达到100% ，每立方在原单价增加25元；   3天早强混凝土达到80%，每立方在原单价增加15元；3天早强混凝土达到90%，每立方在原单价增加20元；、3天早强混凝土达到100%，每立方在原单价增加45元；</t>
  </si>
  <si>
    <t>供方要求需方每批次供应的混凝土（尾数）只能有一车不足6m3（供方车队车辆罐容砼量均为9-15m3），如超出此车数，需方应按每车150元补偿运费给供方。</t>
  </si>
  <si>
    <t>海珠区建设工程质量监督检测室</t>
  </si>
  <si>
    <t>日期</t>
  </si>
  <si>
    <t>发票额</t>
  </si>
  <si>
    <t>总额</t>
  </si>
  <si>
    <t>2013年7月18日付200万元</t>
  </si>
  <si>
    <t>2013年9月付300801.50元</t>
  </si>
  <si>
    <t>2013年9月30日付250万</t>
  </si>
  <si>
    <t>2013年11月21日1010449.50元</t>
  </si>
  <si>
    <t>2013年12月25日付320万元</t>
  </si>
  <si>
    <t>2014年1月26日付300万元</t>
  </si>
  <si>
    <t>2014年4月付175万元</t>
  </si>
  <si>
    <t>5月6日付150万</t>
  </si>
  <si>
    <t>2014年7月21付250万元</t>
  </si>
  <si>
    <t>2014年8月18付200万元</t>
  </si>
  <si>
    <t>2014年10月27付146947.5</t>
  </si>
  <si>
    <t>2015年6月19付945715元</t>
  </si>
  <si>
    <t>2017年8月2日付100万</t>
  </si>
  <si>
    <t>:
广州市越秀区较场东路19号富力大厦13楼，苏科13802742496</t>
  </si>
  <si>
    <t>C10：310 C15：320 C20：330 C25：340 C30：350 C35：365 C40：380 C45：395 C50：415 C55：435 C60：465 砂浆：332   从2014年8月1起下调10元；C10：280 C15：290 C20：300 C25：310 C30：320 C35：330 C40：345 C45：360 C50：375 C55：395 C60：420 C65：508 C70：598 砂浆 307 自密实C60 475 C70 653 C80 853 C75 698 C80 788从2015年11月25日起C30 295 从2016年3月1日起C30 275 通泵砂浆 252（按图包方单价）C30 265 通泵砂浆 252（按实结算）从2016年3月26日起C30 265(按实结算）C30 275(按图包方单价）从2016年8月16日起上调20元；C30 285(按实结算）C30 295(按包方结算）从2016年12月17日至12月20日起C30 315 (按实结算）C30 325(按包方结算）从2016年12月20日至12月21日起C30 335 (按实结算）C30 345(按包方结算）从2016年12月21日至24日起C30 335 (按实结算）C30 345(按包方结算）从2016年12月29日至1月10日起C30 335 (按实结算）C30 345(按包方结算）</t>
  </si>
  <si>
    <t>P6-P8加5元，P10-P12加10元，水下，细石加15元，坍落度180mm加5元；7天早强混凝土达到80%，每立方在原单价增加10元；达到90%，每立方在原单价增加15元；、达到100% ，每立方在原单价增加25元；   3天早强混凝土达到80%，每立方在原单价增加15元；达到90%，每立方在原单价增加20元；、达到100%，每立方在原单价增加45元； 清水混凝土加25元；主体结构在150米以上（含），各强度等级混凝土结算价格在原同等级价格基础上加15元，（塌落度超过180mm不再另外加费用）；摻膨胀剂混凝土加40元</t>
  </si>
  <si>
    <t>从2016年3月26日起： 1、抗渗混凝土P6～P8在原级别基础上增加 5 元/m3；抗渗混凝土P10～P12在原级别基础上增加 8元/m3；
2、坍落度超过180mm加 5 元/m3。
3、水下加 10 元/m3；细石加 15元/m3；
4、另加早强剂在基础级别上增加，7天早强达80%加10元/m3，达90%加15元/m3，达100%加20元/m3。3天早强达80%加15元/m3，达90%加20元/m3，达100%加25元/m3。
5、清水混凝土在基础级别上增加 10元/m3。
6、加9%膨胀剂每立方增加：30 元。加7%膨胀剂每立方增加：20元
7、主体结构在150米以上（含），各强度等级混凝土结算价格在原同等级价格基础上加 15 元/m3。（坍落度超过180mm不再另外增加费用）
8、如遇原材料市场价格浮动超过5%时，单价另行协商，以新签订的报价单为准。</t>
  </si>
  <si>
    <t>业务信息费：水下桩10元/m³；；其他5元/m³</t>
  </si>
  <si>
    <t>金沙洲保障性住房项目</t>
  </si>
  <si>
    <t>供方应于每月5日前提交经双方确认的上月供应数量，需方在收到结算手续后50天内付至该批结算额的85%，余款在主体结构单栋封顶90天内付清。</t>
  </si>
  <si>
    <t>如遇原材料市场价格浮动超过5%时，单价另行协商。</t>
  </si>
  <si>
    <t>补充</t>
  </si>
  <si>
    <t>付款方式变更：按月付清</t>
  </si>
  <si>
    <t>2014年7月24付127244</t>
  </si>
  <si>
    <t>2014年8月20付159080</t>
  </si>
  <si>
    <t>2014年9月30付65万元+110万元</t>
  </si>
  <si>
    <t>2014年12月19付57501</t>
  </si>
  <si>
    <t>2015年1月15付935804.5+1579344.5；2015年1月19付70万元</t>
  </si>
  <si>
    <t>2015年2月6付170万元</t>
  </si>
  <si>
    <t>2015年9月6日付999998万</t>
  </si>
  <si>
    <t>2015年10月8日付400万</t>
  </si>
  <si>
    <t>2016年1月12日付300万</t>
  </si>
  <si>
    <t>2016年2月5日付238486元；2月22日付600万</t>
  </si>
  <si>
    <t>2016年6月24日付999998元（7月入账）</t>
  </si>
  <si>
    <t>2016年7月1日付400万</t>
  </si>
  <si>
    <t>2016年9月18日付1612062.5元；+35096元；</t>
  </si>
  <si>
    <t>2016年9月30日付300万（期票10.8）</t>
  </si>
  <si>
    <t>2016年11月4日付500万</t>
  </si>
  <si>
    <t>2016年12月14日付80万</t>
  </si>
  <si>
    <t>2017年1月22日付240万</t>
  </si>
  <si>
    <t>2017年2月9日付320万</t>
  </si>
  <si>
    <t>2017年2月24日付250万</t>
  </si>
  <si>
    <t>2017年4月20日付858737.5元</t>
  </si>
  <si>
    <t>2017年6月6日付400万</t>
  </si>
  <si>
    <t>C10：310 C15：320 C20：330 C25：340 C30：350 C35：365 C40：380 C45：395 C50：415 C55：435 C60：465 砂浆：332   从2014年8月1起下调10元；从2015年11月25日起C30 295 从2016年3月1日起C30 275 通泵砂浆 252（按图包方单价）C30 265 通泵砂浆 252（按实结算）从2016年3月26日起C30 265(按实结算）C30 275(按图包方单价）从2016年8月16日起上调20元；C30 285(按实结算）C30 295(按包方结算）从2016年12月21日至24日起C30 335 (按实结算）C30 345(按包方结算）从2016年12月29日至1月10日起C30 335 (按实结算）C30 345(按包方结算）</t>
  </si>
  <si>
    <t>每批次混凝土尾数只能有一车不足6m³，（供方车队车辆罐容量为9-15m³）超出此车次的，需方按每车150元补偿运费给供方。</t>
  </si>
  <si>
    <t>2017年8月2日付200万元</t>
  </si>
  <si>
    <t>C10：310 C15：320 C20：330 C25：340 C30：350 C35：365 C40：380 C45：395 C50：415 C55：435 C60：465 砂浆：332   从2014年8月1起下调10元；从2015年11月25日起C30 295 从2016年3月1日起C30 275 通泵砂浆 252（按图包方单价）C30 265 通泵砂浆 252（按实结算）从2016年3月26日起C30 265(按实结算）C30 275(按图包方单价）从2016年8月16日起上调20元；C30 285(按实结算）C30 295(按包方结算）</t>
  </si>
  <si>
    <t>金沙洲公建五栋</t>
  </si>
  <si>
    <t>2016年9月30日付300万（期票10.8）其中支付84360元</t>
  </si>
  <si>
    <t>电话：13632472269，工地对数</t>
  </si>
  <si>
    <t>C15:265  C20:275  C25:285  C30:295  C35:305  C40:320  C45:335  C50:355  C55:375  C60:405，2013年10月1日上调15元，10月12日上调35元，C30：345，砂浆：320元</t>
  </si>
  <si>
    <t>水下、细石加15元，膨胀加40元，坍落度超过180mm加10元，主体结构在150米以上加15元，</t>
  </si>
  <si>
    <t>广州中煤江南基础工程公司</t>
  </si>
  <si>
    <t>顾小慧、黄伟</t>
  </si>
  <si>
    <t>当月货款次月15天内付清，否则，供方有权停止供货并且有权拒付技术资料，并追究需方违约责任。</t>
  </si>
  <si>
    <t>每批次浇捣的混凝土尾数只能有一车不足9m3，超出一车以上，按每车达不到9m3的差额部分，另向需方收取30元/m3空运费。</t>
  </si>
  <si>
    <t>2013年8月1日至8月25日</t>
  </si>
  <si>
    <t>2013年8月26日至9月25日</t>
  </si>
  <si>
    <t>2014年1月20日付714212.5元</t>
  </si>
  <si>
    <t>2014年4月25收到100万元（期票5月18）</t>
  </si>
  <si>
    <t>2014年6月24收到150万元（期票7月20）</t>
  </si>
  <si>
    <t>2014年10月15付30万元</t>
  </si>
  <si>
    <t>2014年11月19付50万元</t>
  </si>
  <si>
    <t>2015年4月24日付100万元</t>
  </si>
  <si>
    <t>2016年9月22日付100万（期票12.22）</t>
  </si>
  <si>
    <t>2017年1月4日付50万</t>
  </si>
  <si>
    <t>签定日期：2014-12-11</t>
  </si>
  <si>
    <t>合同编号:CX14-1208
长兴合同</t>
  </si>
  <si>
    <t>合同工期：</t>
  </si>
  <si>
    <t>C15：300 C20：310 C25：320 C30：330 C35：340 C40:355  C45：375 C50：400 C55：430 C60：465；从2015年8月1日起 C30 310</t>
  </si>
  <si>
    <t>水下、细石加15元；膨胀剂加40元/m³；P6~P8抗渗砼加5元/m³；P10~P12抗渗砼加 10 元/m³；坍落度超过180mm加10元/m³。主体结构在150米以上（含），各强度等级混凝土结算价格在原同等级价格基础上加15元/m³（坍落度超过180mm不再另外增加费用）; 3天早强：≤C30混凝土达到70%加20元/m3；达到80%加25元/m3；达到90%加35元/m3；达到100%加45元/m3；≥C35混凝土强度值达到70%加25元/m3；达到80%加30元/m3；达到90%加40元/m3；达到100%加50元/m3。7天早强：≤C30混凝土强度值达到80%加10元/m3；达到90%加15元/m3；达到100%加25元/m3；≥C35混凝土强度值达到80%加15元/m3；达到90%加20元/m3；达到100%加30元/m3；清水或无粉煤灰（纯水泥）混凝土≤C35加25元/m3；≥C40加20元/m3；掺膨胀剂：普通砼掺6%加35元/m3，掺8%加40元/m3，掺10%加45元/m3，掺12%加50元/m3，砂浆单价320元/m3。</t>
  </si>
  <si>
    <t>广州中煤江南基础工程公司岩土工程分公司</t>
  </si>
  <si>
    <t>服务协议书</t>
  </si>
  <si>
    <t>黄伟 顾慧佳</t>
  </si>
  <si>
    <t>当月货款次月15天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</si>
  <si>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2015年8月24付100万元</t>
  </si>
  <si>
    <t>2015年10月23日付100万元；</t>
  </si>
  <si>
    <t>2015年10月23付150万（期票11.30-延期到12.8）</t>
  </si>
  <si>
    <t>2015年12月24日付100万（期票1.28--延期到2016.2.3）</t>
  </si>
  <si>
    <t>2016年01月22付1300419.5元；（期票3.30）</t>
  </si>
  <si>
    <t>2016年5月31日付50万（期票7.15）+100万（期票8.15）</t>
  </si>
  <si>
    <t>2017年1月4日付361114.5元</t>
  </si>
  <si>
    <t>2017年5月26日付831670.5元（期票7.30）6月7日付347423元（期票8.30）</t>
  </si>
  <si>
    <t>合同编号：恒盛合新字2013-113号
（泰兴合同）</t>
  </si>
  <si>
    <t>信息费10元/立方</t>
  </si>
  <si>
    <t>根据需方提出计划单时市场价格进行优惠报价，报给需方的价格不高于其他保障房项目标段的单价。供方供货前需报单给需方确认，双方确定单价后进行供货。本合同供货量上限为4万立方米，如未超出此总量则双方按实结算，如超出此总量应签订补充协议书重新确认。C30:360</t>
  </si>
  <si>
    <t xml:space="preserve">C15：330 C20：340 C25：350 C30：360 C35：375 C40：390 C45：405 C50：425 C55：445 C60：475  从2014年5月1日下调5元/m³ C30：355 从2014年12月1日开始上调5元C30：360；砂浆M5 280 M7.5 290 M10 300 M15 315 M20 335 M25 355 M30 385 普通通管砂浆 300 </t>
  </si>
  <si>
    <t>南方钢厂（二期）保障性住房项目施工总承包（标段二）</t>
  </si>
  <si>
    <t>本合同供货量上限为4万立方米，如未超出此总量则双方按实结算，如超出此总量应签订补充协议重新确认。
m3</t>
  </si>
  <si>
    <t>陈林、张锦洲</t>
  </si>
  <si>
    <t>陈林和张锦洲</t>
  </si>
  <si>
    <t>每批次浇捣的混凝土尾数只能有一车不足9m3，超出一车以上，按每车达不到9m3的差额部份，另向需方收取30元/m3空运费。</t>
  </si>
  <si>
    <t>试件送检单位：广州建设工程质量安全检测中心有限公司（市站）</t>
  </si>
  <si>
    <t>2014年1月1日至1月10日</t>
  </si>
  <si>
    <t>2014年1月11日至1月30日</t>
  </si>
  <si>
    <t>2014年3月26日付310050</t>
  </si>
  <si>
    <t>2014年4月21付894015元</t>
  </si>
  <si>
    <t>2014年5月15日付1104675元</t>
  </si>
  <si>
    <t>2014年6月24付1058557.5</t>
  </si>
  <si>
    <t>2014年8月19 付2273227.5</t>
  </si>
  <si>
    <t>2014年9月17付1170840</t>
  </si>
  <si>
    <t>2014年10月24付892200</t>
  </si>
  <si>
    <t>2014年11月27付754560</t>
  </si>
  <si>
    <t>2014年12月12付363642.5</t>
  </si>
  <si>
    <t>2015年1月16付1615050</t>
  </si>
  <si>
    <t>2015年2月11付4227417.5</t>
  </si>
  <si>
    <t>2015年5月20付2671432.5</t>
  </si>
  <si>
    <t>2015年6月25付1730787.5元</t>
  </si>
  <si>
    <t>2015年7月28付2598325元</t>
  </si>
  <si>
    <t>2015年8月20付3125445元</t>
  </si>
  <si>
    <t>2015年9月22付2892215元</t>
  </si>
  <si>
    <t>2015年11月11付2400790元</t>
  </si>
  <si>
    <t>2015年12月4付2561730元</t>
  </si>
  <si>
    <t>2016年1月28日付1341220元</t>
  </si>
  <si>
    <t>2016年4月29日付5550元</t>
  </si>
  <si>
    <t>2016年9月6日付113045元</t>
  </si>
  <si>
    <t>2016年12月21日付636290元</t>
  </si>
  <si>
    <t>2017年6月7日付381460元（期票7.15）</t>
  </si>
  <si>
    <t>合同编号：2014砼-12
（长泰合同）</t>
  </si>
  <si>
    <t>合同工期：2014年9月</t>
  </si>
  <si>
    <t xml:space="preserve">朱小姐（对数）18675866359
</t>
  </si>
  <si>
    <r>
      <t xml:space="preserve">塌落度&lt;120普通单价：C10：285 C15：293 C20：304 C25：316 C30：331 C35：347 C40：362 C45：377 C50：393 C55：416 C60：435       塌落度≥120 泵送单价：C10：291 C15：299 C20：310 C25：322 C30：337 C35：353 C40：368 C45：383 C50：399 C55:422 C60：441 </t>
    </r>
    <r>
      <rPr>
        <sz val="11"/>
        <color indexed="10"/>
        <rFont val="宋体"/>
        <charset val="134"/>
      </rPr>
      <t xml:space="preserve">从2014年4季度（2014年9月21日）采用固定单价 C10 265 C15 275 C20 285 C25 295 C30 305 C35 320 C40 335 C45 355 C50 375 C55 395 C62 415 ；纯水泥25元/m3 从2015年10月21日起C10 240 C15 250 C20 260 C25 270 C30 280 C35 295 C40 310 C45 330 C50 350 C55 370 C60 390 </t>
    </r>
  </si>
  <si>
    <t>抗渗S6-S8及S10-S12混凝土，按施工当季度广州市建设工程信息综合指导价下浮23%进行结算；其它特殊混凝土的价格为：润泵砂浆300元/m³；UEA膨胀砼在原单价基础上加40元/m³；细石砼加10元/m³；超高层泵送砼：201米-250米加15元/m³；251米-300米加25元/m³；301米以上加35元 /m³</t>
  </si>
  <si>
    <t>杨箕村旧城改造项目工程</t>
  </si>
  <si>
    <t>每月20日办理结算，次月30日前支付上月结算款的80%，宽限期7天，余款20%在工程主体结构封顶后四个月分期支付给卖方。2015年8月起余款四个月内付清。</t>
  </si>
  <si>
    <t>按广州市2014年第二季度建设工程信息综合指导下浮23%作为定价基础，以后商品混凝土市场价格有波动时，按施工当季广州市建设工程信息综合指导价下浮23%进行结算，不再另行调价</t>
  </si>
  <si>
    <t>2014年9月1至9月20</t>
  </si>
  <si>
    <t>2014年9月21日至10月18</t>
  </si>
  <si>
    <t>2014年第三季度调差（结算单未回）</t>
  </si>
  <si>
    <t>2014年10月19日至11月18日</t>
  </si>
  <si>
    <t>2014年11月28付200万元</t>
  </si>
  <si>
    <t>2014年11月19日至12月18日</t>
  </si>
  <si>
    <t>2014年12月24付1108104.32</t>
  </si>
  <si>
    <t>2015年1月18付2092739.37</t>
  </si>
  <si>
    <t>2015年1月19至2月6</t>
  </si>
  <si>
    <t>2015年2月10付300万元</t>
  </si>
  <si>
    <t>2015年2月1日至2015年3月18日</t>
  </si>
  <si>
    <t>2015年3月27付400万元</t>
  </si>
  <si>
    <t>2015年4月16付1228192元</t>
  </si>
  <si>
    <t>2015年5月21付2183211.2元</t>
  </si>
  <si>
    <t>2015年5月19日至2015年6月17日</t>
  </si>
  <si>
    <t xml:space="preserve">2015年6月19日至2015年7月18日 </t>
  </si>
  <si>
    <t>纯水泥</t>
  </si>
  <si>
    <t>2015年7月15付2333335.36元</t>
  </si>
  <si>
    <t xml:space="preserve">2015年7月19日至2015年8月18日 </t>
  </si>
  <si>
    <t>2015年8月25日付652183.37元</t>
  </si>
  <si>
    <t>2015年8月19日至2015年9月18日</t>
  </si>
  <si>
    <t>2015年9月19日至2015年10月18日</t>
  </si>
  <si>
    <t>2015年10月19日至2015年11月18日</t>
  </si>
  <si>
    <t>2015年11月年24日付1247887.98元</t>
  </si>
  <si>
    <t>2015年11月19日至2016年12月14日</t>
  </si>
  <si>
    <t>2016年01月27日付1282255.86元；</t>
  </si>
  <si>
    <t>2015年12月纯水泥</t>
  </si>
  <si>
    <t>2015年12月19日至2016年4月18日</t>
  </si>
  <si>
    <t>2015-12-19至1-20</t>
  </si>
  <si>
    <t>2016年5月31日付2374580.39元；</t>
  </si>
  <si>
    <t>2016年4月20日至2016年5月25日</t>
  </si>
  <si>
    <t>2017年6月29日付343165元</t>
  </si>
  <si>
    <t>合同编号：CX14-1011
（长兴合同）</t>
  </si>
  <si>
    <t xml:space="preserve">普通混凝土：C10：305 C15：315 C20：325 C25：335 C30：345 C35：355 C40：370 C45：385 C50：405 C55：425 C60：445 C65:533 C70:623 C75:723 C80:813 自密实混凝土：C60：500 C70：678 C80：878 从2015年8月1日起普通混凝土：C10：280 C15：290  C20：300 C25：310 C30：320 C35：330 C40：345 C45：360 C50：375 C55：395 C60：420 C65:508 C70:598 通泵砂浆 307 C75 698 C80 788   自密实混凝土：C60：475 C70：653 C80：853 </t>
  </si>
  <si>
    <t>P6-P8加5元，P10-P12加10元，水下，细石加15元，坍落度180mm加5元；7天早强混凝土达到80%，每立方在原单价增加10元；达到90%，每立方在原单价增加15元；、达到100% ，每立方在原单价增加25元；   3天早强混凝土达到80%，每立方在原单价增加15元；达到90%，每立方在原单价增加20元；、达到100%，每立方在原单价增加30元；主体结构在150米以上（含），各强度等级混凝土结算价格在原同等级价格基础上加15元，（塌落度超过180mm不再另外加费用）；加9%膨胀剂：C25加36；C30加39元；C35加42元；C40加47元；C45加50元；C50加55元；C55加60元；C60加64元；C60以上等级加69元； 加7%膨胀剂：C25加27；C30加28元；C35加31元；C40加35元；C45加38元；C50加42元；C55加46元；C60加48元；C60以上等级加53元；</t>
  </si>
  <si>
    <t>广州天力建筑工程有限公司（广州建筑股份有限公司）</t>
  </si>
  <si>
    <t>59层设计商业办公楼及5层商业楼工程各1幢工程（广发证券大厦）</t>
  </si>
  <si>
    <t>供需方按双方确认的上月供应量进行结算，供方于每月5日前提交经双方确认的上月结算手续，需方收到结算手续后在50天内付至该批结算额的90%货款，余款在主体结构封顶90天内付清。</t>
  </si>
  <si>
    <t>需方每批次浇捣的混凝土尾数只能有一车不足6方（供方车队车辆罐容量均为9-15方），如超出此车数的，需方应按每车1502元补偿运费给供方</t>
  </si>
  <si>
    <t>2014年12月26付268040</t>
  </si>
  <si>
    <t>2015年2月5付260406；2月15付1695389</t>
  </si>
  <si>
    <t>2015年5月27付1961451.5</t>
  </si>
  <si>
    <t>2015年7月16付740383元+7月28日付1274959.5元</t>
  </si>
  <si>
    <t>2015年9月2日付1033919元</t>
  </si>
  <si>
    <t>2015年10月8付1135163元</t>
  </si>
  <si>
    <t>2015年11月6付1033231.5元</t>
  </si>
  <si>
    <t>2016年01月14日付1888071元；</t>
  </si>
  <si>
    <t>2016年2月5日付778466元；</t>
  </si>
  <si>
    <t>2016年4月20日付512855元</t>
  </si>
  <si>
    <t>2016年9月14日付710095元</t>
  </si>
  <si>
    <t>2016年12月3日付1607675元</t>
  </si>
  <si>
    <t>2016年1月12日付836396元</t>
  </si>
  <si>
    <t>2017年2月17日付171277.5元</t>
  </si>
  <si>
    <t>2017年4月21日付441262.5元</t>
  </si>
  <si>
    <t>2017年7月1日付199782.5元</t>
  </si>
  <si>
    <t>签定日期：2015年10月12日</t>
  </si>
  <si>
    <t>合同编号：CT15-1012</t>
  </si>
  <si>
    <t>天河东圃小新塘合景路，配套有游泳池、会所、幼儿园、小学，碧迅·天河星作主要由10栋18-20层高的高层住宅洋房组成，计划分两期开发</t>
  </si>
  <si>
    <t>C10:C15：270 C20：280 C25：290 C30：300 C35：315  C40：330 C45：350 C50：375 C55：405 C60：440 砂浆400</t>
  </si>
  <si>
    <t>备注：
一、抗渗砼P6-P8在原单价上另加收5元/m3；P10-P12在原单价上另加收10元/m3；
二、水下桩或坍落度超过180mm时在原单价上另加收10元/ m3；细石混凝土在原单价上另加收10元/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七、掺膨胀剂：普通砼掺6%加35元/m3，掺8%加40元/m3，掺10%加45元/m3，掺12%加50元/m3，特殊混凝土价格双方另协商。</t>
  </si>
  <si>
    <t>广东省建筑构件工程有限公司</t>
  </si>
  <si>
    <t>按公司规定；业务信息20元/方</t>
  </si>
  <si>
    <t>小新塘项目基坑支护工程</t>
  </si>
  <si>
    <t>4000m3</t>
  </si>
  <si>
    <t>高士川</t>
  </si>
  <si>
    <t xml:space="preserve"> 高士恒 、           严毅</t>
  </si>
  <si>
    <t xml:space="preserve"> 高士川</t>
  </si>
  <si>
    <t>2015年12月25日前支付所供砼货款的50%，2016年1月30日前支付至所供砼总货款的70%，余款30%于2016年5月31日前付清。</t>
  </si>
  <si>
    <t>需方每批次浇捣的混凝土尾数只能有一车不足6m3，混凝土报料尾数每车低于6m3的，每车补100元空运费。</t>
  </si>
  <si>
    <t>2015年12月22日付40万元</t>
  </si>
  <si>
    <t>2016年2月2日付35万元</t>
  </si>
  <si>
    <t>2016年6月13日付30万</t>
  </si>
  <si>
    <t>2016年9月14日付15万</t>
  </si>
  <si>
    <t>1月21日付122530元</t>
  </si>
  <si>
    <t>长泰合同编号：CT16-0321</t>
  </si>
  <si>
    <t>佛山市南海区桂城街道简平路1号天安数码城四期1412 王歆18575850075</t>
  </si>
  <si>
    <t>C10: 225  C15：235 C20：245 C25：255 C30：265 C35：280  C40：295 C45：315 C50：335 C55：360 C60：385 润泵280；从2016年8月1日上调20元；C30 285 砂浆300 从2016年12月12日起上调40元；C30 325 从2017年2月15日起下调20元；C30 305</t>
  </si>
  <si>
    <t>细石{0.5石}以及1-2石混凝土加收10元/m3，3天早强加收40元/m3， 4天早强加收35元/m3， 7天早强加收15元/m3，道路砼加收12元/方，不加粉煤灰砼加收12元/方，抗渗混凝土：S6（P6）在原强度等级的单价基础上加  10 元/ m3、S8（P8）在原强度等级的单价基础上加  12 元/ m3。早强或防冻混凝土在同等级普通混凝土单价上增加  35 元∕M3. 如需掺入6-8%-膨胀剂加价  35 元/m3, 如需掺入10--12%的膨胀剂则加价45元/m3。</t>
  </si>
  <si>
    <t>四川广厦建筑工程有限公司</t>
  </si>
  <si>
    <t>广东电白建设集团有限公司</t>
  </si>
  <si>
    <t>含税价增加5%</t>
  </si>
  <si>
    <t>按公司规定；信息费15元（地材费）</t>
  </si>
  <si>
    <t>小新塘商住项目东区总承包工程</t>
  </si>
  <si>
    <t>罗总</t>
  </si>
  <si>
    <t>詹元培、易亨勇</t>
  </si>
  <si>
    <t xml:space="preserve">王晓龙 </t>
  </si>
  <si>
    <t>双方本着公平的原则每月30 日进行一次结算（结算周期为上月26 日到本月25 日）。从供货当月计起，第四个月支付第一笔货款，甲方在第四个月30日前支付第一月所供砼款的80%给乙方；后期每月30号前以此支付所供砼的80%；余下20%的货款在主体结构封顶后6个月内平均支付。（如 2016 年 12月 30 日前主体结构未封顶的，视为已封顶）。</t>
  </si>
  <si>
    <t>每次浇筑部位的混凝土只能有壹车不足8M3，如果超出此车数时，甲方需按 35 元/立方补足立方米的空置方量运费。</t>
  </si>
  <si>
    <t>混凝土价格调整：本合同混凝土以合同签订时“华润”牌水泥出厂价为基础，水泥出厂价升或降10元/吨时，混凝土价格相应增加或降低2.5元/m3；混凝土其他主要原材料以洗水砂价格 75  元/立方（含运费）、碎石价格 92  元/立方（含运费）为基准，沙、碎石价格出现涨幅波动时，涨幅正负百分之5以内不予调整，超出正负百分之5时，双方对混凝土单价进行调整（如有分歧，可参考广州建设工程造价信息中混凝土价格的涨跌情况，双方再进行协商，直至达成共识）。</t>
  </si>
  <si>
    <t>2016年4月25日至2016年5月25日</t>
  </si>
  <si>
    <t>2016年5月25日至2016年6月25日</t>
  </si>
  <si>
    <t>2016年6月25日至2016年7月25日</t>
  </si>
  <si>
    <t>2016年7月25日至2016年8月25日</t>
  </si>
  <si>
    <t>2016年9月12日付1909080元</t>
  </si>
  <si>
    <t>2016年8月25日至2016年9月25日</t>
  </si>
  <si>
    <t>2016年10月7日付1531300元</t>
  </si>
  <si>
    <t>2016年9月25日至2016年10月26日</t>
  </si>
  <si>
    <t>2016年11月8日付964170元</t>
  </si>
  <si>
    <t>2016年10月25日至2016年11月26日</t>
  </si>
  <si>
    <t>2016年12月9日付1889160元</t>
  </si>
  <si>
    <t>2016年11月25日至2016年12月26日</t>
  </si>
  <si>
    <r>
      <t>2017年1月9日付1681400元</t>
    </r>
    <r>
      <rPr>
        <b/>
        <sz val="12"/>
        <color indexed="10"/>
        <rFont val="宋体"/>
        <charset val="134"/>
      </rPr>
      <t>+2017年1月24日付1907300元</t>
    </r>
  </si>
  <si>
    <t>2016年12月25日至2017年1月26日</t>
  </si>
  <si>
    <t>2017年1月25日至2017年2月26日</t>
  </si>
  <si>
    <t>2017年2月25日至2017年3月26日</t>
  </si>
  <si>
    <r>
      <t>2017年3月23日付50万元+</t>
    </r>
    <r>
      <rPr>
        <b/>
        <sz val="12"/>
        <color indexed="10"/>
        <rFont val="宋体"/>
        <charset val="134"/>
      </rPr>
      <t>2017年3月23日付50万元</t>
    </r>
    <r>
      <rPr>
        <b/>
        <sz val="12"/>
        <rFont val="宋体"/>
        <charset val="134"/>
      </rPr>
      <t>+2017年3月28日付788593元</t>
    </r>
  </si>
  <si>
    <t>2017年3月25日至2017年4月26日</t>
  </si>
  <si>
    <t>业务承担2万元；2017年5月付260416元</t>
  </si>
  <si>
    <t>2017年4月25日至2017年5月26日</t>
  </si>
  <si>
    <t>2017年6月14日付100万；</t>
  </si>
  <si>
    <t>2017年5月25日至2017年6月26日</t>
  </si>
  <si>
    <t>2017年7月12日付1056442.5元</t>
  </si>
  <si>
    <t>2017年6月25日至2017年7月26日</t>
  </si>
  <si>
    <t>2017年9月1日付1365000元</t>
  </si>
  <si>
    <t>2017年7月25日至2017年8月26日</t>
  </si>
  <si>
    <t>C10: 225  C15：235 C20：245 C25：255 C30：265 C35：280  C40：295 C45：315 C50：335 C55：360 C60：385 润泵280</t>
  </si>
  <si>
    <t>碧讯天河星幼儿园</t>
  </si>
  <si>
    <t>2015年12月1日至2016年1月25日</t>
  </si>
  <si>
    <t>2016年1月26日至2016年2月25日</t>
  </si>
  <si>
    <t>2016年2月26日至2016年3月25日</t>
  </si>
  <si>
    <t>2016年3月26日至2016年4月25日</t>
  </si>
  <si>
    <t>2016年7月6日付321850元</t>
  </si>
  <si>
    <t>2016年8月5日付458809.5万+2016年8月5日付584420.5万</t>
  </si>
  <si>
    <t>2016.3.26</t>
  </si>
  <si>
    <t xml:space="preserve">长泰合同编号：CT16-0423 </t>
  </si>
  <si>
    <t>2年</t>
  </si>
  <si>
    <t>深圳市南山区南山建工村13栋160室王建13590127538； 深圳市南山建工村保障性住房一期13栋1楼160室；柳仕玲电话15112284293</t>
  </si>
  <si>
    <t>C15：260 C20：270 C25：280 C30：290 C35：305  C40：320 C45：340 C50：365 C55：395 C60：405 润泵360；从2016年12月12日起上调50元 C30 340从2017年3月1日起下调30元/方；C30 310（3月1日起执行此固定单价）</t>
  </si>
  <si>
    <t>一、抗渗砼P6-P8在原单价上另加收5元/m3；P10-P12在原单价上另加收8元/m3；二、水下桩或坍落度超过180mm时在原单价上另加收15元/ m3；细石混凝土在原单价上另加收15元/ m3；三、路面砼（包括耐磨层、球场、地坪、地面、道路、跑道、车道、找平层或找坡层（除天面、屋面）在原单价上另加收15元/ m3；四、3天早强：≤C30混凝土达到70%加20元/m3；达到80%加25元/m3；达到90%加35元/m3；达到100%加45元/m3；≥C35混凝土强度值达到70%加25元/m3；达到80%加30元/m3；达到90%加40元/m3；达到100%加50元/m3。五、7天早强：≤C30混凝土强度值达到80%加10元/m3；达到90%加15元/m3；达到100%加25元/m3；≥C35混凝土强度值达到80%加15元/m3；达到90%加20元/m3；达到100%加30元/m3；六、清水或无粉煤灰（纯水泥）混凝土≤C35加25元/m3；≥C40加20元/m3；七、掺膨胀剂：普通砼掺6%加35元/m3，掺8%加40元/m3，掺10%加45元/m3，掺12%加50元/m3，八、30层以上或100米以上泵送混凝土单价在原单价上另加收18元/ m3；特殊混凝土价格双方另协商。</t>
  </si>
  <si>
    <t>合同单价以广州市造价站公布的2016年第一季度混凝土综合价格为依据，今后供货过程中，当季度广州市造价站公布的混凝土综合价格与2016年第一季度对比，如价格有浮动的，则相应调整。当市场价格遇不可抗力因素暴涨或暴跌的，则双方本着实事求是的原则，另行调整单价。2017.3.1补充协议：2016年第二、第三、第四季度调差双方各承担一半，2017年3月1起执行固定单价。</t>
  </si>
  <si>
    <t>中国十九冶集团有限公司</t>
  </si>
  <si>
    <t>按公司规定提；业务信息费35元/方；（25元/方地材费；工地回扣10元/方）</t>
  </si>
  <si>
    <t xml:space="preserve">王建 </t>
  </si>
  <si>
    <t>曾兵、张和平</t>
  </si>
  <si>
    <t>（当月为第一个月）第一个月货款于第四个月15日前付70%，余款30%于主体结构封顶3个月内平均付清。（如2016年12月30日前主体结构未封顶的，视为已封顶）。否则，供方有权停止供货并且有权拒付技术资料，并追究需方违约责任。</t>
  </si>
  <si>
    <t>2016年8月31日付57万（期票9.10）</t>
  </si>
  <si>
    <t>2016年9月30日付67万（期票10.13日）</t>
  </si>
  <si>
    <t>2016年11月11日付45万</t>
  </si>
  <si>
    <t>2017年1月6日付83万</t>
  </si>
  <si>
    <t>2016年第二季度调差未回</t>
  </si>
  <si>
    <t>2017年3月28日付496910元</t>
  </si>
  <si>
    <t>2017年6月13日付1001725.54元; 2017年6月付15万</t>
  </si>
  <si>
    <t>2016.9.1</t>
  </si>
  <si>
    <t xml:space="preserve">长泰合同编号：穗富建字2016第970号  </t>
  </si>
  <si>
    <t>广州市越秀区较场东路19号富力大厦13楼，苏科13802742496</t>
  </si>
  <si>
    <t>C10 240 C15 250 C20 260 C25 270 C30 280 C35 290 C40 305 C45 320 C50 335 C55 355 C60 380 通泵砂浆 267 从2016年8月16日起上调20元；C30 300 ；砂浆287</t>
  </si>
  <si>
    <t>抗渗P6-P8加5元；P10-P12 8元；坍落度超过180MM加5元；细石加10元；清水加10元；</t>
  </si>
  <si>
    <t>广州市天力建筑工程有限公司</t>
  </si>
  <si>
    <t>按公司规定提；5元/方；2016.12.6申请增加15元；（共20元）</t>
  </si>
  <si>
    <t>富力笔村项目</t>
  </si>
  <si>
    <t>15000方；</t>
  </si>
  <si>
    <t>杨经理</t>
  </si>
  <si>
    <t>吴万亮</t>
  </si>
  <si>
    <t>需方在收到结算手续后50天内付至该批次结算额的90%，余款在主体结构封顶90天内付清。</t>
  </si>
  <si>
    <t>2016年12月14日付250万</t>
  </si>
  <si>
    <t>2017年1月20日付190万</t>
  </si>
  <si>
    <t xml:space="preserve">2016.10.28 </t>
  </si>
  <si>
    <t>长泰合同编号：CT16-1028</t>
  </si>
  <si>
    <t>：广州市黄埔区长洲岛深井村安新路168号，邝小姐收，电话：13622240752</t>
  </si>
  <si>
    <t>C15 255 C20 265 C25 275 C30 285 C35 295 砂浆320从2016年12月12日上调40元；C30 325；从2017年3月1日起下调15元；C30 310</t>
  </si>
  <si>
    <t>深圳市旭生骏鹏建筑工程公司</t>
  </si>
  <si>
    <t>如遇市场单一原材料价格浮动超过+10元时，双方再协商调整单价。双方应在10天过渡期内协商一致调整混凝土价格：若双方协商不成，应于一个月内结算付清货款并解除本合同。</t>
  </si>
  <si>
    <t>发票类型：含税</t>
  </si>
  <si>
    <t>按公司规定提；业务信息费5元/方；增加15元/方</t>
  </si>
  <si>
    <t>中国人民解放军92390部队6769号工程</t>
  </si>
  <si>
    <t>郑扁头</t>
  </si>
  <si>
    <t>彭敬、林汉平</t>
  </si>
  <si>
    <t>邝燕芬</t>
  </si>
  <si>
    <t>2016年12月13日付28465元；+33270元</t>
  </si>
  <si>
    <t>2017年1月20日付76122.5元</t>
  </si>
  <si>
    <t>2017年2月28日付126200元</t>
  </si>
  <si>
    <t>2017年4月22日付382705元</t>
  </si>
  <si>
    <t>2017年5月31日付239720元</t>
  </si>
  <si>
    <t>2017年6月30日付87850元</t>
  </si>
  <si>
    <t xml:space="preserve"> C10 305 C15 315 C20 325 C25 335 C30 345 C35 355 C40 370 C45 385 C50 400 C55 420 C60 445 砂浆32</t>
  </si>
  <si>
    <t>抗渗P6-P8加5元；P10-P12 8元；9%膨胀加30元；7%膨胀加20元</t>
  </si>
  <si>
    <t>大学城足球训练基地综合楼</t>
  </si>
  <si>
    <t>月结付清。</t>
  </si>
  <si>
    <t>CX17-0411</t>
  </si>
  <si>
    <t>长兴合同编号：CX17-0411</t>
  </si>
  <si>
    <t>建筑规模：位于广钢新城，建筑面积为2000平方米</t>
  </si>
  <si>
    <t>C15 260 C20 270 C25 280 C30 290 C30水下 300 C35 305 C40 320 C45 340 C50 365 砂浆320</t>
  </si>
  <si>
    <t>广州地质勘察基础工程公司</t>
  </si>
  <si>
    <t>申请5元/方业务费</t>
  </si>
  <si>
    <t>广钢新城开拓二横路（西段）综合管廊基坑支护及土石方工程（标段Ⅱ）</t>
  </si>
  <si>
    <t>5000m3</t>
  </si>
  <si>
    <t>高总</t>
  </si>
  <si>
    <t>高土恒、高土川</t>
  </si>
  <si>
    <t>高土川、常泽辉</t>
  </si>
  <si>
    <t>第三个月付第一个月货款的100%，如1月份货款在3月30日前支付100%，以此类推。</t>
  </si>
  <si>
    <t>需方每批次浇捣的混凝土尾数只能有一车不足6m3，超出一车以上，按每车达不到6m3的差额部分，另向需方收取100元/车空运费。</t>
  </si>
  <si>
    <t>2017年7月15日付915140元</t>
  </si>
  <si>
    <t>长兴合同编号：GECG-C201708-07</t>
  </si>
  <si>
    <t>一栋、一层地下室、12万平方米</t>
  </si>
  <si>
    <t>C30 285</t>
  </si>
  <si>
    <t>广州国际生物岛标准产业单元四期项目(地块二)</t>
  </si>
  <si>
    <t>55527立方</t>
  </si>
  <si>
    <t>每月30日供需双方须对结算单进行核对，供需双方应在五天内核对数量并在结算单上签名和盖章确认金额和数量，第三个月25号前支付第一个月混凝土款的80%，余款20%于第四个月25号前付清，依次类推。</t>
  </si>
  <si>
    <t>建筑规模：住宅楼项目；地上33层；地下二层；</t>
  </si>
  <si>
    <t xml:space="preserve">C30 300 </t>
  </si>
  <si>
    <t>福建省九龙建设集团有限公司</t>
  </si>
  <si>
    <t>西郊村住宅项目征地（第一期）（AL0205017地块）</t>
  </si>
  <si>
    <t>每月结算一次。第一个月货款在第三个月内付至完成量95%，第二个月货款在第四个月内付至完成量95%，以此类推。结算余款预留5%,待主体结构验收合格2个月内平均付清，（如主体结构封顶6个月内未验收的，视为已验收合格）。</t>
  </si>
  <si>
    <t>中铁隧道集团有限公司中铁隧道集团有限公司</t>
  </si>
  <si>
    <t>220KV伏浔峰输变电站工程（电力隧道工程）</t>
  </si>
  <si>
    <t>签定日期：2014年3月</t>
  </si>
  <si>
    <t>合同编号：长兴合同</t>
  </si>
  <si>
    <t>2014年3月1日至工程完工之日止</t>
  </si>
  <si>
    <t>不含税单价(调差)</t>
  </si>
  <si>
    <t>C10:269  C15:276  C20:288  C25:299  C30:314  C35:330  C40:345  C45:360  C50:375  C55:398 C60:423从2016年12月12日至2017年1月27日起上调30元；C30 344</t>
  </si>
  <si>
    <t>泵送增加10元,P6-P8加5元,水下加15元,抗折加25元,瓜米石加15元,早强加15元,掺膨胀剂加30元,不加粉煤灰加15元,润管砂浆单价按批次混凝土单价.</t>
  </si>
  <si>
    <t>调差：</t>
  </si>
  <si>
    <t>从2014年第四季度开始，到2014年第一季度的结算价与今后各季度结算价作对，对比价差按双方各承担50%的原则补充调整单价：普通混凝土单价A=(B*0.73-C*0.73)*50%+C*0.73;(注：0.73数值为主合同基数）</t>
  </si>
  <si>
    <t>广东省电白建筑工程总公司</t>
  </si>
  <si>
    <t>属公司项目；按1元/m3; 业务信息费1元/方；</t>
  </si>
  <si>
    <r>
      <t>保利东</t>
    </r>
    <r>
      <rPr>
        <sz val="12"/>
        <rFont val="宋体"/>
        <charset val="134"/>
      </rPr>
      <t>漖</t>
    </r>
    <r>
      <rPr>
        <sz val="12"/>
        <rFont val="楷体_GB2312"/>
        <family val="3"/>
        <charset val="134"/>
      </rPr>
      <t>M1、S2地块项目</t>
    </r>
  </si>
  <si>
    <t>李池</t>
  </si>
  <si>
    <t>当月货款在次月20号前支付70%，剩余30%货款于主体封顶后5个月内付清（但2015年7月30日前未封顶的，视为已封顶的）如果供方砼存在质量问题且未付齐资料的，需方有权暂扣部份货款。需方逾期付款的，按所欠款银行同期货款利息计算支付违约金，逾期付款的二个月以上的，供方有权停止供砼。</t>
  </si>
  <si>
    <t>按上表中C30普通砼单价为基价,除以《广州市建设工程造价管理站》中公布的广州地区2014年一季度（以签订合同月份为准）预拌砼指导价格表的C30指导价为基数，以后每月的砼价格按《广州市建设工程造价管理站》各季度公布的信息价乘以该基数，来确定砼的各月份（各季度）结算价。</t>
  </si>
  <si>
    <t>混凝土数量误差为1.5%，</t>
  </si>
  <si>
    <t>需方浇筑部位用砼一次少于3立方，则每车加收100元运费，需方浇筑部位用砼超过9立方的，允许有一次尾数少于3立主，如超出一次尾数少于3立方的，则每超一次，每车加收100元运费。</t>
  </si>
  <si>
    <t>因乙方延迟开工，付款方式改为：当月货款次月20日前支付70%，剩余30%货款于主体结构封顶后5个月内付清（但2016年1月30日前未封顶的，视为已封顶）</t>
  </si>
  <si>
    <t>2014.3.1--3.25</t>
  </si>
  <si>
    <t>2014.3.26-4.24</t>
  </si>
  <si>
    <t>2014.4.25-5.25</t>
  </si>
  <si>
    <t>2014年5月7日付390088.65元</t>
  </si>
  <si>
    <t>2014.5.26-6.25</t>
  </si>
  <si>
    <t>2014年6月20付303900</t>
  </si>
  <si>
    <t>2014.6.26-7.25</t>
  </si>
  <si>
    <t>2017年7月30日付193600元</t>
  </si>
  <si>
    <t>2014.7.26--2014.8.25</t>
  </si>
  <si>
    <t>2014年9月24付215600</t>
  </si>
  <si>
    <t>2014.8.26--2014.9.25</t>
  </si>
  <si>
    <t>2014年1季度调差</t>
  </si>
  <si>
    <t>2014年2季度调差</t>
  </si>
  <si>
    <t>2014.9.26--2014.10.25</t>
  </si>
  <si>
    <t>2014.10.26--2014.11.25</t>
  </si>
  <si>
    <t>2014.11.26--2014.12.25</t>
  </si>
  <si>
    <t>2014.12.26--2015.1.25</t>
  </si>
  <si>
    <t>2015年1月27付317272</t>
  </si>
  <si>
    <t>2015.1.26-2015.2.8</t>
  </si>
  <si>
    <t>2015年2月9付715251</t>
  </si>
  <si>
    <t>2015.3.15-2015.3.25</t>
  </si>
  <si>
    <t>2015.3.26-2015.4.25</t>
  </si>
  <si>
    <t>2015年4月28付573629</t>
  </si>
  <si>
    <t>2015.4.26-2015.5.25</t>
  </si>
  <si>
    <t>2015年5月14付955590.5+5月27付374380元</t>
  </si>
  <si>
    <t>2015.5.26-2015.6.25</t>
  </si>
  <si>
    <t>2015.6.26-2015.7.25</t>
  </si>
  <si>
    <t>2015年7月30日1449900元；+213200元+838800元；+12200元+21000元+77350元</t>
  </si>
  <si>
    <t>2015.7.26-2015.8.25</t>
  </si>
  <si>
    <t>1号于2015年7月30号、2号于、3号楼已封顶；3号于2015年12月25日封顶。</t>
  </si>
  <si>
    <t>2015.8.26-2015.9.25</t>
  </si>
  <si>
    <t>2015年8月28日付1145090元</t>
  </si>
  <si>
    <t>2015.9.26-2015.10.25</t>
  </si>
  <si>
    <t>2015年10月15日付984100元</t>
  </si>
  <si>
    <t>2015.10.26-2015.11.25</t>
  </si>
  <si>
    <t>2015年11月13日付903800元</t>
  </si>
  <si>
    <t>2015.11.26-2015.12.25</t>
  </si>
  <si>
    <t>2016年1月8日付1339000元；（1月30日-2月入账）</t>
  </si>
  <si>
    <t>2015.12.26-2016.2.25</t>
  </si>
  <si>
    <t>2016年02月1日付257800元；（期票2.5）</t>
  </si>
  <si>
    <t>2015.2.26-2016.3.25</t>
  </si>
  <si>
    <t>2015.3.26-2016.4.25</t>
  </si>
  <si>
    <t>2016年4月28日付99800元；</t>
  </si>
  <si>
    <t>2016.4.26-2016.5.25</t>
  </si>
  <si>
    <t>2016年5月27日付20950元</t>
  </si>
  <si>
    <t>2016.5.26-2016.6.25</t>
  </si>
  <si>
    <t>2016年6月1日付80200元+475600元</t>
  </si>
  <si>
    <t>2016.6.26-2016.7.25</t>
  </si>
  <si>
    <t>2016年6月14日付150万（期票9.12）+2016年7月21日付135003.5元；+197700元；</t>
  </si>
  <si>
    <t>2016年8月8日付343900元</t>
  </si>
  <si>
    <t>2016年9月13日付433990元+13号137500元；12号付150万</t>
  </si>
  <si>
    <t>10月19付132100元+2016年10月13日付150万（期票1.23）</t>
  </si>
  <si>
    <t>2016年11月21日付1543元+7100元；+526900元</t>
  </si>
  <si>
    <t>2016年12月27日付640300元；付6100元</t>
  </si>
  <si>
    <t>2017年1月22日付317200元</t>
  </si>
  <si>
    <t>2016年3月15日付468200元+24500元+38900元；3月30日付301100元；</t>
  </si>
  <si>
    <t>2017年5月3日付140400元</t>
  </si>
  <si>
    <t>2014年第四季度调差至2017年第一季度调差</t>
  </si>
  <si>
    <t>2017年6月2日付228800元（期票7.15）+付36600元（期票7.15）+付3200元（期票7.15）+付10896元（期票7.15）+付341900元（期票7.15）</t>
  </si>
  <si>
    <t>C15：325 C20：335 C25：345 C30：355 C35：370 C40：385 C45：405 C50：425 C55：450 C60：475   C30自密实单价：420</t>
  </si>
  <si>
    <t>早强混凝土在原单价上加10元/m³；防水混凝土P6-P8在原单价上加5元/m³；防水混泥土P10-P12在原单价上加10元/m³；水下混凝土在原单价上加15元/m³；M20砂浆加300元/方；</t>
  </si>
  <si>
    <t>价格调整办法：</t>
  </si>
  <si>
    <t>在签订合同时，买卖双方再合同上确定的货物明细价格即为合同价格，从2014年第一季度起，每季度调整一次结算价格。第n季度（n≥2）的结算价格=合同价格*（1+调整系数F)  调整系数F=（Pn-Po）/Po*100% F 指市场商品砼价格波动的调整系数，Po指2013年第三季度《广州地区建设工程常用材料综合价格》预拌商品混凝土综合价，Pn指第n季度《广州地区建设工程常用材料综合价格》预拌商品混凝土综合价下浮12%后的综合价</t>
  </si>
  <si>
    <t>中铁十一局集团有限公司广州轨道交通七号线大洲车辆段施工1标项目经理部</t>
  </si>
  <si>
    <t>按公司规定提（业务信息费5元/方）</t>
  </si>
  <si>
    <t>广州市轨道交通七号线一标{大洲车辆段±0.00以下工程}</t>
  </si>
  <si>
    <t>每月25日前，卖方提交相关完整单据与买方结算并按双方确认的金额开具正规发票，买方从在收齐单据次月1日计起，30天内支付卖方货款的95%，余款作为质保金，所供商品混凝土如无质量问题，在保质期满三个月后无息支付，卖方原则上每月支付一次材料款，特殊情况除外。</t>
  </si>
  <si>
    <t>每批次浇捣的混凝土尾数只能有一车不足9m3，超出一车以上，按每车达不到9m3的差额部份，另向需方收取30元/M3空运费。混凝土掺膨胀剂</t>
  </si>
  <si>
    <t>付款承诺：2016年8月10日付150万元；9月20日前付50万元；10月20日付50万元；11月20日662908.5元；</t>
  </si>
  <si>
    <t>2014.3.22--2014.4.18</t>
  </si>
  <si>
    <t>银行承兑汇票1117076元，到期日：2015年1月10日</t>
  </si>
  <si>
    <t>2014.4.19--2014.5.18</t>
  </si>
  <si>
    <t>2014.5.19--2014.6.16</t>
  </si>
  <si>
    <t>2014.6.17--2014.7.18</t>
  </si>
  <si>
    <t>2014.7.17--2014.8.18</t>
  </si>
  <si>
    <t>2014.8.19-2014.9.30</t>
  </si>
  <si>
    <t>2014年9月4付622786</t>
  </si>
  <si>
    <t>2014.10.1-2014.10.31</t>
  </si>
  <si>
    <t>2014.11.1--2014.11.19</t>
  </si>
  <si>
    <t>2014.11.20--2014.12.18</t>
  </si>
  <si>
    <t>2014年12月11付50370</t>
  </si>
  <si>
    <t>2014.12.19--2015.1.18</t>
  </si>
  <si>
    <t>2015年1月22付30万元</t>
  </si>
  <si>
    <t>2015.1.20-2015.2.6</t>
  </si>
  <si>
    <t>2015年2月11日付26万元</t>
  </si>
  <si>
    <t>2015.3.19-4.18</t>
  </si>
  <si>
    <t>2015年4月30日付20万</t>
  </si>
  <si>
    <t>2015.4.19-5.18</t>
  </si>
  <si>
    <t>2015年5月29日付30万元</t>
  </si>
  <si>
    <t>2015.5.19-6.18</t>
  </si>
  <si>
    <t>2015.6.19-2015.7.18</t>
  </si>
  <si>
    <t>2015年7月3付50万元；</t>
  </si>
  <si>
    <t>2015.7.19-2015.8.18</t>
  </si>
  <si>
    <t>2015.8.19-2015.9.18</t>
  </si>
  <si>
    <t>2015.9.19-2015.10.18</t>
  </si>
  <si>
    <t>2015.10.19-2015.11.18</t>
  </si>
  <si>
    <t>2015.11.19-2015.12.18</t>
  </si>
  <si>
    <t>2015.12.19-2016.1.18</t>
  </si>
  <si>
    <t>2016.2.19-2016.3.20</t>
  </si>
  <si>
    <t>2016.3.19-2016.4.20</t>
  </si>
  <si>
    <t>2016.4.19-2016.5.20</t>
  </si>
  <si>
    <t>2016.5.19-2016.6.18</t>
  </si>
  <si>
    <t>2016.6.19-2016.7.19</t>
  </si>
  <si>
    <t>2016.7.19-2016.8.19</t>
  </si>
  <si>
    <t>2016.8.19-2016.9.19</t>
  </si>
  <si>
    <t>2016年9月9日付50万</t>
  </si>
  <si>
    <t>2016.9.19-2016.10.20</t>
  </si>
  <si>
    <t>2016年12月29日付30万</t>
  </si>
  <si>
    <t>2017年1月22日付60万（承兑7.19）</t>
  </si>
  <si>
    <t>在签订合同时，买卖双方再合同上确定的货物明细价格即为合同价格，从2014年第一季度起，每季度调整一次结算价格。第n季度（n≥2）的结算价格=合同价格*（1+调整系数F)  调整系数F=（Pn-Po）/Po*100% F 指市场商品砼价格波动的调整系数，Po指2014年第三季度《广州地区建设工程常用材料综合价格》预拌商品混凝土综合价，Pn指第n季度《广州地区建设工程常用材料综合价格》预拌商品混凝土综合价下浮12%后的综合价</t>
  </si>
  <si>
    <t>中铁十一局集团有限公司广州轨道交通七号线大洲车辆段施工Ⅱ标项目经理部</t>
  </si>
  <si>
    <t>广州市轨道交通七号线一期工程大洲车辆段及综合基地【施工Ⅱ标】</t>
  </si>
  <si>
    <t>每批次浇捣的混凝土尾数只能有一车不足9m3，超出一车以上，按每车达不到9m3的差额部份，另向需方收取30元/M3空运费。</t>
  </si>
  <si>
    <t>2015.2.19-3.18</t>
  </si>
  <si>
    <t>2015.6.19-7.18</t>
  </si>
  <si>
    <t>2015年7月28付85万</t>
  </si>
  <si>
    <t>2015.7.19-8.18</t>
  </si>
  <si>
    <t>2015年8月17付330136万</t>
  </si>
  <si>
    <t>2015.8.19-9.18</t>
  </si>
  <si>
    <t>2015年9月12日付4772895元</t>
  </si>
  <si>
    <t>2015.9.19-10.18</t>
  </si>
  <si>
    <t>2015年10月27日付50万</t>
  </si>
  <si>
    <t>2015.10.19-11.18</t>
  </si>
  <si>
    <t>2015年12月1日付100万元+12月10日付300万</t>
  </si>
  <si>
    <t>2015.11.19-12.19</t>
  </si>
  <si>
    <t>2016年01月25日付100万</t>
  </si>
  <si>
    <t>2016年2月付承兑汇票7月：3083820元；</t>
  </si>
  <si>
    <t>2016.1.19-2016.2.18</t>
  </si>
  <si>
    <t>2016.2.19-2016.3.18</t>
  </si>
  <si>
    <t>2016.3.19-2016.4.18</t>
  </si>
  <si>
    <t>2016.4.19-2016.5.18</t>
  </si>
  <si>
    <t>2016年7月13日付20万</t>
  </si>
  <si>
    <t>2016年8月16日付100万</t>
  </si>
  <si>
    <t>2017年8月3日付628637.5元</t>
  </si>
  <si>
    <t>签定日期：2012年10月29日</t>
  </si>
  <si>
    <t>合同编号：CT12-1022</t>
  </si>
  <si>
    <t>电话： 0754-83820689 传真：0754-83815853</t>
  </si>
  <si>
    <r>
      <t>C15:2</t>
    </r>
    <r>
      <rPr>
        <sz val="12"/>
        <rFont val="宋体"/>
        <charset val="134"/>
      </rPr>
      <t>35</t>
    </r>
    <r>
      <rPr>
        <sz val="12"/>
        <rFont val="宋体"/>
        <charset val="134"/>
      </rPr>
      <t xml:space="preserve">  C20:245  C25:255  C30:265  C35:275  C40:285  C45:300  C50:315  C55:335   C60:355，2012年10月10日上调10元，2013年3月1日下调5元，C30：270元</t>
    </r>
  </si>
  <si>
    <t>C30等级以下P6-P8在原单价上另加收5元/m3；C30等级以上混凝P6-P8不加收；P10-P12在原单价上另加收10元/m3；细石砼加15元/m3；水下桩另加收10元/m3；</t>
  </si>
  <si>
    <t>汕头市潮阳第一建安总公司</t>
  </si>
  <si>
    <t>汕头市潮阳第一建安总公司，出具资料名称：广州市第二建筑工程有限公司</t>
  </si>
  <si>
    <t>提成按1元/m3</t>
  </si>
  <si>
    <t>广州超级计算中心配套用房项目基坑工程</t>
  </si>
  <si>
    <t>李汉钦</t>
  </si>
  <si>
    <t>林云奴、陈灿素、李国坤</t>
  </si>
  <si>
    <t>第一个月（当月为第一个月）货款于第三个月15日前付70%，以此类推支付，余款30%于主体工程封顶三个月内平均分三次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</si>
  <si>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协议</t>
  </si>
  <si>
    <t>对协方修改如下：工程混凝土货款金额暂定为2000万元，具体按实际供货结算后支付。</t>
  </si>
  <si>
    <t>2012年9月14日至10月31日</t>
  </si>
  <si>
    <t>2013年1月9日付100万元</t>
  </si>
  <si>
    <t>2013年3月8日付100万元</t>
  </si>
  <si>
    <t>2013年3月1日至3月20日</t>
  </si>
  <si>
    <t>2013年4月2日付150万元</t>
  </si>
  <si>
    <t>2013年5月9日付150万元</t>
  </si>
  <si>
    <t>签定日期：GT12-1023</t>
  </si>
  <si>
    <r>
      <t>C15:</t>
    </r>
    <r>
      <rPr>
        <sz val="12"/>
        <rFont val="宋体"/>
        <charset val="134"/>
      </rPr>
      <t>250</t>
    </r>
    <r>
      <rPr>
        <sz val="12"/>
        <rFont val="宋体"/>
        <charset val="134"/>
      </rPr>
      <t xml:space="preserve">  C20:</t>
    </r>
    <r>
      <rPr>
        <sz val="12"/>
        <rFont val="宋体"/>
        <charset val="134"/>
      </rPr>
      <t>260  C25:270  C30:280  C35:290  C40:300  C45:315  C50:330  C55:350 C60:370，2013年5月15日下调5元。C30：275元； 2014年11月1日开始下调15元 C30：260</t>
    </r>
  </si>
  <si>
    <t>C30等级以下混凝土P6-P8在原单价上另加收5元/m3；C30等级以上混凝P6-P8不加收；P10-P12在原单价上另加收10元/m3；细石砼在原单价上另加收15元/m3；水下桩混凝土在原单价上另加收10元/m3；特殊混凝土价格双方另协商。</t>
  </si>
  <si>
    <t>广州市第二建筑工程有限公司</t>
  </si>
  <si>
    <t>含税价格政策</t>
  </si>
  <si>
    <t>林三奴</t>
  </si>
  <si>
    <t>陈啟健</t>
  </si>
  <si>
    <t>第一个月（当月为第一个月）货款于第三个月15日前付70%，以此类推支付，余款30%于主体工程封顶三个月内平均分三次付清，否则，供方有权停止供货并且有权拒付技术资料，并追究需方违约责任。用支票支付货款的，抬头必须填写供方单位名称。此工地不论什么原因导致停工，需方必须在停工之日起三个月内将余款全部付清。逾期的按每日万分之五收取违约金。</t>
  </si>
  <si>
    <t>供方在收款时须向需方提供开票单位为供方的完税、有效、合规的发票，否则需方有权不予付款。需方以支票与供方进行结算，该支票不得背书转让。</t>
  </si>
  <si>
    <t>2013年3月21日至3月31日</t>
  </si>
  <si>
    <t>2013年5月29日付250万元</t>
  </si>
  <si>
    <t>2013年6月20日付300万元</t>
  </si>
  <si>
    <t>2013年7月16日付300万元</t>
  </si>
  <si>
    <t>2013年8月28日付250万元</t>
  </si>
  <si>
    <t>2013-10-8付400万元</t>
  </si>
  <si>
    <t>2013年11月5日付承兑150万元（2014年4月30日）</t>
  </si>
  <si>
    <t>2013年11月至12月</t>
  </si>
  <si>
    <t>2013年11月14日付100万元</t>
  </si>
  <si>
    <t>2013年12月11日付50万元（期票12月20日）</t>
  </si>
  <si>
    <r>
      <t>2014</t>
    </r>
    <r>
      <rPr>
        <sz val="12"/>
        <rFont val="黑体"/>
        <family val="3"/>
        <charset val="134"/>
      </rPr>
      <t>年5月9日付30万</t>
    </r>
  </si>
  <si>
    <t>2014年11月20付167880.5</t>
  </si>
  <si>
    <t>2014年12月1至2015年1月18</t>
  </si>
  <si>
    <t>价格</t>
  </si>
  <si>
    <t>C30：305</t>
  </si>
  <si>
    <t>广州市第二建筑有限公司</t>
  </si>
  <si>
    <t>2016.3.3日写申请3元/方；</t>
  </si>
  <si>
    <t>龙门苑居住小区</t>
  </si>
  <si>
    <t>2014年9月1至2015年1月18</t>
  </si>
  <si>
    <t>2015年1月30付150672.5  2015年2月6付57837.5</t>
  </si>
  <si>
    <t>2015-3-16至2015-4-1</t>
  </si>
  <si>
    <t>2016年01月29日付14567.25元；</t>
  </si>
  <si>
    <r>
      <t xml:space="preserve">签定日期：2010年6月20日            </t>
    </r>
    <r>
      <rPr>
        <b/>
        <sz val="12"/>
        <color indexed="10"/>
        <rFont val="楷体_GB2312"/>
        <family val="3"/>
        <charset val="134"/>
      </rPr>
      <t>2011年5月簽訂正式合同</t>
    </r>
  </si>
  <si>
    <t>合同编号：CX10-0518（长兴合同）</t>
  </si>
  <si>
    <t>C15:205  C20:215  C25:225  C30:235  C35:245  C40:260  C45:275  C50:295  2010年12月20日上调30元,2011年3月1日下调5元，2011年5月1日上调10元，2011年9月12日上调5元，2012年10月10日上调10元，2013年10月1日上调40元，C30:325元</t>
  </si>
  <si>
    <t>P6-P8加收5元/m3；P10-P12加收10元/m3；水下桩加收10元/ m3；细石加收10元/ m3；浇筑部位为路面、地面、耐磨层混凝土在原单价上另加收10元/ m3； 35层以上泵送混凝土单价在原单价上另加收10元/ m3；P掺纤维加工费2元。</t>
  </si>
  <si>
    <r>
      <t>深圳建宏达建设实业有限公司</t>
    </r>
    <r>
      <rPr>
        <sz val="10"/>
        <color indexed="12"/>
        <rFont val="宋体"/>
        <charset val="134"/>
      </rPr>
      <t>(盖项目章)</t>
    </r>
  </si>
  <si>
    <t>深圳建宏达建设实业有限公司项目经理部广东兴业国际仓储项目临时仓库工程</t>
  </si>
  <si>
    <t>按1元/m3</t>
  </si>
  <si>
    <r>
      <t>广东兴业国际仓储项目临时仓库工程,</t>
    </r>
    <r>
      <rPr>
        <sz val="10"/>
        <color indexed="12"/>
        <rFont val="楷体_GB2312"/>
        <family val="3"/>
        <charset val="134"/>
      </rPr>
      <t>增加项目</t>
    </r>
    <r>
      <rPr>
        <sz val="10"/>
        <rFont val="楷体_GB2312"/>
        <family val="3"/>
        <charset val="134"/>
      </rPr>
      <t>:广东兴业国际仓储员工集体宿舍楼(自编D栋)工程</t>
    </r>
  </si>
  <si>
    <t>7000m3</t>
  </si>
  <si>
    <t>王镇金</t>
  </si>
  <si>
    <t>13925043815</t>
  </si>
  <si>
    <t>王灶森、王少鹏</t>
  </si>
  <si>
    <t>王镇金,王少鹏,周浩</t>
  </si>
  <si>
    <t>当月货款次月15日内付清</t>
  </si>
  <si>
    <t>2010年5月至6月</t>
  </si>
  <si>
    <t>2011年5月23日付100万</t>
  </si>
  <si>
    <t>2011年6月24日付150万</t>
  </si>
  <si>
    <t>2011年7月27日付150万</t>
  </si>
  <si>
    <t>2011年9月16日付100万</t>
  </si>
  <si>
    <t>2012年11月30日付100万</t>
  </si>
  <si>
    <t>2013年8月8准备发律师函，未发，工地答复，每月20日前支付50万元，依次付清</t>
  </si>
  <si>
    <t>2013年11月6日付50万元（承兑汇票2014年5月4日）</t>
  </si>
  <si>
    <t>2013年12月12日付50万元</t>
  </si>
  <si>
    <t>2014年1月23日付50万元</t>
  </si>
  <si>
    <t xml:space="preserve">2014年7月8收到50万元（期票为2015年1月2 </t>
  </si>
  <si>
    <t>2016年8月5日付50万</t>
  </si>
  <si>
    <t>2017年1月22日付50万（期票7.13）</t>
  </si>
  <si>
    <t>2012年11月已另签订变更合同，长泰与泰兴</t>
  </si>
  <si>
    <r>
      <t>暂定结算单价:C30:203元(实际单价按信息价下浮30%结算),2008年12月1日始单价：C15：210  C20：220  C25：230  C30：240   C35：255   C40：270   C45：285，2009年2月1日始下调10元，2009年5月1日下调10元，09年9月24日上调10元，09年10月23日上调10元，09年11月12日上调10元，2010年1月1日下浮5元，2010年3月1日下调10元，2010年4月15日上调5元,2010年12月20日上调20元,2011年3月1日下调10元，2011年5月1日上调10元，2011年9月12日上调5元,2011年11月1日下调5元，2011年12月1日下调5元，2012年4月15日上调5元/m3，2012年7月15日下调5元，2012年8月1日下调5元，2012年10月10日上调5元，2013年8月1日上调10元，2013年10月12日上调60元，</t>
    </r>
    <r>
      <rPr>
        <b/>
        <sz val="10"/>
        <color indexed="10"/>
        <rFont val="宋体"/>
        <charset val="134"/>
      </rPr>
      <t>C30：315元,属人和站供应的加5元/m3,2013年10月12日开始：M5:370，M7.5:385,M10:400,M20:415,M25:435,M30:455   2014年5月15上调10元</t>
    </r>
  </si>
  <si>
    <t>广东合祥建设工程有限公司</t>
  </si>
  <si>
    <t>2008年12月1日始：P6-P8加5元，P10-P12加10元，水下桩加10元，2008年9月份始细石砼加10元,膨胀剂掺量8%，纤维掺量0.7Kg/m3加45元.≤C30,三天达70%加20元,80%加25元,90%加35元,100%加40元,≥C35三天达70%加25元,80%加30元,90%加40元,100%加45元,≤C30,7天达80%加10元,90%加15元,100%加20元,≥C35,7天达80%加15元,90%加20元,100%加30元.M5:310元，M7.5:325元，M10:340元，M20:355元，M25:375元，M30:395元，清水或无粉煤灰(纯水泥)混凝土≤C35加25,≥C40加20,掺膨胀剂6%加35,掺8%加40,掺10%加45,掺12%加50元</t>
  </si>
  <si>
    <t>属需方施工的广州供电土建项目</t>
  </si>
  <si>
    <t>未定</t>
  </si>
  <si>
    <t>合同没写</t>
  </si>
  <si>
    <t>08年7月1日增加陈少忠</t>
  </si>
  <si>
    <r>
      <t>当月货款下月结清,从2006年11月1日零时起每月单价按《广州市地区建设工程材料信息指导价格》当季度价格下浮30%作为执行价格进行结算.每月货款暂按合同单价支付,待季度《广州地区建设工程材料信息指导价格》发行再按当季度调整结算价格.</t>
    </r>
    <r>
      <rPr>
        <sz val="12"/>
        <color indexed="10"/>
        <rFont val="楷体_GB2312"/>
        <family val="3"/>
        <charset val="134"/>
      </rPr>
      <t>2008年12月1日始改变结算单价。如市场原材料上下浮动超过+5%时双方再协商单价</t>
    </r>
  </si>
  <si>
    <t>10月13日付45457元</t>
  </si>
  <si>
    <t>2008年第三季度价差</t>
  </si>
  <si>
    <t>11月10日付105625.5元,         11月28日付180199.25元</t>
  </si>
  <si>
    <t>12月25日付129824元</t>
  </si>
  <si>
    <t>09年1月16日付110865元</t>
  </si>
  <si>
    <t>2008年第四季度价差</t>
  </si>
  <si>
    <t>2月20日付112675元</t>
  </si>
  <si>
    <t>4月24日付142660元</t>
  </si>
  <si>
    <t>6月4日付189855元</t>
  </si>
  <si>
    <t>7月3日付220565元，7月27日付227190元</t>
  </si>
  <si>
    <t>9月2日付282540</t>
  </si>
  <si>
    <t>10月11日付327930元</t>
  </si>
  <si>
    <t>11月16日付583825元</t>
  </si>
  <si>
    <t>12月24日付1506020元</t>
  </si>
  <si>
    <t>2010年1月30日付1064890元（2月1日入账）</t>
  </si>
  <si>
    <t>2010年2月8日付2198270元</t>
  </si>
  <si>
    <t>2010年4月9日付548940元</t>
  </si>
  <si>
    <t>2010年5月12日付869232.5元</t>
  </si>
  <si>
    <t>2010年6月6日付1498032.5元</t>
  </si>
  <si>
    <t>2010年7月27日付2590547.59元(包括税金)</t>
  </si>
  <si>
    <t>5月、6月税金</t>
  </si>
  <si>
    <t>2010.4.25付44570元</t>
  </si>
  <si>
    <t>2010年9月8日付762617.5元</t>
  </si>
  <si>
    <t>2010年10月11日付459515元</t>
  </si>
  <si>
    <t>2010年10月25日付212790元</t>
  </si>
  <si>
    <t>2011年1月20日付146950元</t>
  </si>
  <si>
    <t>2011年4月23日付132457.5元</t>
  </si>
  <si>
    <t>2011年6月1日付134235元</t>
  </si>
  <si>
    <t>2011年7月18日付210712.50元</t>
  </si>
  <si>
    <t>2011年8月22日付530982.50元</t>
  </si>
  <si>
    <t>2011年10月10日付202527.50元</t>
  </si>
  <si>
    <t>2011年11月7日付207607.50</t>
  </si>
  <si>
    <t>2011年12月9日付181815元</t>
  </si>
  <si>
    <t>2012年1月11日付1091520元</t>
  </si>
  <si>
    <t>2012年4月13日付318390元</t>
  </si>
  <si>
    <t>2012年5月18日付260125元</t>
  </si>
  <si>
    <t>2012年6月15日付276600元</t>
  </si>
  <si>
    <t>2012年7月19日付531435元</t>
  </si>
  <si>
    <t>2012年8月14日付455860元</t>
  </si>
  <si>
    <t>2012年8月27日付13825元</t>
  </si>
  <si>
    <t>2012年9月17日付317093元</t>
  </si>
  <si>
    <t>2012年10月12日付368737.5元</t>
  </si>
  <si>
    <t>2012年11月6日付13625元，11月9日付348635元</t>
  </si>
  <si>
    <t>2012年12月17日付377990元</t>
  </si>
  <si>
    <t>2013年1月9日付36102.50元，1月11日付171515元，1月25日付19790元，付74380元</t>
  </si>
  <si>
    <t>2013年4月22日付285920元</t>
  </si>
  <si>
    <t>2013年5月28日付70565元</t>
  </si>
  <si>
    <t>2013年6月5日付31787.50元</t>
  </si>
  <si>
    <t>2013年7月2日付27562.50元</t>
  </si>
  <si>
    <t>2013年7月6日付30302.5元，23日付13500元</t>
  </si>
  <si>
    <t>2013年10月28日付11662.5元</t>
  </si>
  <si>
    <t>2013年1月4日付3000元</t>
  </si>
  <si>
    <t>2014年1.14付3000</t>
  </si>
  <si>
    <t>2014年5月16日付32660元；121370元</t>
  </si>
  <si>
    <t>2014年5月16日付31372.5元</t>
  </si>
  <si>
    <t>2014年9月22付111716</t>
  </si>
  <si>
    <t>2015年2月5付5240</t>
  </si>
  <si>
    <t>2016年9月20日付65962元</t>
  </si>
  <si>
    <t>2015年2月6日付859627.50元</t>
  </si>
  <si>
    <t>2015年8月12日付67880.5元+432119.5元</t>
  </si>
  <si>
    <t>2016年1月29日付60万（一部分交14567.5元；实际入账585432.5元）</t>
  </si>
  <si>
    <t>C15:250  C20:260  C25:270  C30:280  C35:290  C40:300  C45:315  C50:330  C55:350 C60:370，2013年5月15日下调5元。C30：275元;2014年11月1日开始下调15元 C30：260；从2016年4月1日下调20元 C30 ；</t>
  </si>
  <si>
    <r>
      <t>C30</t>
    </r>
    <r>
      <rPr>
        <sz val="10.5"/>
        <rFont val="宋体"/>
        <charset val="134"/>
      </rPr>
      <t>等级以下混凝土</t>
    </r>
    <r>
      <rPr>
        <sz val="10.5"/>
        <rFont val="Times New Roman"/>
        <family val="1"/>
      </rPr>
      <t>P6-P8在原单价上另加收5元/m3；C30等级以上混凝P6-P8不加收；P10-P12在原单价上另加收10元/m3；细石砼在原单价上另加收15元/m3；水下桩混凝土在原单价上另加收10元/m3；特殊混凝土价格双方另协商。早强在原等级上加10元/方。</t>
    </r>
  </si>
  <si>
    <t>2015年2月6日付482535元</t>
  </si>
  <si>
    <t>2016.4.18</t>
  </si>
  <si>
    <t>长泰合同编号：ZHCL20150009</t>
  </si>
  <si>
    <t>建筑规模：该项目位于中山大学南校区，总建筑面积33018.6平方米，其中地上一层，地下二层，最大基坑深度为12.85米。</t>
  </si>
  <si>
    <t>C15 225 C20 235 C25 245 C30 255 C35 270 C40 285 C45 305 C50 325 C55 350 C60 375 润泵砂浆按同批次混凝土从2016年12月15日上调45元；C30 300 ；从2017年4月15日起下调10元；C30 290</t>
  </si>
  <si>
    <t>一、抗渗砼P6-P8在原单价上另加收5元/m3；P10-P12在原单价上另加收10元/m3；路面混凝土（包括地面、球场、停车场，耐磨层等）加10元/m3；二、水下桩或坍落度超过180mm时在原单价上另加收15元/ m3；细石混凝土在原单价上另加收15元/ m3；三、普通七天早强砼按同等级普通砼增加10元/ m³；普通三天早强砼按同等级普通砼增加25元/ m³；四、清水或无粉煤灰（纯水泥）混凝土≤C35加25元/m3；≥C40加20元/m3；五、微膨胀砼按同等级普通砼增加35元/m³；六、30层以上或100米以上泵送混凝土单价在原单价上另加收18元/ m3；特殊混凝土价格双方另协商。</t>
  </si>
  <si>
    <t>12元/方；</t>
  </si>
  <si>
    <t xml:space="preserve">中山大学西大球场地下停车场项目 </t>
  </si>
  <si>
    <t>彭总</t>
  </si>
  <si>
    <t>结算单签收人，请款函、收款收据</t>
  </si>
  <si>
    <t>杨建文（13751889058）、杨涛德（135359020707）</t>
  </si>
  <si>
    <t xml:space="preserve"> 结算方式和付款期限：供需双方每月结算一次，每月 5 号前供方向需方发出上月供砼凭证和结算单，需方在每月 30 日前支付清上月混凝土货款，依次类推。逾期支付的，供方有权停止供砼。</t>
  </si>
  <si>
    <t>每一批次只能有一车不足5方（含5方）的尾数，超出的车次加收100元/车，且单独一批次少于5方（含5方）的加收100元/车。</t>
  </si>
  <si>
    <t>2015年12月至2016年3月</t>
  </si>
  <si>
    <t>2016年4月27日付425560元；</t>
  </si>
  <si>
    <t>2016年5月20日付201922.5元；</t>
  </si>
  <si>
    <t>2016年7月5日付29675元；+7月29日付118270元</t>
  </si>
  <si>
    <t>2016年8月税金</t>
  </si>
  <si>
    <t>2016年9月18日付470142元（含税金）</t>
  </si>
  <si>
    <t>2016年10月份税金</t>
  </si>
  <si>
    <t>2016年11月16日付241433.25元（含税金）</t>
  </si>
  <si>
    <r>
      <t>2016年12月14日付40万+</t>
    </r>
    <r>
      <rPr>
        <b/>
        <sz val="12"/>
        <color indexed="10"/>
        <rFont val="宋体"/>
        <charset val="134"/>
      </rPr>
      <t>12月28日付734895元</t>
    </r>
  </si>
  <si>
    <t>2017年1月13日付87300元+150万</t>
  </si>
  <si>
    <t>2017年2月税金</t>
  </si>
  <si>
    <t>2017年4月25日付1619857.8元</t>
  </si>
  <si>
    <t>2017年5月23日付941130元；</t>
  </si>
  <si>
    <t>2017年6月28日付919745元</t>
  </si>
  <si>
    <t>2017年5月税金</t>
  </si>
  <si>
    <t>2017年8月18日付29295元（路面）+2017年8月24日付80万+5万；+15万（税款）</t>
  </si>
  <si>
    <t>长泰合同编号：CT16-0418</t>
  </si>
  <si>
    <t>建筑规模：地下三层，地上18层；共一栋</t>
  </si>
  <si>
    <t>±0.00单价：C15 222 C20 232 C25 242 C30 252 C35 262 C40 277 C45 297 C50 317 C55 342 C60 372</t>
  </si>
  <si>
    <t>C15 232 C20 242 C25 252 C30 262 C35 272 C40 287 C45 307 C50 327 C55 352 C60 382 砂浆按同批次混凝土单价从2016年7月15日付上调15元 C30 277；2016年12月10日起上调30元/方；C30 307</t>
  </si>
  <si>
    <t>备注：
一、抗渗砼P6-P8在原单价上另加收5元/m3；P10-P12在原单价上另加收10元/m3；
二、水下桩或坍落度超过180mm时在原单价上另加收15元/ m3；细石混凝土在原单价上另加收10元/ m3；
三、路面砼（包括耐磨层、球场、地坪、地面、道路、跑道、车道、找平层或找坡层（除天面、屋面）在原单价上另加收10元/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
八、30层以上或100米以上泵送混凝土单价在原单价上另加收18元/ m3；特殊混凝土价格双方另协商。</t>
  </si>
  <si>
    <t>含税；不含税下调12元</t>
  </si>
  <si>
    <t>商业办公楼工程（旧厂改造项目）1幢</t>
  </si>
  <si>
    <t>谭总</t>
  </si>
  <si>
    <t>李大振、卢晓杰</t>
  </si>
  <si>
    <t>1.基坑付款方式：当月货款次月30日内供方提供增值税专用发票后，需方付80%货款，余下20%货款于基坑支护桩完成之日起三个月内供方提供增值税专用发票后，需方付清。
2、底板至±0.00部位付款方式：从±0.00（底板）部位开始，（当月指第一个月）当月的货款于第七个月内30日内供方提供增值税专用发票后，需方付清。
3、±0.00（以上部位）部位，当月货款于次月30日前供方提供增值税专用发票后，需方付80%，余下20%的货款于主体封顶三个月内供方提供增值税专用发票后，需方全部付清。</t>
  </si>
  <si>
    <t>2015年11月1日起，由于基坑支护桩部位的混凝土，因需方逾期付款，现按每月0.01元计算违约金给供方。</t>
  </si>
  <si>
    <t>205年11月1日至2016年5月31日</t>
  </si>
  <si>
    <t>2017年1月23日付100万（期票4.10）</t>
  </si>
  <si>
    <t>逾期付款的违约金共计：104334元；</t>
  </si>
  <si>
    <t>CX17-01074</t>
  </si>
  <si>
    <t>长兴合同编号：CX17-0107</t>
  </si>
  <si>
    <t>供应日期：2017.1.18</t>
  </si>
  <si>
    <t>工程地址：越秀区居善里1号-11号</t>
  </si>
  <si>
    <t>建筑面积为3817.8平方米；地上五层；地下2层</t>
  </si>
  <si>
    <t>C15 287 C20 297 C25 307 C30 317 C35 332 C40 347 C45 367 C50 392 C55 422 C60 457 砂浆 420</t>
  </si>
  <si>
    <t>广东天伟建设有限公司</t>
  </si>
  <si>
    <t>含税加4%</t>
  </si>
  <si>
    <t>按1.5元/方；（公司项目）业务信息费7元</t>
  </si>
  <si>
    <t>广州市无着庵佛教文化综合楼工程</t>
  </si>
  <si>
    <t>罗小姐</t>
  </si>
  <si>
    <t>叶宋、杨志诚、易国东</t>
  </si>
  <si>
    <t>杨志诚、易国东</t>
  </si>
  <si>
    <t>监理单位:广州市兴华建设监理有限公司</t>
  </si>
  <si>
    <t>2017年6月12日付206638.5元（期票6.17）</t>
  </si>
  <si>
    <t>长兴合同编号：CT17-0109/房建合（分）字（2017）46号</t>
  </si>
  <si>
    <t>两层地下室、一幢17层；1幢10层；一幢5层；</t>
  </si>
  <si>
    <t>C15 270.58 C20 280.54 C25 288.84 C30 296.31 C35 307.10 C40 319.55 C45 331.17 C50 342.79 C30抗渗P6 301.31 C35抗渗P6 312.10 C40抗渗P6 324.55 C30水下 311.31</t>
  </si>
  <si>
    <t>1、抗渗P6混凝土增加5元／m3，、抗渗P8~ P10混凝土增加10元／m3。2、膨胀混凝土增加40元／m3。3、七天早强砼加10元／m3，三天早强砼加20元／m3，清水砼加25元／m3，水下砼加15元/m3，瓜米石砼加15元/m3,路面砼加10元／m3，清水砼或纯水泥砼加20元／m3。需方可根据工程的实际情况，可向供方支付材料预付款，每笔预付款金额可根据双方按实际协商支付，若先付款再发货的形式，可在约定单价基础上再优惠10元/立方。</t>
  </si>
  <si>
    <t>因需方实际工程需要，供方提供给需方的混凝土单据（包括混凝土送货单、混凝土结算单、混凝土技术资料等往来文件），工程名称应填写为“技术业务用房(代号220)。”</t>
  </si>
  <si>
    <r>
      <t>合同第二条款表中单价为每月暂定结算单价，上述单价，每月实际结算单价以当季度广州市造价站公布的《广州地区建设工程常用材料综合价格预拌混凝土税前综合价格》的“普通泵送混凝土单价”下浮18%结算（下浮后单价包含税金），每季度调整一次价差，并于当月付清或抵扣。供方应配合需方开具请款使用的增值税专用发票及相关建设单位需要提供的资料。补充协议修改调差方式：....的“普通泵送混凝土单价</t>
    </r>
    <r>
      <rPr>
        <sz val="10"/>
        <color indexed="10"/>
        <rFont val="宋体"/>
        <charset val="134"/>
      </rPr>
      <t>或普通混凝土</t>
    </r>
    <r>
      <rPr>
        <sz val="10"/>
        <rFont val="宋体"/>
        <charset val="134"/>
      </rPr>
      <t>”下浮18%结算（下浮后单价包含税金）</t>
    </r>
  </si>
  <si>
    <t xml:space="preserve">220建安工程施工总承包 </t>
  </si>
  <si>
    <t>45920方；金额13902366.10元；</t>
  </si>
  <si>
    <t>按公司规定；业务信息费5元</t>
  </si>
  <si>
    <t>当月的货款在次月20个工作日内付当月货款的95%；补充协议：总余款待本工程结构验收、供方提供完备竣工验收资料后付清，但期限不得超过主体封顶后六个月内（完备竣工验收资料也须六个月内提交），则需方最迟在2018年6月30日前付清。</t>
  </si>
  <si>
    <t>每天（每批次）供应的同部位同强度混凝土超过6m3只允许有一车不足6m3，如超出此车数，需方应按每超过一车加收100元的标准向供方补偿运费。</t>
  </si>
  <si>
    <t xml:space="preserve"> 区秀春 电话13725101823,唐学谦，电话：13725215980，</t>
  </si>
  <si>
    <t>唐学谦，电话：13725215980</t>
  </si>
  <si>
    <r>
      <t>2017年4月14日付757797.15元+</t>
    </r>
    <r>
      <rPr>
        <b/>
        <sz val="12"/>
        <color indexed="10"/>
        <rFont val="宋体"/>
        <charset val="134"/>
      </rPr>
      <t>4月27日付1498096元</t>
    </r>
  </si>
  <si>
    <t>2017年6月2日付1936568.08元；</t>
  </si>
  <si>
    <t>2017年6月20日付1069246.26元</t>
  </si>
  <si>
    <t>2017年7月19日付410691.12元</t>
  </si>
  <si>
    <t>2017年8月31日付28742.7元</t>
  </si>
  <si>
    <t>签定日期：2017.6.30</t>
  </si>
  <si>
    <t>合同编号：房建合（分）字（2017）277号</t>
  </si>
  <si>
    <t>地址：广州市越秀区东风东路中山大学北校区；建筑规模：共一幢；地上31层；地下四层</t>
  </si>
  <si>
    <t>C15 250 C20 260 C25 270 C30 280 C35 295 C40 310 C45 330 C50 355 C55 385</t>
  </si>
  <si>
    <t>1、按实供货数量（现场签收货单）结算。
2、润泵砂浆单价按同批次混凝土单价。
3、抗渗砼按同等级普通砼增价：P8（含P8）及以下增 5 元/m3，P10（含P10）以上增 10 元/m3。
4、掺膨胀剂：普通砼掺6%加35元/m3，掺8%加40元/m3，掺10%加45元/m3，掺12%加50元/m3。
5、水下桩或坍落度超过180mm时按同等级砼增价15元/m3。 
6、3天早强：≤C30混凝土达到70%加20元/m3；达到80%加25元/m3；达到90%加35元/m3；达到100%加45元/m3；≥C35混凝土强度值达到70%加25元/m3；达到80%加30元/m3；达到90%加40元/m3；达到100%加50元/m3。
7、7天早强：≤C30混凝土强度值达到80%加10元/m3；达到90%加15元/m3；达到100%加25元/m3；≥C35混凝土强度值达到80%加15元/m3；达到90%加20元/m3；达到100%加30元/m3；
8、不掺粉煤灰砼按同等级普通砼增价15元/m3。
9、C35以下（含C35）坍落度大于160mm之砼按同等级普通砼增价10元/m3。
10、细石砼按同等级普通砼增价15元/m³.
11、耐磨层、地下室找平层按同等级普通砼增价10元/m³.</t>
  </si>
  <si>
    <t xml:space="preserve">广州市房屋开发建设有限公司 </t>
  </si>
  <si>
    <t xml:space="preserve">如材料单价升减5%以内，单价不作调整，升减达到5%以上，单价另作调整，双方以书面形式确认。 </t>
  </si>
  <si>
    <t>中山大学北校区学生宿舍楼</t>
  </si>
  <si>
    <t>45000m3</t>
  </si>
  <si>
    <t>庄智严</t>
  </si>
  <si>
    <t>按公司提成提；业务信息费5元/方</t>
  </si>
  <si>
    <t>当月货款（当月为第一个月）于次月30日前付80% ，剩下20%于第三个月30日前付清，以此类推。</t>
  </si>
  <si>
    <t>陈嘉佑、冯良珠</t>
  </si>
  <si>
    <t xml:space="preserve">   陈嘉佑、林文乐 </t>
  </si>
  <si>
    <t>签定日期：2012年4月22日</t>
  </si>
  <si>
    <t>合同编号：CX12-0325</t>
  </si>
  <si>
    <t>C15:235  C20:245  C25:255  C30:265  C35:275  C40:290  C45:305  C50:325  C55:345  C60:375  2012年12月1日上调10元，C30：275元</t>
  </si>
  <si>
    <t>P6-P8加5元,P10-P12加10元,水下桩加10元,细石加15元,路面加10元，膨胀剂加45元</t>
  </si>
  <si>
    <t>汕头市潮阳建筑工程总公司</t>
  </si>
  <si>
    <t>业务信息费及提成</t>
  </si>
  <si>
    <t>按公司规定计提成，业务信息费10元</t>
  </si>
  <si>
    <t>中国南方航空大厦项目基坑支护设计</t>
  </si>
  <si>
    <t>郭</t>
  </si>
  <si>
    <t>郭金亮</t>
  </si>
  <si>
    <t>自供砼之日起累计供砼金额达到200万元（自供砼之日起180天内未完成200万元货款，视为已完成），即按当月货款次月15日内付清，该200万元货款于累计供应金额达到200万元之日起二个月内平均分二次付清（但最迟应于供砼之日起240天内付清），否则，供方有权停止供货并且有权拒付技术资料，并追究需方违约责任。用支票支付货款的，抬头必须填写供方单位名称。此工地不论什么原因导致停供，需方必须在最后一次供应砼之日起30天内将余款全部付清。逾期按每日千分之一收取违约金。</t>
  </si>
  <si>
    <t>需方每批次浇捣的混凝土尾数只能有一车不足9m³，超出一车以上，按每车达不到9m³的差额部分，另向需方收取30元/ m³空运费。</t>
  </si>
  <si>
    <t>2012年9月11日付100万元</t>
  </si>
  <si>
    <t>2012年10月29日付100万</t>
  </si>
  <si>
    <t>2013年1月30日付100万元</t>
  </si>
  <si>
    <t>2014年1月26日付65万元</t>
  </si>
  <si>
    <t>因桩质量问题,2017.1.9做报告,申请做清账处理.</t>
  </si>
  <si>
    <r>
      <t>签定日期：</t>
    </r>
    <r>
      <rPr>
        <b/>
        <sz val="12"/>
        <color indexed="10"/>
        <rFont val="楷体_GB2312"/>
        <family val="3"/>
        <charset val="134"/>
      </rPr>
      <t>2013年（长兴）</t>
    </r>
  </si>
  <si>
    <t>供方合同编号：CX13-0310，需方合同编号：sjjs（一分）-2013-材设contract-01（长兴合同）</t>
  </si>
  <si>
    <t>供应日期：2013年3月12日至工程完工时止</t>
  </si>
  <si>
    <t>C15:253  C20:263  C25:273  C30:283  C35:293  C40:308  C45:323  C50:343  C55:363  C60:393  C65:443  C70:543，从2013年11月1日开始上调50元，C30：333元；从2015年4月1日起（含税）C15:280 C20:290 C25:300  C30:310  C35:320  C40:335  C45:350  C50:370  C55:390 C60:420  C65:470  C70:570 从2015年9月1日起下调10元/方；（补充合同四）C30 300元；M15 砂浆300元；M20砂浆310元；从2016年12月15日至2017年1月31日上调20元；C30 320元</t>
  </si>
  <si>
    <r>
      <t>C25以上抗渗加5元,S10-S12加10元,瓜米石加15元,水下加15元,坍落度超180mm加10元,桩或桩心坍落度160-180加10元；</t>
    </r>
    <r>
      <rPr>
        <sz val="10"/>
        <color indexed="10"/>
        <rFont val="宋体"/>
        <charset val="134"/>
      </rPr>
      <t>补充合同三特殊约定</t>
    </r>
    <r>
      <rPr>
        <sz val="10"/>
        <rFont val="宋体"/>
        <charset val="134"/>
      </rPr>
      <t>：1含税；2抗渗以级别C25为起步基准。抗渗（S6-S8)混凝土加5元；3抗渗（s10-s10）加10元；瓜米石加15元；水下混凝土（180-200mm)加15元；坍落度180mm(不含180mm）加10元，工程部位为桩或桩心需坍落度160-180mm的加收10元。纯水泥加20元；掺6%膨胀剂加25元；掺8%膨胀剂混凝土加30元</t>
    </r>
  </si>
  <si>
    <t>开具混凝土发票</t>
  </si>
  <si>
    <t>工地介绍费3元/m3，按公司规定提成</t>
  </si>
  <si>
    <t>中国南方航空大厦</t>
  </si>
  <si>
    <t>500m3</t>
  </si>
  <si>
    <t>张升荣:13570444922,郭泽周:18664789344</t>
  </si>
  <si>
    <t>郭泽周</t>
  </si>
  <si>
    <t>自供砼之日起累计供砼金额达到300万元,该300万元货款于累计供应金额达到300万元之日起二个月内平均分三次付清.自供砼之日起累计300万元之后货款,即按当月货款次月15日内付清.若自供砼之日起180天内累计供砼金额未达到300万元的,则自供砼之日起180天后参照上述支付方式支付砼货款.否则,供方有权停止供货并且有权拒付技术资料,并追究需方违约责任.用支票支付货款的,抬头必须填写供方单位名称.收取货款时,供方需开具等额有效的材料发票收取货款.通过支票收取货款.</t>
  </si>
  <si>
    <t>需方逾期付款达七天时,供方有权停止供混凝土,</t>
  </si>
  <si>
    <t>1.增加混凝土120000立方米  2.从2014年1月份开始对合同结算单价予以调整，供应过程各等级混凝土结算单价按当季度的广州市建设工程造价管理站公布的《广州地区建设工程常用材料综合价格》预拌混凝土综合价格表中对应各强度单价下浮25%进行结算，如当季度《广州地区建设工程常用材料综合价格》未公布的，则按上季度《广州地区建设工程常用材料综合价格》予以暂定结算，待公布后予以调整价差。</t>
  </si>
  <si>
    <t>2013年3月1日出具单据按12m3出单</t>
  </si>
  <si>
    <t>2013年5月份工地发函说明桩质量问题，5月26日唐工已复函</t>
  </si>
  <si>
    <t>2013年6月28日付150万元</t>
  </si>
  <si>
    <t>2013年8月9日付200万元</t>
  </si>
  <si>
    <t>2013年9月16日付200万元</t>
  </si>
  <si>
    <t>2013年12月5日付50万元</t>
  </si>
  <si>
    <t>2013年12月20日付250万</t>
  </si>
  <si>
    <t>2013年1月9日付200万元</t>
  </si>
  <si>
    <t>2014年1月26日付400万元</t>
  </si>
  <si>
    <t>2014年3月14日付250万元</t>
  </si>
  <si>
    <t>2014年5月5付300万元</t>
  </si>
  <si>
    <t>2014年7月2付300万元</t>
  </si>
  <si>
    <t>2014年7月23付200万元</t>
  </si>
  <si>
    <t>2014年8月11付200万元</t>
  </si>
  <si>
    <t>2014年9月28付500万元</t>
  </si>
  <si>
    <t>2014年10 月30 付300万元</t>
  </si>
  <si>
    <t>2014年12月5付200万元</t>
  </si>
  <si>
    <t>2015年1月4付200万元</t>
  </si>
  <si>
    <t>2015年2月15付300万元</t>
  </si>
  <si>
    <t>2015年4月30付100万元</t>
  </si>
  <si>
    <t>2014年第一季度</t>
  </si>
  <si>
    <t>2014年第二季度</t>
  </si>
  <si>
    <t>2014年第三季度</t>
  </si>
  <si>
    <t>2014年第四季度</t>
  </si>
  <si>
    <t>2015年第一季度</t>
  </si>
  <si>
    <t>2015年9月8日付1430.60元</t>
  </si>
  <si>
    <t>201511月11日付80万元</t>
  </si>
  <si>
    <t>2016年1月8日付20万</t>
  </si>
  <si>
    <t>2016年2月2日付100万</t>
  </si>
  <si>
    <t>2016年6月2日付80万</t>
  </si>
  <si>
    <t>2016年8月付50万</t>
  </si>
  <si>
    <t>2016年10月8日付40万</t>
  </si>
  <si>
    <t>2016年12月28日付30万</t>
  </si>
  <si>
    <t>2017年1月20日付120万</t>
  </si>
  <si>
    <t>2017年5月12日付210907.32元</t>
  </si>
  <si>
    <t>合同编号：DQJ-9-GZDQ-WZ-002
（长泰合同）</t>
  </si>
  <si>
    <t>2014年8月22至完工</t>
  </si>
  <si>
    <t>黑色混凝土加100元/方；钢纤维混凝土加100元/方；从2017年3月20日起C40钢纤维收加工费5元；6%膨胀剂加收30元/方</t>
  </si>
  <si>
    <t>合同价：C15：295  C20：305 C25：315 C30：325 C35：340 C40：355 C45：370 C50：390 C55：410 C60：440 砂浆：420 5%水泥稳定层：215；C40钢纤维收加工费5元/方；</t>
  </si>
  <si>
    <t>P6-P8加5元；P10-P12加10元；水下桩或塌落度超过180mm加15；细石加15元；路面砼（包括耐磨层、球场、地坪、地面、道路、跑道、找平层或找坡层（除天面、屋面）在原单价上另加收15元；3天早强：达到80%加30元，达到90%加40元，达到100%加50元。7天早强：达到80%加15元，达到90%加20元，达到100%加50元；清水或无粉煤灰（纯水泥）混凝土≤C35加35元，≥C40加40元；路面抗折达到4.0加30元，达到4.5加35；</t>
  </si>
  <si>
    <t>中铁大桥局第九工程有限公司广州大桥扩宽工程项目经理部</t>
  </si>
  <si>
    <t>提成按公司规定提；业务信息费5元；</t>
  </si>
  <si>
    <t>广州大桥系统工程-广州大桥拓宽工程</t>
  </si>
  <si>
    <t>按当月货款支付结算金额的80%，余15%作为质保金，待下月结算时无息支付，剩余5 %作为审计预留金，经甲方法人单位审计部门审计后进行支付，但最迟应于工程完工或最后一次供砼之日起三个月内付清，如发生纠纷，则延后至纠纷最终解决后30天内付清。质量保证金的支付并不免除乙方对交付物品质量的保证责任。</t>
  </si>
  <si>
    <t>单价调整方式为：单价以2014年第二季度《广州地区建设工程常用材料综合价格》泵送混凝土为基准价，当季度《广州地区建设工程常用材料综合价格》比2014年第二季度《广州地区建设工程常用材料综合价格》泵送混凝土的单价增加或减少多少元，则当季度的结算单价也相应增加或减少多少元，如此类推。</t>
  </si>
  <si>
    <t>乙方未按合同约定或未按甲方确定的供货时间供货，每逾期一日，乙方按逾期交货金额的   万分之三支付违约金</t>
  </si>
  <si>
    <t>2014年8月16至9月20</t>
  </si>
  <si>
    <r>
      <t>2014</t>
    </r>
    <r>
      <rPr>
        <b/>
        <sz val="12"/>
        <rFont val="宋体"/>
        <charset val="134"/>
      </rPr>
      <t>年</t>
    </r>
    <r>
      <rPr>
        <b/>
        <sz val="12"/>
        <rFont val="Times New Roman"/>
        <family val="1"/>
      </rPr>
      <t>10月21付231862</t>
    </r>
  </si>
  <si>
    <t>2014年9月21日至10月20日</t>
  </si>
  <si>
    <t>2014年10月29付280484元</t>
  </si>
  <si>
    <t>2014年10月21日至11月20</t>
  </si>
  <si>
    <t>2014年11月21至12月20</t>
  </si>
  <si>
    <t>2014年12月10付265305.4</t>
  </si>
  <si>
    <t>2014年12月21至2015年1月20</t>
  </si>
  <si>
    <t>2015年1月14付382639.6</t>
  </si>
  <si>
    <t>2015年1月21至2月7</t>
  </si>
  <si>
    <t>2015年2月10付629607.5</t>
  </si>
  <si>
    <t>2015年2月21至3月20</t>
  </si>
  <si>
    <t>2015年3月21至4月20</t>
  </si>
  <si>
    <t>2015年4月14付352132.1</t>
  </si>
  <si>
    <t>2015年4月21至5月20</t>
  </si>
  <si>
    <t>2015年5月21至6月20</t>
  </si>
  <si>
    <t>2015年6月29付1374283.5元</t>
  </si>
  <si>
    <t>2015年6月21至7月20</t>
  </si>
  <si>
    <t>2015年7月22付532923.60元</t>
  </si>
  <si>
    <t>2015年7月21至8月20</t>
  </si>
  <si>
    <t>2015年8月26付60万</t>
  </si>
  <si>
    <t>2015年8月21至9月20</t>
  </si>
  <si>
    <t>2015年9月21至10月20</t>
  </si>
  <si>
    <t>2015年10月15日付90万+10月30日付110万</t>
  </si>
  <si>
    <t>2015年10月21至11月20</t>
  </si>
  <si>
    <t>2015年11月18日付90万</t>
  </si>
  <si>
    <t>2015年11月21至12月20</t>
  </si>
  <si>
    <t>2015年12月14日付120万</t>
  </si>
  <si>
    <t>2015年12月21日至2016年至1月20</t>
  </si>
  <si>
    <t>2016年01月30日付70万元；</t>
  </si>
  <si>
    <t>2016年1月21日至2016年至2月20日</t>
  </si>
  <si>
    <t>2016年2月21日至2016年至3月20日</t>
  </si>
  <si>
    <t>2016年3月21日至2016年至4月20日</t>
  </si>
  <si>
    <t>2016年4月26日付871762.4元；</t>
  </si>
  <si>
    <t>2016年4月21日至2016年至5月20日</t>
  </si>
  <si>
    <t>2016年5月13日付266311元；2016年5月24付589078元；</t>
  </si>
  <si>
    <t>2016年5月21日至2016年至6月20日</t>
  </si>
  <si>
    <t>2016年6月21日至2016年至7月20日</t>
  </si>
  <si>
    <t>2016年7月25日付596524元</t>
  </si>
  <si>
    <t>2016年7月21日至2016年至8月20日</t>
  </si>
  <si>
    <t>2016年8月29日付622628.5元</t>
  </si>
  <si>
    <t>2016年8月21日至2016年至9月20日</t>
  </si>
  <si>
    <t>2016年9月27日付30万</t>
  </si>
  <si>
    <t>2016年9月21日至2016年至10月20日</t>
  </si>
  <si>
    <t>2016年11月15日付40万</t>
  </si>
  <si>
    <t>2016年12月1日至2017年至3月20日</t>
  </si>
  <si>
    <t>2017年1月10日付10万元</t>
  </si>
  <si>
    <t>2017年3月21日至2017年4月20日</t>
  </si>
  <si>
    <t>2017年4月21日付325974.5元</t>
  </si>
  <si>
    <t>2017年4月21日至2017年5月20日</t>
  </si>
  <si>
    <t>2017年6月2日付14万</t>
  </si>
  <si>
    <t>2017年5月21日至2017年6月20日</t>
  </si>
  <si>
    <t>2017年7月5日付761053.37元</t>
  </si>
  <si>
    <t>2017年6月21日至2017年7月20日</t>
  </si>
  <si>
    <t>2017年7月21日至2017年8月20日</t>
  </si>
  <si>
    <t xml:space="preserve">合同编号：gdzs-2015-砼-02、CT15-0606
</t>
  </si>
  <si>
    <t xml:space="preserve">QQ：2981470954
</t>
  </si>
  <si>
    <t>C10：270  C15：280  C20：290  C25：300  C30：310  C35：325  C40：340  C45：355  C50：375  C55：395  C60：420  润泵砂浆：300   2015年4月1日至4月30日上调15元/M3;2015年5月1日起恢复原单价C30 310 ；从2016年6月1日起C30 275；从2016年12月10日起上调45元；C30 320</t>
  </si>
  <si>
    <t>细石（含瓜米石）砼15元/m3,水下砼15元/m3；抗渗砼P6增加0元；P8增加5元/m3；P10增加5元/m3；3.P12增加  10元/m³。
4.早强砼：3天早强增加增加 20 元/m³；7天早强增加增加 15 元/m³。5.掺膨胀剂：6%-9%掺量增加 30 元/m³；10%-12%掺量增加  40元/m³。6.路面砼：增加10 元/m³。
30层以上或100米以上泵送混凝土单价在原等级单价上加收10.00元/m³。抗折4.5混凝土增加45元。</t>
  </si>
  <si>
    <t>广东正升建筑公司</t>
  </si>
  <si>
    <t>分三期；50万平方米；14幢32层；地下室3层</t>
  </si>
  <si>
    <t>双方约定以  2015 年第二季度《广州地区建设工程常用材料综合价格》公布的 广州 地区价格（泵送）作为调价的基准价格。《广州地区建设工程常用材料综合价格》中的 广州 地区价格发生变动，以供货当季度的《广州地区建设工程常用材料综合价格》 公布的 广州 地区价格（泵送）与基准价格进行相减，按照所得结果进行价格调差。（2）调差约定：a. 当价差在 +5%内（含5%），价差不予调整；b. 当价差在 +5%外，调差价格应扣减基准价格的5%，剩余部分给予调整；</t>
  </si>
  <si>
    <t>东圃立交住宅项目工程（一期、二期）</t>
  </si>
  <si>
    <t>按1.5元/方；业务信息费1元/方；从3.1起写申请</t>
  </si>
  <si>
    <t>当月货款，半年内支付。（例如：1月份货款，7月31日前支付。）</t>
  </si>
  <si>
    <t>马如林、韩伟强</t>
  </si>
  <si>
    <t>陈敬华</t>
  </si>
  <si>
    <t>2015年4月1日至30日调差</t>
  </si>
  <si>
    <t>2016年2月2日付2280562.5元+953142.50元；（期票2.5）</t>
  </si>
  <si>
    <t>2016年3月31日付1414357.5元；4月份入账</t>
  </si>
  <si>
    <t>2016年4月19日付1050350元</t>
  </si>
  <si>
    <t>2016年6月15日付626760元；</t>
  </si>
  <si>
    <t>2016年7月1日付1047102.5元</t>
  </si>
  <si>
    <t>2016年7月7日付60万（承兑9.23）+438988.20（承兑10.22）+10万（9.28）+73548元（7.8）+848491.30元（承兑11.10）</t>
  </si>
  <si>
    <t>2016年9月13日付1419147.5元</t>
  </si>
  <si>
    <t>2016年10月10日付6422882.5元</t>
  </si>
  <si>
    <t>2016年11月21日付2153162.5元+付200万</t>
  </si>
  <si>
    <t>2016年12月12日付200万（期票12.16）</t>
  </si>
  <si>
    <t>2016年12月15日付1931675元</t>
  </si>
  <si>
    <t>2017年1月24日付2953732.5元；3039235元（期票2.28）</t>
  </si>
  <si>
    <t>2017年3月14日付3030562.5元；</t>
  </si>
  <si>
    <t>2017年4月6日付2758072.5元</t>
  </si>
  <si>
    <t>2017年5月6日付3761947.5元</t>
  </si>
  <si>
    <t>2017年6月2日付1636075元+200万；（期票6.25）</t>
  </si>
  <si>
    <t>2017年7月13日付2031752.5元（期票7.31）300万元（期票2017.7.21）</t>
  </si>
  <si>
    <t>2017年8月12日付2782745元（期票8.25）</t>
  </si>
  <si>
    <t>2017年9月6日付1012315元+66960元(期票9.15）</t>
  </si>
  <si>
    <t>东圃立交住宅项目工程（三期）</t>
  </si>
  <si>
    <t>2017年1月24日付26897.5元</t>
  </si>
  <si>
    <t>2017年3月14日付27825元；</t>
  </si>
  <si>
    <t>2017年4月6日付144170元</t>
  </si>
  <si>
    <t>2017年5月6日付1166250元</t>
  </si>
  <si>
    <t>2017年6月2日付1441110元；（期票6.25）</t>
  </si>
  <si>
    <t>2017年7月13日付1310655元（期票7.31）</t>
  </si>
  <si>
    <t>2017年8月12日付1049149.3元（期票8.25）</t>
  </si>
  <si>
    <t>2017年9月6日付597195元(期票9.15）</t>
  </si>
  <si>
    <t>2015.12.1</t>
  </si>
  <si>
    <t>合同编号：GDJX-GGXC-砼材-010</t>
  </si>
  <si>
    <t>地址 珠海市香洲区兴华路176号3栋广东建星建筑工程有限公司   张红云收   18666110950 收据、发票等马玉洁 13229881989；何瑞珍15992683123</t>
  </si>
  <si>
    <r>
      <t>建筑规模：</t>
    </r>
    <r>
      <rPr>
        <sz val="10"/>
        <rFont val="宋体"/>
        <charset val="134"/>
      </rPr>
      <t>10#、11#、12#及相应地下室混凝土供应</t>
    </r>
  </si>
  <si>
    <t>C15 246 C26 256 C25 266 C30 276 C35 291 C40 306 C45 321 C50 336 C55 351 5 润泵砂浆 300 从2016年7月15日至2016年9月15日上调10元C30 280 2016年9月15日恢复原单价。从2016年10月20日起上调10元 C30 286；2016年12月10日起上调40元；C30 326 润管砂浆310</t>
  </si>
  <si>
    <t>1、抗渗砼P6增加 0 元/m3，P8-P10增加 5元/m3，
P12增加 10元/m33、细石砼增加 15 元/m3； 4、掺抗掺膨胀剂10%以内的增加30元/ m3；5、以上单价不含税，如需含税（开税票）另增收税金4%6、塌落度120mm以下为非泵送混凝土，塌落度120mm以上为泵送混凝土。</t>
  </si>
  <si>
    <t>广东建星建造集团有限公司</t>
  </si>
  <si>
    <t>价格调整，市场原材料价格浮动超过±5%时，价格双方协商调整，混凝土单价调整以双方确认的《混凝土单价调整函》为准。</t>
  </si>
  <si>
    <t>按公司提成计算；业务信息费8元/方；</t>
  </si>
  <si>
    <t>广钢新城项目</t>
  </si>
  <si>
    <t>丁松林</t>
  </si>
  <si>
    <t>18688882099</t>
  </si>
  <si>
    <t>李汉锐、张云平</t>
  </si>
  <si>
    <t xml:space="preserve"> 每月30日前甲方支付上月混凝土货款的70%给乙方，每月累计的30%余款在主体竣工验收完成以后三个月内支付（主体竣工验收时间为封顶完成后1个月，若非乙方原因延误竣工验收时间，则视为已完成竣工；若因乙方原因造成竣工验收时间延后，则剩余进度款延后支付，乙方承担相关责任）。</t>
  </si>
  <si>
    <t>还款承诺书（2017.8.11）：2017年8月25日付100万；2017年9月25日付100万；2017年10月25日付100万；2017年11月25日付100万；2017年12月25日付清所有。</t>
  </si>
  <si>
    <t>每批次混凝土浇筑结束前，甲方应提前通知乙方所需混凝土尾数，每个部位每批次混凝土尾数仅限一车（如要再加送每车需加收100元运费）。在甲方当天混凝土需求计划范围内，若甲方提出不需要但乙方已生产时，此生产出的混凝土应视为甲方已购买，甲方须如数签收；如不签收，以乙方统计的数据为准。</t>
  </si>
  <si>
    <t>2016年2月5日付2929130.75万元</t>
  </si>
  <si>
    <t>2015.12.26-2016.1.25</t>
  </si>
  <si>
    <t>2016.1.26-2016.2.25</t>
  </si>
  <si>
    <t>2016.2.26-2016.3.25</t>
  </si>
  <si>
    <t>2016年5月10日付100万元；</t>
  </si>
  <si>
    <t>2016.3.26-2016.4.23</t>
  </si>
  <si>
    <t>2016.4.24-2016.5.23</t>
  </si>
  <si>
    <t>2016年6月24日付80万</t>
  </si>
  <si>
    <t>2016.5.24-2016.6.23</t>
  </si>
  <si>
    <t>2016年7月19日付50万</t>
  </si>
  <si>
    <t>2016.6.24-2016.7.23</t>
  </si>
  <si>
    <t>2016年8月7日付100万</t>
  </si>
  <si>
    <t>2016.7.24-2016.8.24</t>
  </si>
  <si>
    <t>2016年9月9日付100万</t>
  </si>
  <si>
    <t>2016.8.24-2016.9.25</t>
  </si>
  <si>
    <t>2016年7月15日至2016年9月15日上调10元</t>
  </si>
  <si>
    <t>2016.9.24-2016.10.23</t>
  </si>
  <si>
    <t>2016年11月4日付150万+11月30日付150万</t>
  </si>
  <si>
    <t>10月税金</t>
  </si>
  <si>
    <t>11月份调差金额</t>
  </si>
  <si>
    <t>11月税金</t>
  </si>
  <si>
    <t>2016.10.24-2016.11.23</t>
  </si>
  <si>
    <t>2016年12月16日付783603.85元</t>
  </si>
  <si>
    <t>2016.11.24-2016.12.16</t>
  </si>
  <si>
    <t>11月货款税金</t>
  </si>
  <si>
    <t>2017年1月10日付769152.25元+1月23日付512946元</t>
  </si>
  <si>
    <t>12月货款税金</t>
  </si>
  <si>
    <t>调差上调40元</t>
  </si>
  <si>
    <t>2016.12.17-2017.3.17</t>
  </si>
  <si>
    <t>10号楼于2016年10月30日已封顶；11号楼于2016年12月19日已封顶；12号楼于2016年12月17日已封顶</t>
  </si>
  <si>
    <t>2017.3.18-2017.4.23</t>
  </si>
  <si>
    <t>2017.4.24-2017.5.23</t>
  </si>
  <si>
    <t>2017.5.24-2017.6.23</t>
  </si>
  <si>
    <t>2017年6月6日付147万</t>
  </si>
  <si>
    <t>7月税金</t>
  </si>
  <si>
    <t>2017.6.24-2017.7.23</t>
  </si>
  <si>
    <t>2017年7月27日付150万元</t>
  </si>
  <si>
    <t>2017.7.24-2017.8.24</t>
  </si>
  <si>
    <t>合同编号：/</t>
  </si>
  <si>
    <t>C15 250  C20 260 C25 270 C30 280 C35 295 C40 310 C45 330 C50 355</t>
  </si>
  <si>
    <t>1、抗渗砼P6-P8在原级别单价基础上加5元/m3，P10-P12在原级别单价基础上加10元/m3；
2、瓜米石砼在原级别单价基础上加15元/m3；
3、七天早强砼达到抗压强度80%加15元/m3，三天早强砼达到抗压强度80%加25元/m3，
4、不加煤灰砼在原级别单价基础上加10元/m3；
5、水下砼(180-220mm)在原级别单价基础上加15元/m3；
6、膨胀砼6%-8%在原级别单价基础上加30元/m3；膨胀砼10%-12%在原级别单价基础上加35元/m3。</t>
  </si>
  <si>
    <t>广州白云国际机场扩建工程第三跑道安置区二期建设工程（中学、幼儿园、规划路）</t>
  </si>
  <si>
    <t>30000m3方</t>
  </si>
  <si>
    <t>需方供货后次月30日前向供方支付上个月混凝土货款，支付的比例为供方当期混凝土货款结算价的80%，余下20%货款作为质量与履约保证金。主体结构封顶90天（同时砼检验、包括实体检测合格），且供方提交完整的商品混凝土资料后支付至结算价的95%，余下5%货款在主体结构封顶6-12个月内付清。最后一次供砼15日内付清全部货款。</t>
  </si>
  <si>
    <t>需方要求供方供应的混凝土每天(每批次)只能有两车不足6m3（含6m3），如超出此车数，需方应按每车支付100元的运费补偿给供方，并且当需方在一天内只要求供方供应一车混凝土但少于6m3时，亦应按每车支付100元的运费补偿给供方。</t>
  </si>
  <si>
    <t>C30 280 (临供）</t>
  </si>
  <si>
    <t>广州白云国际机场扩建工程第三跑道安置区二期建设工程（东区西地块）</t>
  </si>
  <si>
    <t>合同编号：GHLQSBWZ－JC－20170625</t>
  </si>
  <si>
    <t>C15 265 C20 275 C30 285 C35 310 C40 325 砂浆320；</t>
  </si>
  <si>
    <t>1、抗渗混凝土P6-P8在原单价上另加收5元/ m³；
2、P10-P12在原单价上加收10元/ m³；
3、细石混凝土在原单价上加收15元/ m³；
4、路面抗折F4.0混凝土在原单价上另收40元/ m³；
5、水下混凝土在同等级普通泵送混凝土单价上加收15元/ m³；
特殊混凝土单价双方另协商。纯水泥加35元/方；水下加15元</t>
  </si>
  <si>
    <t xml:space="preserve">中国铁建港航局集团有限公司机场高速公路北段工程SG08项目经理部  </t>
  </si>
  <si>
    <r>
      <t>以上单价为每月暂定单价。最终结算单价以供货过程中上季度《广州市建设工程造价管理站》公布的《广州地区建设工程常用材料综合价格》预拌混凝土税前价格表中对应各强度等级混凝土单价下浮16%最终结算。根据每季度调差一次，调差款在当月扣减。
结算方式：以普通C30泵送混凝土2017年一季度税前价为350元/ m</t>
    </r>
    <r>
      <rPr>
        <sz val="12"/>
        <rFont val="宋体"/>
        <charset val="134"/>
      </rPr>
      <t>³</t>
    </r>
    <r>
      <rPr>
        <sz val="12"/>
        <rFont val="楷体_GB2312"/>
        <family val="3"/>
        <charset val="134"/>
      </rPr>
      <t>为例
本月结算单价:350*（1-0.16）=350*0.84=294元/m</t>
    </r>
    <r>
      <rPr>
        <sz val="12"/>
        <rFont val="宋体"/>
        <charset val="134"/>
      </rPr>
      <t>³</t>
    </r>
    <r>
      <rPr>
        <sz val="12"/>
        <rFont val="楷体_GB2312"/>
        <family val="3"/>
        <charset val="134"/>
      </rPr>
      <t>。</t>
    </r>
  </si>
  <si>
    <t>按公司规定1.2元/方；业务信息费7元</t>
  </si>
  <si>
    <t xml:space="preserve"> 新白云机场第二高速公路北段工程SG08标</t>
  </si>
  <si>
    <t>陈艳梅</t>
  </si>
  <si>
    <t>18228289116</t>
  </si>
  <si>
    <t>合同无约定</t>
  </si>
  <si>
    <t>当月（指第一个月）货款于次月月底前支付乙方混凝土货款80%，剩余20%于第三个月月底前付清，以此类推。特殊情况下，如甲方工程计价款未及时到位，造成甲方资金困难，乙方应予充分理解，允许甲方适当延期（1个月）无息支付。</t>
  </si>
  <si>
    <t>运费无</t>
  </si>
  <si>
    <t>2017.4.23</t>
  </si>
  <si>
    <t>合同编号： WZHT-09-GFHX-2017-007</t>
  </si>
  <si>
    <t>C15 240 C20 250 C25 260 C30 270 C35 285</t>
  </si>
  <si>
    <t xml:space="preserve">中铁十九局集团轨道交通工程有限公司 </t>
  </si>
  <si>
    <t>按公司规定1.2元/方；业务信息费无</t>
  </si>
  <si>
    <t>珠三角广佛环线</t>
  </si>
  <si>
    <t>2000方</t>
  </si>
  <si>
    <t>陈友建</t>
  </si>
  <si>
    <t>无约定</t>
  </si>
  <si>
    <t>当月货款于第三个月支付90%，买方在收到发票并进行认证无误后，扣除该批物资价款10%的质量保证金，6个月质保期满后于一个月退还质保金。</t>
  </si>
  <si>
    <t>签定日期：2014-10-30</t>
  </si>
  <si>
    <t>合同编号：CT14-1030002</t>
  </si>
  <si>
    <t>供应日期：2014年10月31至完工</t>
  </si>
  <si>
    <t>地址：</t>
  </si>
  <si>
    <r>
      <t>C10：270 C15：280 C20：290 C25：300 C30：310 C35：325 C40：340；从2014年10月30上调30元/m</t>
    </r>
    <r>
      <rPr>
        <vertAlign val="superscript"/>
        <sz val="11"/>
        <rFont val="宋体"/>
        <charset val="134"/>
      </rPr>
      <t>3</t>
    </r>
    <r>
      <rPr>
        <sz val="11"/>
        <rFont val="宋体"/>
        <charset val="134"/>
      </rPr>
      <t>从2015年4月1日执行 C10 300 C15 310 C20 320 C25 330 C30 340 C35 355 C40 370 ；从2015年10月1日起下调40元；C30 300 元；</t>
    </r>
  </si>
  <si>
    <t>抗渗砼P6-P8在原单价上另加收5元/m3；P10-P12在原单价上另加收10元/m3；水下桩或坍落度超过180mm时在原单价上另加收15元/ m3；细石混凝土在原单价上另加收15元/ m3；路面砼（包括耐磨层、球场、地坪、地面、道路、跑道、车道、找平层或找坡层（除天面、屋面）在原单价上另加收10元/ m3；3天早强：≤C30混凝土达到70%加20元/m3；达到80%加25元/m3；达到90%加35元/m3；达到100%加45元/m3；≥C35混凝土强度值达到70%加25元/m3；达到80%加30元/m3；达到90%加40元/m3；达到100%加50元/m3。7天早强：≤C30混凝土强度值达到80%加10元/m3；达到90%加15元/m3；达到100%加25元/m3；≥C35混凝土强度值达到80%加15元/m3；达到90%加20元/m3；达到100%加30元/m3；清水或无粉煤灰（纯水泥）混凝土≤C35加25元/m3；≥C40加20元/m3；掺膨胀剂：普通砼掺6%加35元/m3，掺8%加40元/m3，掺10%加45元/m3，掺12%加50元/m3，特殊混凝土另协商，若由需方提供膨胀剂（包括SY-K），则供方收取加工费5元</t>
  </si>
  <si>
    <t>每立方增加15元/立方米</t>
  </si>
  <si>
    <t>侨建大厦基坑支护工程</t>
  </si>
  <si>
    <t>张福军 陆泽强</t>
  </si>
  <si>
    <t>当月货款的90%次月20日内付清，余下10%在供砼之日起120天内付清</t>
  </si>
  <si>
    <t>需方每批次浇捣的混凝土尾数只有一车不足9方，超出一车以上的，按每车达不到9方的部分，另向需方收取30元/方的空运费</t>
  </si>
  <si>
    <t>2015年1月27付40万元</t>
  </si>
  <si>
    <t>2015年2月8付100万元</t>
  </si>
  <si>
    <t>2015年5月25付50万元</t>
  </si>
  <si>
    <r>
      <t>2015</t>
    </r>
    <r>
      <rPr>
        <b/>
        <sz val="12"/>
        <rFont val="宋体"/>
        <charset val="134"/>
      </rPr>
      <t>年</t>
    </r>
    <r>
      <rPr>
        <b/>
        <sz val="12"/>
        <rFont val="Times New Roman"/>
        <family val="1"/>
      </rPr>
      <t>7</t>
    </r>
    <r>
      <rPr>
        <b/>
        <sz val="12"/>
        <rFont val="宋体"/>
        <charset val="134"/>
      </rPr>
      <t>月</t>
    </r>
    <r>
      <rPr>
        <b/>
        <sz val="12"/>
        <rFont val="Times New Roman"/>
        <family val="1"/>
      </rPr>
      <t>11</t>
    </r>
    <r>
      <rPr>
        <b/>
        <sz val="12"/>
        <rFont val="宋体"/>
        <charset val="134"/>
      </rPr>
      <t>付</t>
    </r>
    <r>
      <rPr>
        <b/>
        <sz val="12"/>
        <rFont val="Times New Roman"/>
        <family val="1"/>
      </rPr>
      <t>8</t>
    </r>
    <r>
      <rPr>
        <b/>
        <sz val="12"/>
        <rFont val="宋体"/>
        <charset val="134"/>
      </rPr>
      <t>万元（期票</t>
    </r>
    <r>
      <rPr>
        <b/>
        <sz val="12"/>
        <rFont val="Times New Roman"/>
        <family val="1"/>
      </rPr>
      <t>8.15</t>
    </r>
    <r>
      <rPr>
        <b/>
        <sz val="12"/>
        <rFont val="宋体"/>
        <charset val="134"/>
      </rPr>
      <t>）</t>
    </r>
  </si>
  <si>
    <r>
      <t>2015</t>
    </r>
    <r>
      <rPr>
        <b/>
        <sz val="12"/>
        <rFont val="宋体"/>
        <charset val="134"/>
      </rPr>
      <t>年</t>
    </r>
    <r>
      <rPr>
        <b/>
        <sz val="12"/>
        <rFont val="Times New Roman"/>
        <family val="1"/>
      </rPr>
      <t>8</t>
    </r>
    <r>
      <rPr>
        <b/>
        <sz val="12"/>
        <rFont val="宋体"/>
        <charset val="134"/>
      </rPr>
      <t>月</t>
    </r>
    <r>
      <rPr>
        <b/>
        <sz val="12"/>
        <rFont val="Times New Roman"/>
        <family val="1"/>
      </rPr>
      <t>15</t>
    </r>
    <r>
      <rPr>
        <b/>
        <sz val="12"/>
        <rFont val="宋体"/>
        <charset val="134"/>
      </rPr>
      <t>付</t>
    </r>
    <r>
      <rPr>
        <b/>
        <sz val="12"/>
        <rFont val="Times New Roman"/>
        <family val="1"/>
      </rPr>
      <t>48</t>
    </r>
    <r>
      <rPr>
        <b/>
        <sz val="12"/>
        <rFont val="宋体"/>
        <charset val="134"/>
      </rPr>
      <t>万</t>
    </r>
  </si>
  <si>
    <r>
      <t>2015</t>
    </r>
    <r>
      <rPr>
        <b/>
        <sz val="12"/>
        <rFont val="宋体"/>
        <charset val="134"/>
      </rPr>
      <t>年</t>
    </r>
    <r>
      <rPr>
        <b/>
        <sz val="12"/>
        <rFont val="Times New Roman"/>
        <family val="1"/>
      </rPr>
      <t>10</t>
    </r>
    <r>
      <rPr>
        <b/>
        <sz val="12"/>
        <rFont val="宋体"/>
        <charset val="134"/>
      </rPr>
      <t>月</t>
    </r>
    <r>
      <rPr>
        <b/>
        <sz val="12"/>
        <rFont val="Times New Roman"/>
        <family val="1"/>
      </rPr>
      <t>13日付35万（期票10.26）</t>
    </r>
  </si>
  <si>
    <r>
      <t>2015</t>
    </r>
    <r>
      <rPr>
        <b/>
        <sz val="12"/>
        <rFont val="宋体"/>
        <charset val="134"/>
      </rPr>
      <t>年</t>
    </r>
    <r>
      <rPr>
        <b/>
        <sz val="12"/>
        <rFont val="Times New Roman"/>
        <family val="1"/>
      </rPr>
      <t>12</t>
    </r>
    <r>
      <rPr>
        <b/>
        <sz val="12"/>
        <rFont val="宋体"/>
        <charset val="134"/>
      </rPr>
      <t>月</t>
    </r>
    <r>
      <rPr>
        <b/>
        <sz val="12"/>
        <rFont val="Times New Roman"/>
        <family val="1"/>
      </rPr>
      <t>11</t>
    </r>
    <r>
      <rPr>
        <b/>
        <sz val="12"/>
        <rFont val="宋体"/>
        <charset val="134"/>
      </rPr>
      <t>日付</t>
    </r>
    <r>
      <rPr>
        <b/>
        <sz val="12"/>
        <rFont val="Times New Roman"/>
        <family val="1"/>
      </rPr>
      <t>30</t>
    </r>
    <r>
      <rPr>
        <b/>
        <sz val="12"/>
        <rFont val="宋体"/>
        <charset val="134"/>
      </rPr>
      <t>万（期票1.26）</t>
    </r>
  </si>
  <si>
    <r>
      <t>2016</t>
    </r>
    <r>
      <rPr>
        <b/>
        <sz val="12"/>
        <rFont val="宋体"/>
        <charset val="134"/>
      </rPr>
      <t>年</t>
    </r>
    <r>
      <rPr>
        <b/>
        <sz val="12"/>
        <rFont val="Times New Roman"/>
        <family val="1"/>
      </rPr>
      <t>9</t>
    </r>
    <r>
      <rPr>
        <b/>
        <sz val="12"/>
        <rFont val="宋体"/>
        <charset val="134"/>
      </rPr>
      <t>月</t>
    </r>
    <r>
      <rPr>
        <b/>
        <sz val="12"/>
        <rFont val="Times New Roman"/>
        <family val="1"/>
      </rPr>
      <t>21</t>
    </r>
    <r>
      <rPr>
        <b/>
        <sz val="12"/>
        <rFont val="宋体"/>
        <charset val="134"/>
      </rPr>
      <t>日付</t>
    </r>
    <r>
      <rPr>
        <b/>
        <sz val="12"/>
        <rFont val="Times New Roman"/>
        <family val="1"/>
      </rPr>
      <t>10</t>
    </r>
    <r>
      <rPr>
        <b/>
        <sz val="12"/>
        <rFont val="宋体"/>
        <charset val="134"/>
      </rPr>
      <t>万</t>
    </r>
  </si>
  <si>
    <r>
      <t>2017</t>
    </r>
    <r>
      <rPr>
        <b/>
        <sz val="12"/>
        <color indexed="10"/>
        <rFont val="宋体"/>
        <charset val="134"/>
      </rPr>
      <t>年</t>
    </r>
    <r>
      <rPr>
        <b/>
        <sz val="12"/>
        <color indexed="10"/>
        <rFont val="Times New Roman"/>
        <family val="1"/>
      </rPr>
      <t>6</t>
    </r>
    <r>
      <rPr>
        <b/>
        <sz val="12"/>
        <color indexed="10"/>
        <rFont val="宋体"/>
        <charset val="134"/>
      </rPr>
      <t>月</t>
    </r>
    <r>
      <rPr>
        <b/>
        <sz val="12"/>
        <color indexed="10"/>
        <rFont val="Times New Roman"/>
        <family val="1"/>
      </rPr>
      <t>26</t>
    </r>
    <r>
      <rPr>
        <b/>
        <sz val="12"/>
        <color indexed="10"/>
        <rFont val="宋体"/>
        <charset val="134"/>
      </rPr>
      <t>日付</t>
    </r>
    <r>
      <rPr>
        <b/>
        <sz val="12"/>
        <color indexed="10"/>
        <rFont val="Times New Roman"/>
        <family val="1"/>
      </rPr>
      <t>768635</t>
    </r>
    <r>
      <rPr>
        <b/>
        <sz val="12"/>
        <color indexed="10"/>
        <rFont val="宋体"/>
        <charset val="134"/>
      </rPr>
      <t>元；（律师费、诉讼费</t>
    </r>
    <r>
      <rPr>
        <b/>
        <sz val="12"/>
        <color indexed="10"/>
        <rFont val="Times New Roman"/>
        <family val="1"/>
      </rPr>
      <t>20838</t>
    </r>
    <r>
      <rPr>
        <b/>
        <sz val="12"/>
        <color indexed="10"/>
        <rFont val="宋体"/>
        <charset val="134"/>
      </rPr>
      <t>元）</t>
    </r>
  </si>
  <si>
    <t>签定日期：2012年6月5日</t>
  </si>
  <si>
    <t>CX12-0423</t>
  </si>
  <si>
    <t>C30:250，2013年8月份开始加价10元</t>
  </si>
  <si>
    <t>广州市意达建设有限公司</t>
  </si>
  <si>
    <t>广州市越秀区和平路19号101室阳军13380000004</t>
  </si>
  <si>
    <t>广州市联合交易园二期C区</t>
  </si>
  <si>
    <t>当月货款于次月20日内付90%，否则，供方有权停止供货并且有权拒付技术资料，并追究需方违约责任。10%货款中预留人民币壹拾万元做为资料押金，在供方交清所供混凝土全部技术资料后十天内付清，余款在主体结构封顶两个月内付清</t>
  </si>
  <si>
    <t>海珠检测站</t>
  </si>
  <si>
    <t>2014年1月24日付91530元</t>
  </si>
  <si>
    <t>2014年3月7日付83310</t>
  </si>
  <si>
    <t>签定日期：2014年1月1日</t>
  </si>
  <si>
    <t>CT14-010102(长泰合同）</t>
  </si>
  <si>
    <t>2014年1月1日起完工之日止</t>
  </si>
  <si>
    <t>C10：260  C15：270  C20：280  C25：290  C30：300  C35：315  C40：330  C45：350  C50：370  C55：390  C60：420  砂浆：400   从2014年6月1日起上调五元/m³ C30 305</t>
  </si>
  <si>
    <t>水下桩或坍落度超180mm加15元，细石15元</t>
  </si>
  <si>
    <t>不含税价，含税价7%</t>
  </si>
  <si>
    <t>广州联合交易园区自编C-1栋商业楼工程、广州联合交易园中大站新增Ⅲa地下通道工程</t>
  </si>
  <si>
    <t>徐鹏飞</t>
  </si>
  <si>
    <t>阳意、熊绍忠、蔡少文</t>
  </si>
  <si>
    <t>阳意、徐鹏程</t>
  </si>
  <si>
    <t>当月货款于次月20日内付90%，余下10%在主体结构封顶两个月内付清，同时供方提供混凝土技术资料，否则，供方有权停止供货并且有权拒付技术资料。</t>
  </si>
  <si>
    <t>供砼期间，价格上涨与下跌，双方协商不一致时，双方随时可以中止合同，而供方必须同意找其他厂家供货，不得干涉，如中途中止合同时，供方所有应结算款项须在20天内付清，供方须同时交齐所有砼资料。</t>
  </si>
  <si>
    <t>2014年3月7付116690；3月19付70万元；3月31付55000+145000</t>
  </si>
  <si>
    <t>2014年4月1日付753871.5（期票为4月15），2014年4月25付100万元（期票4月29）</t>
  </si>
  <si>
    <t>2014年5月12日收到969919.5元（期票为5月17日）；5月28日付699231.5元</t>
  </si>
  <si>
    <t>2014年6月13付100万元</t>
  </si>
  <si>
    <t>2014年7月4收到765600.75元（期票为7月9</t>
  </si>
  <si>
    <t>2014年9月16付211097.5（期票为9月30）+20万元</t>
  </si>
  <si>
    <t>2014年10月24付224327.25（期票为11月5）</t>
  </si>
  <si>
    <t>2014年11月19付352311.75</t>
  </si>
  <si>
    <t>2015年1月16付322481.25</t>
  </si>
  <si>
    <t>2015年2月12付531558</t>
  </si>
  <si>
    <t>2015年6月5付40万（期票6.15）</t>
  </si>
  <si>
    <t>2015年8月25日付15万（期票9.5）</t>
  </si>
  <si>
    <t>2015年12月11日付5万元</t>
  </si>
  <si>
    <t>2016年1月4日付5万 元</t>
  </si>
  <si>
    <t>2016年8月30日付5万</t>
  </si>
  <si>
    <t>2016年11月16日付5万</t>
  </si>
  <si>
    <t>2017年1月20日付5万</t>
  </si>
  <si>
    <t>2017年4月28付147265元（期票7.30）+2017年9月5日付265元</t>
  </si>
  <si>
    <t>合同编号：穗住采购字第15040号；CT15-031009(长泰站供应）</t>
  </si>
  <si>
    <t>广东省广州市荔湾区西湾路160号，朱生电话159-8909-6951</t>
  </si>
  <si>
    <t>补充协议：1地下室混凝土掺加的膨胀剂邮需方自行购买和掺加，供方不收取费用，如需方购买的是散装膨胀剂，供方也不收取费用。2如需方购买袋装膨胀剂，并由供方加工，则供方每立方米收取5元的加工费。3由于膨胀剂由需方自行购买，需方应对膨胀剂的质量负完全责任，与供方无关。4供方应配合需方提供相关技术资料，如配合比、回执等。需方向供方提供相关膨胀剂的合格证。</t>
  </si>
  <si>
    <t>结算单价(含税）</t>
  </si>
  <si>
    <r>
      <t>C10 262  C15 272 C20 282 C25 292 C30 302 C35 317 C40 332  C45 347 从2015年</t>
    </r>
    <r>
      <rPr>
        <sz val="11"/>
        <rFont val="楷体_GB2312"/>
        <family val="3"/>
        <charset val="134"/>
      </rPr>
      <t>9月1日起下调7元/方</t>
    </r>
    <r>
      <rPr>
        <sz val="11"/>
        <rFont val="宋体"/>
        <charset val="134"/>
      </rPr>
      <t>C30 295; 从2015年11月1日起下调7元/方；C30 288; 补充协议（四）从2016年3月1日下调5元/方；C30 283；2016年12月11日起上调20元；C30 295元；</t>
    </r>
  </si>
  <si>
    <t>1、抗渗砼P6-P8在原单价上另加收5元/m3；P10-P12在原单价上另加收10元/m3；二、水下桩或坍落度超过180mm时在原单价上另加收15元/ m3；细石混凝土在原单价上另加收15元/ m3；三、路面砼（包括耐磨层、球场、地坪、地面、道路、跑道、车道、找平层或找坡层（除天面、屋面）在原单价上另加收10元/ m3；四、3天早强：≤C30混凝土达到70%加20元/m3；达到80%加25元/m3；达到90%加35元/m3；达到100%加45元/m3；≥C35混凝土强度值达到70%加25元/m3；达到80%加30元/m3；达到90%加40元/m3；达到100%加50元/m3。五、7天早强：≤C30混凝土强度值达到80%加10元/m3；达到90%加15元/m3；达到100%加25元/m3；≥C35混凝土强度值达到80%加15元/m3；达到90%加20元/m3；达到100%加30元/m3；六、清水或无粉煤灰（纯水泥）混凝土≤C35加25元/m3；≥C40加20元/m3；七、掺膨胀剂：普通砼掺6%加30元/m3，掺7%加32.5元/m3.掺8%加35元/m3，掺10%加40元/m3，掺12%加50元/m3，特殊混凝土价格双方另协商。若由需方提供膨胀剂，则供方收取加工费5元/方。</t>
  </si>
  <si>
    <t>按公司提成提；业务信息费7元/方</t>
  </si>
  <si>
    <t>广州市菠萝山保障性住房项目工程施工总承包二标（即中区）</t>
  </si>
  <si>
    <t>崔浩江</t>
  </si>
  <si>
    <t>许工13763323211</t>
  </si>
  <si>
    <t>陈康全</t>
  </si>
  <si>
    <t>杨永广</t>
  </si>
  <si>
    <t>当月货款的80%在次月20日前付清，主体结构封顶后一个月内付至95%，余下5%在主体结构验收之日起一个月内付清。否则，供方有权拒付技术资料，并追究需方违约责任。用支票支付货款的，抬头必须填写供方单位名称。如工地非供方原因导致停供停供，需方必须在最后 一次供应砼之日起15天内将余款全部付清。逾期的按每日万分之五收取违约金。</t>
  </si>
  <si>
    <t>需方每批次浇捣的混凝土尾数只有一车不足6方，超出二车以上，按每车不到6方的差额的部分，另向需方收取30元/方空运费。</t>
  </si>
  <si>
    <t>如遇市场单一原材料价格浮动超过±5%时，双方再协商一次单价。双方应在10天过渡期内协商一致调整混凝土价格：若双方协商不成，应于一个月内付清货款并解除本合同。</t>
  </si>
  <si>
    <t>2015年10月12日付433278元</t>
  </si>
  <si>
    <t>2015年11月4日付1306422元</t>
  </si>
  <si>
    <t>2015年12月28日付1759937.8元</t>
  </si>
  <si>
    <r>
      <t>2016年1月20日付963815元；</t>
    </r>
    <r>
      <rPr>
        <b/>
        <sz val="12"/>
        <color indexed="10"/>
        <rFont val="宋体"/>
        <charset val="134"/>
      </rPr>
      <t>2016年2月G1G2G3主体已封顶。</t>
    </r>
  </si>
  <si>
    <t>2016年5月13日付50万</t>
  </si>
  <si>
    <t>2016年7月22日付856255.93元</t>
  </si>
  <si>
    <t>2016年9月29日付814085.33元</t>
  </si>
  <si>
    <t>2017年2月6日付79618.75元</t>
  </si>
  <si>
    <t>广东敦庆建筑工程有限公司</t>
  </si>
  <si>
    <t>金沙洲B3730E01地块</t>
  </si>
  <si>
    <t>2017年5月付</t>
  </si>
  <si>
    <t>合同编号：CT15-0513（长泰合同）</t>
  </si>
  <si>
    <t>C15：273  C20：283  C25：293  C30：303  C35：318  C40：333  C45：353  C50：378   C55：408  C60：443  砂浆 420 从2015年8月20日起下调7元/方（C30 296)</t>
  </si>
  <si>
    <t>抗渗砼P6-P8在原单价上另加收5元/m3；P10-P12在原单价上另加收10元/m3；水下桩在原单价上另加收15元/ m3；细石混凝土在原单价上另加收10元/ m3；浇筑部位路面砼（包括耐磨层、球场、地坪、地面、道路、跑道、找平层或找坡层（除天面、屋面）在原单价上另加收15元/ m3；清水砼在原单价上另加收25元/ m3；3天早强砼在原单价上另加收30元/ m3；7天早强砼在原单价上另加收20元/ m3；特殊混凝土价格双方另协商；延期付款日利率0.5‰。
    以上材料价格含人工费、材料费(含损耗)、机械费、装卸运输费、过路过桥费、管理费、利润及全过程中保险费用、税金等，泵送混凝土包括泵送费等。</t>
  </si>
  <si>
    <t>广州鼎胜建筑基础工程有限公司</t>
  </si>
  <si>
    <t>业务信息费13元（业务员提成按公司个人业务算）</t>
  </si>
  <si>
    <t>棠下新墟村复建安置房项目
基坑支护工程</t>
  </si>
  <si>
    <t>涂鑫</t>
  </si>
  <si>
    <t>18520123698</t>
  </si>
  <si>
    <t>周业深、陈静元、张晓青</t>
  </si>
  <si>
    <t>黄宇爵、涂鑫</t>
  </si>
  <si>
    <t>当月货款于次月20日内付95%，需方开具30日内的期票予以支付，余款5%于供方提供最后一次供砼的28天强度检测报告资料7日内予以付清</t>
  </si>
  <si>
    <t>尾数只能有一车不足6M3，超出一车以上，按每车达不到6M3的差额部分，另向需方收取30元/M3空运费。</t>
  </si>
  <si>
    <t>因需方实际工程需要，供方提供给需方的混凝土单据（包括混凝土送货单、混凝土结算单、混凝土技术资料、配合比等），施工单位应填写为“广州南建土木工程有限公司”</t>
  </si>
  <si>
    <t>2015年9月23付271185元（期票10.20）-延期10.23</t>
  </si>
  <si>
    <t>2015年10月27日付1596098元（期票11.26）</t>
  </si>
  <si>
    <t>2015年12月17日付25万（期票1.28）</t>
  </si>
  <si>
    <t>2016年01月19日付30万（汇款）+1月18日付30万</t>
  </si>
  <si>
    <t>2016年3月30日付210235元；（期票4.30）--退票</t>
  </si>
  <si>
    <t>2016年4月13日付97790元</t>
  </si>
  <si>
    <t>2016年8月5日付60万</t>
  </si>
  <si>
    <t>2017年6月3日付141261.5元（期票9.20）</t>
  </si>
  <si>
    <t>合同编号：YC-DP-2015-009（长泰合同）</t>
  </si>
  <si>
    <t>C15：305  C20：315  C25：325 C30:335   C35：350  C40：365  C45：385  C50：405  C55：430  C60：460  从2017年1月1日起上调20元；C30 255</t>
  </si>
  <si>
    <t>抗渗砼P6-P8在原单价上另加收5元/m3；P10-P12在原单价上另加收10元/m3；水下桩在原单价上另加收15元/ m3；细石混凝土在原单价上另加收10元/ m3；浇筑部位路面砼（包括耐磨层、球场、地坪、地面、道路、跑道、找平层或找坡层（除天面、屋面）在原单价上另加收15元/ m3；清水砼在原单价上另加收25元/ m3；3天早强砼在原单价上另加收30元/ m3；7天早强砼在原单价上另加收20元/ m3；特殊混凝土价格双方另协商；延期付款日利率0.5‰。8%膨胀剂加30元/方；
    以上材料价格含人工费、材料费(含损耗)、机械费、装卸运输费、过路过桥费、管理费、利润及全过程中保险费用、税金等，泵送混凝土包括泵送费等。</t>
  </si>
  <si>
    <t>广州市公路工程公司</t>
  </si>
  <si>
    <t>按公司业务1.5元/方；业务信息费5元/方；从2015年11月1日起增加6元；总计业务信息费11元/方；</t>
  </si>
  <si>
    <t>东圃立交市政化改造工程、上盖绿地工程</t>
  </si>
  <si>
    <t>13万</t>
  </si>
  <si>
    <t>赖富才</t>
  </si>
  <si>
    <t>13926063989</t>
  </si>
  <si>
    <t>左勇、黄候、黎巨华</t>
  </si>
  <si>
    <t>黄胜明、陈迷</t>
  </si>
  <si>
    <t>当月货款次月20日内付80%，余款20%于每半年结算一次，甲方付款时采用支票或银行转账方式。</t>
  </si>
  <si>
    <t>2016年7月9日至2016年10月17日，因工地需要配合出具小箱梁的资料，我司收到15元的资料费，（其中10元退还给工地，5元为公司收取资料费。）以打空单的方式增加在货款里面，其中空单数打在11月份，待收到货款后将10元的费用退还给工地（扣除税金后须退还给工地的数为155037.51元）</t>
  </si>
  <si>
    <t>2015年8月27付313004元</t>
  </si>
  <si>
    <t>2015年9月18付151850元</t>
  </si>
  <si>
    <t>2015年10月28日付347744元</t>
  </si>
  <si>
    <t>2015年11月17日付1051636元</t>
  </si>
  <si>
    <t>2015年12月28日付1303006元</t>
  </si>
  <si>
    <t>2016年1月28日付357947元；+433862元；+1227207.5元；1089515元；</t>
  </si>
  <si>
    <t>2016年03月11日付1668454元；2016年3月30日付700390元</t>
  </si>
  <si>
    <t>2016年4月25日付2266494元；</t>
  </si>
  <si>
    <t>2016年5月26日付1487028元；+687368元；</t>
  </si>
  <si>
    <t>2016年7月4日付2157928元；7月29日付2405747.5元</t>
  </si>
  <si>
    <t>2016年8月4日付2241915.5元</t>
  </si>
  <si>
    <t>2016年8月26日付2213224元</t>
  </si>
  <si>
    <t>2016年9月24付1998598元</t>
  </si>
  <si>
    <t>2016年10月21日付1963162元</t>
  </si>
  <si>
    <t>2016年11月25日付2137620元</t>
  </si>
  <si>
    <t>2016年12月27日付1909432元12.19号（退空单款：155037.15元-账务总表收款直接减去）</t>
  </si>
  <si>
    <t>2017年1月17日付5045221.5元</t>
  </si>
  <si>
    <t>2017年2月28日付375282元</t>
  </si>
  <si>
    <t>2017年3月9日付1030608元；</t>
  </si>
  <si>
    <t>2017年4月27日付391162元</t>
  </si>
  <si>
    <t>2017年5月26日付287918元</t>
  </si>
  <si>
    <t>2017年6月23日付205888元</t>
  </si>
  <si>
    <t>2017年7月28日付565772元</t>
  </si>
  <si>
    <t>合同编号：CT15-0617（长泰合同）</t>
  </si>
  <si>
    <t>C15：260  C20：270  C25：280  C30：290  C35：305  C40：320  C45：340  C50：365   C55：395  C60：430 砂浆 420</t>
  </si>
  <si>
    <t>广东鸿建建筑工程有限公司</t>
  </si>
  <si>
    <t>每立方增加5％</t>
  </si>
  <si>
    <t>业务员提成公司业务1.5元/m3;信息费每立方12元</t>
  </si>
  <si>
    <t>海珠名车博览会</t>
  </si>
  <si>
    <t>张俊红</t>
  </si>
  <si>
    <t>1892875716</t>
  </si>
  <si>
    <t>叶红旗</t>
  </si>
  <si>
    <t>供需方双方当月货款截止于次月5日前进行结算，次月15日前双方对账确认，需方即付款项目的100%。需方必须在最后一次供应砼之日起15天内将余款全部付清。逾期按每日万分之五收取违约金。</t>
  </si>
  <si>
    <t>需方每次只能有一车不足9m3，超出一车以上，按每车达不到9m3的差额部份，另收取30元/m3空运费</t>
  </si>
  <si>
    <t>2015年8月5日付253885元</t>
  </si>
  <si>
    <t>2015年9月6日付100万+2015年9月20日付673400元（期票10.20）--延期10.23</t>
  </si>
  <si>
    <t>2015年11月27日付40万（期票2015.12.16）</t>
  </si>
  <si>
    <t>诉讼费21398元（受理费16398元；财产保全费5000元</t>
  </si>
  <si>
    <t>2016.1.11</t>
  </si>
  <si>
    <t>长兴合同编号：NF-BLGG-CL-001</t>
  </si>
  <si>
    <t>佛山南海桂城简平路天佑创富大厦A座1513室。中国建筑第三工程公司佛山分公司  焦莹。1-868-045-9411。平台录入联系人：13928817735谢工。13434177640高工保利140地块</t>
  </si>
  <si>
    <t>C15：235  C20：245  C25：255  C30：265 C35：280  C40：295  C45：315  C50：340   C55：360  C60：380 从2016年12月10日至2016年12月31日增加25元；从2017年1月1日开始增加15元；C30 280</t>
  </si>
  <si>
    <t>抗渗P6-P8增加6元/m3；抗渗p10-p12增加10元/m3；水下砼增加15元/m3；微膨胀6%-8%增加30元/m3；微膨胀10%-12%增加40元/m3；早强三天达100%增加40元/m3；早强5天达75%增加20元/m3；早强7天达到75%增加10元/m3；加UEA增加30元/m3；加纤维增加30元/m3；细石混凝土增加15元/m3（金额为在同等标号混凝土价格上每立方另加金额）。</t>
  </si>
  <si>
    <t>调整方式如下</t>
  </si>
  <si>
    <t>在本工程供应期间，价格调整以广州市建设工程造价管理站发布的2015年第三季度信息价为基准，涨跌在±5%以内不作任何调整，涨跌若超过±5%，则仅对超过±5%以外的价格进行同比例调整。计算方式为：若（C-B)/B＞±5%，则D=A[(C-B)/B-5%];若（C-B)/B＞-5%,则D=-A[/(C-B)/B-5%](A表示本次商混凝土对应的合同价；B表示2015年第三季度《广州市工程造价信息》中对应的各标号商混凝土信息价；C表示供应期间当季度《广州市造价信息》对应的各标号商品混凝土信息价；D表示在原合同价基础上应调整的价格。）</t>
  </si>
  <si>
    <t>中建三局集团有限公司佛山分公司</t>
  </si>
  <si>
    <t>按公司业务1.5元/方；业务信息费3元/方；</t>
  </si>
  <si>
    <t>保利广钢新城项目</t>
  </si>
  <si>
    <t>符志伟；谢海波、高美贞</t>
  </si>
  <si>
    <t>按月办结算，结算周期为上月16日至本月15日所供混凝土数量，供应商结算时提供符合内容的相应发票，总包商在第3个月底前支付已结算价款的70%（如7月办理结算，9月底前支付），主体结构封顶后六个月内付款至结算价款的95%（验收资料提供完毕），余款5%作为质量保证金在工程竣工验收合格后一个月内支付。</t>
  </si>
  <si>
    <t>总包商每次浇筑部位小于6立方米的尾数提供两次，如果再增加小于6立方米的尾数或单次要求供货不足6立方米时，总包商按空置这方量（空置方量=6-甲方要求供应量）向乙方支付每立方米30元空置费。</t>
  </si>
  <si>
    <t>因供应商不能按总包商要求时间供应混凝土（超出总包商要求时间三小时），每延期一天供应，供应商除承担因此导致总商工期延误所造成的一切经济损失（包括但不限总包商须支付给开发商的工期违约金）外，还应支付合同总金额1%的违约金，违约金上限不超过合同总金额1%的上限仍不按期供应混凝土的，总包商有权单方解除合同。</t>
  </si>
  <si>
    <t xml:space="preserve">2015年10月16日至2016年1月15日 </t>
  </si>
  <si>
    <t xml:space="preserve">2016年1月16日至2016年3月15日 </t>
  </si>
  <si>
    <t xml:space="preserve">2016年3月16日至2016年4月15日 </t>
  </si>
  <si>
    <t>2016年8月4日付4646858.95元+2016年8月31日付1491980元</t>
  </si>
  <si>
    <t>2016年7月16日至2016年8月16日</t>
  </si>
  <si>
    <t>2016年8月16日至2016年9月16日</t>
  </si>
  <si>
    <t>2016年10月14日付150万</t>
  </si>
  <si>
    <t>8月25日1#楼天面层，9月19日2#楼天面层，8月14日6#楼天面层，9月11日7#楼天面层，10月19日8#楼天面层梁板</t>
  </si>
  <si>
    <t>2016年11月14日至2016年12月13日</t>
  </si>
  <si>
    <t>2017年1月22日付160万</t>
  </si>
  <si>
    <t>2016年12月14日至2017年2月15日</t>
  </si>
  <si>
    <t>2017年2月14日至2017年4月12日</t>
  </si>
  <si>
    <t>2017年3月28日付379934.5元</t>
  </si>
  <si>
    <t>2017年4月13日至2017年6月5日</t>
  </si>
  <si>
    <t>2017年7月4日付921805.43元；</t>
  </si>
  <si>
    <t>2017年6月6日至2017年7月10日</t>
  </si>
  <si>
    <t>2017年7月11日至2017年8月10日</t>
  </si>
  <si>
    <t>2017年9月6日付80万</t>
  </si>
  <si>
    <t>2016.4.27</t>
  </si>
  <si>
    <t>长兴合同编号：局粤物CG2016007</t>
  </si>
  <si>
    <t>18566355189符志伟</t>
  </si>
  <si>
    <t>工程地址：广州市荔湾区芳村大道以西鹤洞路以南广钢新城AF040416、AF040415地块</t>
  </si>
  <si>
    <t>C10 218 C15 228 C20 238 C25 248 C30 258 C35 273 C40 288 C45 308 C50 333 C55 355 C60 375 砂浆 与同标号混凝土同价从2016年12月10日至2016年12月31日增加32元；从2017年1月1日开始增加22元；C30 280</t>
  </si>
  <si>
    <t>抗渗P6-P8增加5元/方；P10-P12增加10元/方；水下砼增加15元/方；微膨胀6%-8%增加30元；微膨胀10%-12%增加40元/方；早强3天达75%增加20元/方；早强5天达75%增加12元/方；早强7天达75%增加10元/方；加UEA增加30元/方；加纤维增加30元/方；细石混凝土增加15元/方；（金额为在同等标号混凝土价格上每立方另加金额。）</t>
  </si>
  <si>
    <t>佛山市南海区简平路天安数码城天佑创富大厦A座1408室，罗焕收185 2094 2986</t>
  </si>
  <si>
    <t>当原材料价格波动时，对混凝土价格进行调整，调整方式如下：在本工程供应期间，价格调整以广州市建设工程造价管理站（发布的2016年第一季度信息价为基准，涨跌±5%，则仅对超过±5%以外的价格进行同比例调整。计算方法为：若（C-B)/B&gt;±5%,则D=A[(C-B)/B&gt;±5%,则D=A{(C-B)/B-5%]; 若（C-B)/B&gt;5%,则D=-A[/(C-B)//B-5%]（A表示本次商品混凝土对应的合同价；B表示2016年度第一季度《广州市工程造价信息》中对应的各标号商品混凝土信息价；C表示供应期间当季度《广州市造价信息》对应的标号商品混凝土信息价；D表示在原合同价基础上应调整的价格。）</t>
  </si>
  <si>
    <t>中海广钢新城项目</t>
  </si>
  <si>
    <t>按公司规定提成提；业务信息费3元/方；</t>
  </si>
  <si>
    <t>按月办理结算，结算周期为上月16日至本月15日所供混凝土数量，供应商结算时提供符合合同内容的相应发票，总包商在第三个月月底前支付已结算价款的70%（如7月办理结算，9月底前支付），主体结构封顶后6个月内付款至结算价款的95%（验收资料提供完毕），余款5%作为质量保证金在工程竣工后1个月内支付。</t>
  </si>
  <si>
    <t>符志伟</t>
  </si>
  <si>
    <t>符志伟18566355189</t>
  </si>
  <si>
    <t>监理单位:广州广骏工程监理有限公司</t>
  </si>
  <si>
    <t>总包商每次浇筑部位小于6立方米的尾数提供两次，如果再增加小于6立方米的尾单次要求供货不足6立方米时，总包商按空置方量（空置方量=6-甲方要求供应量）向乙方支付每立方米30元空置费。</t>
  </si>
  <si>
    <t>2016.3.4-2016.5.15</t>
  </si>
  <si>
    <t>2016.5.16-2016.6.15</t>
  </si>
  <si>
    <t>2016.6.16-2016.7.15</t>
  </si>
  <si>
    <t>2016年8月4日付250万元+2016年8月31日付200万</t>
  </si>
  <si>
    <t>2016.7.16-2016.8.16</t>
  </si>
  <si>
    <t>2016.8.16-2016.9.17</t>
  </si>
  <si>
    <t>2016.9.16-2016.10.15</t>
  </si>
  <si>
    <t>2016年10月14日付1665269.74元</t>
  </si>
  <si>
    <t>2016.10.16-2016.11.16</t>
  </si>
  <si>
    <t>2016年11月16日付100万元+11月25日付1139420.85元</t>
  </si>
  <si>
    <t>2016.11.14-2016.12.13</t>
  </si>
  <si>
    <t>2016.12.14-2017.1.8</t>
  </si>
  <si>
    <t>2017年1月20日付150万</t>
  </si>
  <si>
    <t>2016.1.9-2017.3.15</t>
  </si>
  <si>
    <t>2017年3月28日付150万元</t>
  </si>
  <si>
    <t>2017.3.16-2017.4.12</t>
  </si>
  <si>
    <t>2017年4月21付949283.10元</t>
  </si>
  <si>
    <t>2017.4.13-2017.5.12</t>
  </si>
  <si>
    <t>2017年7月4日付1288280.35元</t>
  </si>
  <si>
    <t>2017.5.13-2017.6.10</t>
  </si>
  <si>
    <t>2017.6.11-2017.8.10</t>
  </si>
  <si>
    <t>2017年8月24日付100万</t>
  </si>
  <si>
    <t>2016.8.19</t>
  </si>
  <si>
    <t>长兴合同编号：局粤物CG2016082</t>
  </si>
  <si>
    <r>
      <t xml:space="preserve">联系人：曾雪峰，13246828560，495715646@qq.com
</t>
    </r>
    <r>
      <rPr>
        <b/>
        <sz val="12"/>
        <rFont val="Arial"/>
        <family val="2"/>
      </rPr>
      <t>   </t>
    </r>
    <r>
      <rPr>
        <b/>
        <sz val="12"/>
        <rFont val="楷体_GB2312"/>
        <family val="3"/>
        <charset val="134"/>
      </rPr>
      <t xml:space="preserve"> 联系地址：佛山市南海区桂城简平路天安数码城天佑创富大厦1408室。234886196@qq.com,中交集团兰瑞的邮箱，电话 18665459998</t>
    </r>
  </si>
  <si>
    <t>B区用地面积51656平方米，建筑面积129497平方米，容积率4.53，设计高度为187米，建筑功能为办公。</t>
  </si>
  <si>
    <t>C10 210 C15 220 C20 215 C25 240 C30 250 C35 260 C40 273 C45 295 C50 320 C55 345 C60 353 从2016年12月10日至2016年12月31日增加40元；从2017年1月1日开始增加30元；C30 280</t>
  </si>
  <si>
    <t>抗渗P6-P8加5元；p12-p10加10元；抗膨胀剂6%-8%加30元；抗膨胀剂10%-10%加40元；水下桩加15元；三天早强达75%加20元；5天达75%加10元；瓜米石加15元；纤维加30元；润泵砂浆按同等级混凝土；2017年1月4日前TC-01防水剂加30元；2017年1月4日FSD型防水剂后加5元</t>
  </si>
  <si>
    <t>价格调整以广州市建设工程造价管理站发布的2016年第一季度信息价为基准，涨跌在正负5%以内不作任何调整，若（C-B)/B&gt;±5%,则D=A[(C-B)/B&gt;-5%,则D=-A[│(C-B)│/B-5%](A表示本次混凝土对应的合同价，B表示2016年第一季度信息价对应标号混凝土信息价；C表示供应期间当季度对应标号混凝土信息价；D表示在原合同价基础上调整的价格。</t>
  </si>
  <si>
    <t>项目分A、B、C三区建设，建筑群包括3栋高度分别为150米、187米、200米的塔楼。其中A建筑呈"1"字型，B,C建筑呈两个"0"字型，三栋建筑由西往东排列成"001"组合，由东往西看则呈"100"状态，建成后将成为广州市富有特色的新地标性建筑。</t>
  </si>
  <si>
    <t>按公司项目1.5元/立方；业务信息费5元/方</t>
  </si>
  <si>
    <t>中交南方总部基地B区土建工程项目</t>
  </si>
  <si>
    <t>梁清淼</t>
  </si>
  <si>
    <t>兰瑞18665459998</t>
  </si>
  <si>
    <t>兰瑞18665459998；黄开奎（QQ:863889283)</t>
  </si>
  <si>
    <t>结算周期为上月16日至本月15日，总包商审核后，于第五个月月底按已结算价款的70%扣除相关费用后支付给供应商，25%的余款在主体封顶后6个月内支付（验收资料提供完毕）余款5%作为质量保证金在项目竣工后一个月内支付。</t>
  </si>
  <si>
    <t>总包商每次浇筑部位小于6方的尾数提供两次，如果再增加小于6方的尾数时，总包商按空置方量（空置方量=6-总包商要求供应量）向供应商支付30元/方的空置费。</t>
  </si>
  <si>
    <t>2016年5月16日至7月15日</t>
  </si>
  <si>
    <t>2016年7月16日至8月16日</t>
  </si>
  <si>
    <t>2016年8月16日至9月17日</t>
  </si>
  <si>
    <t>2016年12月21日付1818931.12元（承兑2017.6.20）+50万（2017.6.20）+200万（承兑17.6.20）+250万（承兑17.6.20）</t>
  </si>
  <si>
    <t>2016年10月16日至2016年11月13日</t>
  </si>
  <si>
    <t>2017年1月22日付2173021.85元（承兑2017.7.18）--财务未入账</t>
  </si>
  <si>
    <t>2016年12月14日至2017年1月8日</t>
  </si>
  <si>
    <t>2017年1月9日至2017年2月14日</t>
  </si>
  <si>
    <t>2017年2月9日至2017年3月14日</t>
  </si>
  <si>
    <t>2017年3月15日至2017年4月12日</t>
  </si>
  <si>
    <t>2017年4月13日至2017年5月13日</t>
  </si>
  <si>
    <t>2017年5月14日至2017年6月10日</t>
  </si>
  <si>
    <t>2017年5月15日付50万</t>
  </si>
  <si>
    <t>2016年12月10日至2017年6月10日调差</t>
  </si>
  <si>
    <t>2017年6月16日付11654757.7元</t>
  </si>
  <si>
    <t>2017年6月11日至2017年7月11日</t>
  </si>
  <si>
    <t>中交向中建三局申请进度款明细</t>
  </si>
  <si>
    <t>当月货款付85%</t>
  </si>
  <si>
    <t>2016年05月3日至2016年10月25日</t>
  </si>
  <si>
    <t>2016年10月26日至2016年11月25日</t>
  </si>
  <si>
    <t>2016年11月26日至2016年12月26日</t>
  </si>
  <si>
    <t>2017年12月26日至2017年1月25日</t>
  </si>
  <si>
    <t>2017年1月26日至2017年3月25日</t>
  </si>
  <si>
    <t>2017年3月26日至至2017年4月25日</t>
  </si>
  <si>
    <t>2017年4月26日至2017年5月25日</t>
  </si>
  <si>
    <t>第一次开票数</t>
  </si>
  <si>
    <t>第二次开票数</t>
  </si>
  <si>
    <t>第三次开票数</t>
  </si>
  <si>
    <t>第四次开票数</t>
  </si>
  <si>
    <t>第五次开票数</t>
  </si>
  <si>
    <r>
      <t>长泰合同编号：CT16-0906（2016）购合字200号</t>
    </r>
    <r>
      <rPr>
        <b/>
        <sz val="10"/>
        <color indexed="10"/>
        <rFont val="宋体"/>
        <charset val="134"/>
      </rPr>
      <t>从2017年6月1日起长兴合同：（2017）购合安166号</t>
    </r>
  </si>
  <si>
    <t>657080234@qq.com黄工</t>
  </si>
  <si>
    <r>
      <t>C10 222 C15 222 C20 232 C25 242 C30 252 C35 267 C40 282 C45 302从2016年12.12至12.31上调30元；2017.1.1起上调21元。</t>
    </r>
    <r>
      <rPr>
        <sz val="11"/>
        <color indexed="10"/>
        <rFont val="宋体"/>
        <charset val="134"/>
      </rPr>
      <t>从2017年6月1日长兴合同执行以下单价：C15 243 C20 253 C25 263 C30 273 C35 288 C40 303 C45 323 C50 343 C55 368 C60 393 C65 423 C70 513 高抛砼单价 C40 403 C45 413 C50 438 C55 453 C60 473 C65 493 C70 573</t>
    </r>
  </si>
  <si>
    <t>1、抗渗砼：P6-P8按同等级普通砼增加5元/ m³P10-P12按同等级普通砼增加10元/ m³。
2、水下桩在原单价上另加收15元m³；细石混凝土在原单价上另加收10元/ m³
3、路面砼（包括耐磨层、球场、地坪、地面、道路、跑道、找平层或找坡层（除天面、屋面）在原单价上另加收10元/ m³
4、3天早强：加20元/ m³。
5、7天早强：加10元/ m³。
6、清水或无粉煤灰（纯水泥）混凝土≤C35加25元/ m³；≥C40加20元/ m³
7、掺膨胀剂：掺6%加25元/ m³；掺8%加30元/ m³；掺10%加35元/ m³；掺12%加40元/ m³。
8、特殊混凝土价格双方另协商。瓜米石混凝土加价15元/方；
9、润泵砂浆单价按同批次混凝土单价。以上单价含税。</t>
  </si>
  <si>
    <t>广州协安建设工程有限公司</t>
  </si>
  <si>
    <t>砼单项材料（水泥、砂、石）涨落幅度在5%以内(含5%)时砼价格不作调整；2、单项材料涨落幅度超过5%时，超过5%的部分需经双方协商，按单项材料市场价价差换算砼价差，在确定砼价差调整金额的当月按本合同第九条规定的比例支付或抵扣；3、供方砼报价已经包含水泥材料价格，如水泥材料由需方提供，砼货款应扣除水泥材料的价款和费用。</t>
  </si>
  <si>
    <t>华南国际港航服务中心二期项目</t>
  </si>
  <si>
    <t xml:space="preserve">提成 </t>
  </si>
  <si>
    <t>按公司业务提成1.5算；业务信息费4元/方</t>
  </si>
  <si>
    <r>
      <t>每月30日结算单核对，需方应在五天内核对数量并确认签名、盖章，货款需方于次月10日前付清80</t>
    </r>
    <r>
      <rPr>
        <sz val="11"/>
        <rFont val="宋体"/>
        <charset val="134"/>
      </rPr>
      <t>﹪</t>
    </r>
    <r>
      <rPr>
        <sz val="11"/>
        <rFont val="楷体_GB2312"/>
        <family val="3"/>
        <charset val="134"/>
      </rPr>
      <t>，20</t>
    </r>
    <r>
      <rPr>
        <sz val="11"/>
        <rFont val="宋体"/>
        <charset val="134"/>
      </rPr>
      <t>﹪</t>
    </r>
    <r>
      <rPr>
        <sz val="11"/>
        <rFont val="楷体_GB2312"/>
        <family val="3"/>
        <charset val="134"/>
      </rPr>
      <t>在主体结构封顶2个月内付清。</t>
    </r>
  </si>
  <si>
    <t>如非供方原因造成的，需方要求供应的混凝土每天（每批次）只能有三车不足5方，超出此车数，需方应按（超出的车数）每车30元的运费补偿给供方。</t>
  </si>
  <si>
    <t>吴武彬</t>
  </si>
  <si>
    <t>结算单</t>
  </si>
  <si>
    <t>2016年5月至2016年10月</t>
  </si>
  <si>
    <t>2016年12月20日付60万</t>
  </si>
  <si>
    <t>上调30元价差</t>
  </si>
  <si>
    <t>2017年1月16日付180万</t>
  </si>
  <si>
    <t>2017年3月14日付60万；</t>
  </si>
  <si>
    <t>2017年5月24日付66万</t>
  </si>
  <si>
    <t>上调21元调差</t>
  </si>
  <si>
    <t>2017年8月29日付929469元</t>
  </si>
  <si>
    <t>2017年6月1日起长兴合同：（2017）购合安166号</t>
  </si>
  <si>
    <t>从2017年6月1日长兴合同执行以下单价：C15 243 C20 253 C25 263 C30 273 C35 288 C40 303 C45 323 C50 343 C55 368 C60 393 C65 423 C70 513 高抛砼单价 C40 403 C45 413 C50 438 C55 453 C60 473 C65 493 C70 573从2017年7月1日起C30 278高抛砼单价 C40 403 C45 413 C50 438 C55 453 C60 473 C65 493 C70 573</t>
  </si>
  <si>
    <r>
      <t>长泰合同编号：恒盛合新字2016-131号</t>
    </r>
    <r>
      <rPr>
        <b/>
        <sz val="10"/>
        <color indexed="10"/>
        <rFont val="宋体"/>
        <charset val="134"/>
      </rPr>
      <t>从2017.6.1改为长兴合同；编号恒盛合新字2017-81号</t>
    </r>
  </si>
  <si>
    <t xml:space="preserve">本项目建筑面积31066平方米，拟新建公共租赁住房两栋，建筑面积为21948平方米，最高层数高为33层、地下2层，最高建筑高度为98米，367套，共建配套2658平方米，地下室6147平方米，以及绿化、道路与广场、供配电、给排水等配套工程。本项目最大单体建筑面积为30112.27平方米，单跨最大跨度6米。 
</t>
  </si>
  <si>
    <r>
      <t>C15 225 C20 235 C25 245 C30 255 C35 270 C40 285 C45 305 C50 325 C55 350 C60 375 从2016年7月15日至2016年9月30日起上调20元 C30 275 从2016年10月15日上调10元；2016年10月25日上调15元；C30 280 从2016年12月12日起上调40元 C30 320；</t>
    </r>
    <r>
      <rPr>
        <sz val="11"/>
        <color indexed="10"/>
        <rFont val="宋体"/>
        <charset val="134"/>
      </rPr>
      <t xml:space="preserve">从2017年6月1日起长兴合同单价：C15 260 C20 270 C25 280 C30 290 C35 305 C40 320 C45 340 C50 360 C55 385 C60 410 砂浆320 </t>
    </r>
  </si>
  <si>
    <r>
      <t>若混凝土需增加SY-G型高性能膨胀抗裂剂(砼水泥含量的10%-12%)则砼增加30元/M3，</t>
    </r>
    <r>
      <rPr>
        <sz val="9"/>
        <color indexed="10"/>
        <rFont val="宋体"/>
        <charset val="134"/>
      </rPr>
      <t>（来料加工费收取10元/方）</t>
    </r>
    <r>
      <rPr>
        <sz val="9"/>
        <rFont val="宋体"/>
        <charset val="134"/>
      </rPr>
      <t xml:space="preserve">抗渗P6-P8 砼增加5元/M3，抗渗P10-P12砼增加10元/M3，C25、C30五天早强达90％，每M3加30元。瓜米石加15元/M3，水下砼加10元/M3 ，泵送混凝土用砂浆450元/M3 ，如需方要求掺加特殊材料的砼，价格另议。
2、本单价随着混凝土原材料价格、运输成本变动上下浮再作调整，调整幅度根据区域混凝土市场价格调整，单价变动前，双方签定补充协议。若双方协商不成，供、需双方均有权随时终止合同。
</t>
    </r>
  </si>
  <si>
    <t>本单价随着混凝土原材料价格、运输成本变动上下浮再作调整，调整幅度根据区域混凝土市场价格调整，单价变动前，双方签定补充协议。若双方协商不成，供、需双方均有权随时终止合同。</t>
  </si>
  <si>
    <t xml:space="preserve"> 广州出入境边防检查总站南洲路保障性住房项目施工总承包工程</t>
  </si>
  <si>
    <t>梁卫民</t>
  </si>
  <si>
    <t>按公司业规定提；业务信息费5元</t>
  </si>
  <si>
    <t>当月货款（当月为第一个月）于第三个月25日前付清，否则，供方有权停止供货并且有权拒付技术资料，并追究需方违约责任。用支票支付货款的，抬头必须填写供方单位名称。此工地不论什么原因导致停供，需方必须在最后一次供应混凝土之日起15天内将余款全部付清，逾期的按每日万分之五收取违约金。</t>
  </si>
  <si>
    <t>梁卫民（电话：13660199729）和邱诗波（电话：13692009811）</t>
  </si>
  <si>
    <t>陈木炎（电话：13501419593）和梁卫民（电话：13660199729）</t>
  </si>
  <si>
    <t>2016年11月25日付50万；11月29日付521400元</t>
  </si>
  <si>
    <t>2017年4月10日付10万</t>
  </si>
  <si>
    <t>2017年6月30日付1002492.5元（期票8.10）</t>
  </si>
  <si>
    <t>从2017.6.1改为长兴合同；编号恒盛合新字2017-81号</t>
  </si>
  <si>
    <t xml:space="preserve">从2017年6月1日起长兴合同单价：C15 260 C20 270 C25 280 C30 290 C35 305 C40 320 C45 340 C50 360 C55 385 C60 410 砂浆320 </t>
  </si>
  <si>
    <t>签定日期：2011年4月2日</t>
  </si>
  <si>
    <t>合同编号:                               房建合（分）字（2011）41号</t>
  </si>
  <si>
    <t>关：18620285623（对账及收款事宜）,84012327</t>
  </si>
  <si>
    <t>C10:235  C15:245  C20:255  C25:265  C30:275 C35:285  C40:300  C45:315  M5：380元，M7.5:390元,M10:405元,M15:410元,M20:420元,(防水加20元),2011年9月12日上调10元，2012年2月1日下调10元，2月20日上调8元，C30：283元</t>
  </si>
  <si>
    <t>P6-P8加5元，P10-P12加10元，早强加10元，细石加15元，水下桩加15元</t>
  </si>
  <si>
    <t>已出具混凝土供应承诺书</t>
  </si>
  <si>
    <r>
      <t>业务信息费5元</t>
    </r>
    <r>
      <rPr>
        <sz val="12"/>
        <rFont val="宋体"/>
        <charset val="134"/>
      </rPr>
      <t>/m3，提成按公司规定</t>
    </r>
  </si>
  <si>
    <t>大塘小区A0-1～3栋工程施工总承包</t>
  </si>
  <si>
    <t>25361m3，合同总价7168270</t>
  </si>
  <si>
    <t>曹炳源</t>
  </si>
  <si>
    <t>83335817   83312929</t>
  </si>
  <si>
    <t>黄志燕或张金象</t>
  </si>
  <si>
    <t>每月25日前付清上月所有砼款给供方，依此类推，直至全部货款结清为止。需方逾期付款的五天后，供方有权停止供货。</t>
  </si>
  <si>
    <t>混凝土负差在1.5%内(超过1.5%时,当日该批各车均按连续抽三车以上实际平均负差计算).</t>
  </si>
  <si>
    <t>需方每批次浇捣砼允许二次报尾数(批次量超过100m3),单车量不足7m3,按每车达不到7m3差额部分另向需方收取30元/m3的空运费.</t>
  </si>
  <si>
    <t>2011年4月15日付487890元</t>
  </si>
  <si>
    <t>2011年6月8日付352480元</t>
  </si>
  <si>
    <t>2011年4月22日赔偿费用</t>
  </si>
  <si>
    <t>2011年7月7日付383955元</t>
  </si>
  <si>
    <t>2011年9月8日付126431.52元</t>
  </si>
  <si>
    <t>2011年10月12日付562360元</t>
  </si>
  <si>
    <t>2011年11月17日付706415元</t>
  </si>
  <si>
    <t>2011年12月20日付763182.5元</t>
  </si>
  <si>
    <t>2011年1月9日付895072.5元</t>
  </si>
  <si>
    <t>2012年2月29日付781590元</t>
  </si>
  <si>
    <t>2012年3月21日付308329.67元</t>
  </si>
  <si>
    <t>2012年4月23日付329985元</t>
  </si>
  <si>
    <t>2012年5月25日付727805元</t>
  </si>
  <si>
    <t>2012年6月11日付569413元</t>
  </si>
  <si>
    <t>2012年8月2日付40万元</t>
  </si>
  <si>
    <t>2012年10月23日付521045.5元</t>
  </si>
  <si>
    <t>2011年1月税款</t>
  </si>
  <si>
    <t>2013年8月7日付18173元</t>
  </si>
  <si>
    <t>2014年1月付10000元</t>
  </si>
  <si>
    <t>2015年2月14付10000</t>
  </si>
  <si>
    <t>2016年02月4日付17962元；</t>
  </si>
  <si>
    <t>合同编号：局粤物（G2016107)</t>
  </si>
  <si>
    <t>广东广州花都区新华路以南 花都湖以西工程阶段:构思工程造价:49000万元建筑面积:232078平方米兴建数幢住宅楼,占地面积约为128,884平方米,总建筑面积为232,078平方米。</t>
  </si>
  <si>
    <t>工程地址：广州市花都区新华路92号</t>
  </si>
  <si>
    <t>C10 220 C15 230 C20 240 C25 250 C30 260 C35 270 C40 285 C45 305 C50 330 C55 355 C60 380 从2016年12月10日至2016年12月31日增加50元；从2017年1月1日开始增加20元；C30 280</t>
  </si>
  <si>
    <t>抗渗P6-P8加5元；p12-p10加10元；微膨胀剂6%-8%加30元；抗膨胀剂10%-10%加35元；水下桩加15元；三天早强达75%加20元；5/7天达75%加10元；加UEA增加35元/方；细石加15元；纤维加30元；润泵砂浆按同等级混凝土；纯水泥加25元；（打成空单形式）</t>
  </si>
  <si>
    <t>在本工程供应期间，价格调整以广州市建设工程造价管理站发布的2016年第二季度信息价主基准，价格调整计算方法为：D=A*(C-B)/B（A表示合同中混凝土对应单价，B表示2016年第二季度《广州工程造价信息》中对应的各标号泵送混凝土信息价；C表示供应期间当季度《广州工程造价信息》中对应的各标号泵送混凝土信息价；D表示合同基础上应调整的价格”。</t>
  </si>
  <si>
    <t>花都华美都湖国际一期公建配套及住宅区工程项目</t>
  </si>
  <si>
    <t>高美贞</t>
  </si>
  <si>
    <t>18565254876</t>
  </si>
  <si>
    <t>按公司业务1.5元；业务信息费3元</t>
  </si>
  <si>
    <t>按月办理结算，供应商向总包商提供税率为3%的增值税普通发票。总包商第8个月月底前支付第一个月已结算价款的70%，第9个月月底前支付第二个月已结算价款的70%，依次类推，主体结构封顶后8个月内付款至结算价款的95%（验收资料提供完毕），余款的5%作为质量保证金在主体结构验收满一年后支付。如因供应商原因未能按时办理结算，由此造成的付款延期等一切责任由供应商负责。</t>
  </si>
  <si>
    <t>总包商每次浇筑部位小于6立方米的尾数提供两次，如果再增加小于6立方米的尾数或音效要求供货不足6立方米时，总包商按空置方量（空置方量=6-甲方要求供应量）向乙方支付每立方米30元空置费。</t>
  </si>
  <si>
    <t>高美贞18565254876</t>
  </si>
  <si>
    <t>高美贞、黄开奎、张龙</t>
  </si>
  <si>
    <t>序号</t>
  </si>
  <si>
    <t>广州市公路工程有限公司</t>
  </si>
  <si>
    <t>2016.1.1-2016.7.15</t>
  </si>
  <si>
    <t>中建三局</t>
  </si>
  <si>
    <t>2016.7.16-2016.8.15</t>
  </si>
  <si>
    <t>广州市协安工程建设有限公司</t>
  </si>
  <si>
    <t>2016.8.16-2016.9.15</t>
  </si>
  <si>
    <t>中建三局南方公司</t>
  </si>
  <si>
    <t>中交集团南方总部基地</t>
  </si>
  <si>
    <t>花都都湖国际一期项目</t>
  </si>
  <si>
    <t>（中建三局南方公司）</t>
  </si>
  <si>
    <t>中海广钢新城AF040416地块C4C5栋总承包工程</t>
  </si>
  <si>
    <t>个人</t>
  </si>
  <si>
    <t>广州市出入境边防检查南洲路保障性住房项目施工总承包</t>
  </si>
  <si>
    <t>2017.1.9-2017.2.14</t>
  </si>
  <si>
    <t>2017.2.9-2017.3.14</t>
  </si>
  <si>
    <t>2017年3月28日付440534.5元</t>
  </si>
  <si>
    <t>2017.3.15-2017.4.11</t>
  </si>
  <si>
    <t>2017.4.12-2017.5.11</t>
  </si>
  <si>
    <t>2017年5月25日付290元（期票5.25）</t>
  </si>
  <si>
    <t>2017.5.12-2017.6.10</t>
  </si>
  <si>
    <t>2017年6月30日付320元</t>
  </si>
  <si>
    <t>2017.6.11-2017.7.10</t>
  </si>
  <si>
    <t>2017年8月4日付300万</t>
  </si>
  <si>
    <t>2017.7.11-2017.8.10</t>
  </si>
  <si>
    <t>2017年9月6日付270万</t>
  </si>
  <si>
    <t>2017.5.1</t>
  </si>
  <si>
    <t>长兴合同编号：局粤物CG2017054</t>
  </si>
  <si>
    <t>广州市海珠区琶洲；建筑面积为8000平方米</t>
  </si>
  <si>
    <t>C10 260 C15 260 C20 265 C25 275 C30 285 C35 300 C40 315 C45 335 C50 355 C55 380 C60 410 C65 470</t>
  </si>
  <si>
    <r>
      <t>抗渗P6+5元/ m3；抗渗P8+5元/ m3；抗渗P10+ 10元/ m3；抗渗P12+10元/ m3；细石砼（瓜米粒）+15元/ m3 ；早强3天达75%砼+20元/ m3 ；早强5/7天达75%砼+15元/ m3 ；微膨胀6%-8%+35元/ m3 ；微膨胀10%-12%+45元/ m3 ；水下砼+15元/ m3 ；纤维（0.9kg/m</t>
    </r>
    <r>
      <rPr>
        <sz val="10"/>
        <rFont val="宋体"/>
        <charset val="134"/>
      </rPr>
      <t>³</t>
    </r>
    <r>
      <rPr>
        <sz val="10"/>
        <rFont val="楷体_GB2312"/>
        <family val="3"/>
        <charset val="134"/>
      </rPr>
      <t>）+40元/ m3 ；C60水下桩砼+30元/ m3 ；C45超缓凝砼（9小时）+25元/ m3 ；以上单价含3%税率，且此单价不以品牌和其它因素做调整 ； 润管砂浆与同标号混凝土同价，且应单独运输；其它特殊加价按2016年框架协议执行。</t>
    </r>
  </si>
  <si>
    <t xml:space="preserve">中建三局集团有限公司  </t>
  </si>
  <si>
    <t>以商品混凝土信息价为调整基础：在本工程供应期间，价格调整以广州市市造价站发布的2017年第一季度信息价为基准，涨跌在±5%以内不作任何调整，涨跌若超过±5%，则仅对超过±5%以外的价格进行同比例调整。计算方法为：若(C-B)/B&gt;±5%,则D=A[(C-B)/B -5%]；若(C-B)/B&gt;-5%,则D=-A[|(C-B)|/B -5%]（A表示本次商混凝土对应的合同价；B表示2017年第一季度《广州市工程造价信息》中对应的各标号商混凝土信息价；C表示供应期间当月《广州市工程造价信息》对应的各标号商品混凝土信息价；D 表示在原合同价基础上应调整的价格）。</t>
  </si>
  <si>
    <t>广东小米互联网产业园基坑支护与土石方工程</t>
  </si>
  <si>
    <t>工地联系人及电话</t>
  </si>
  <si>
    <t>杨经理13971321180</t>
  </si>
  <si>
    <t>杨梦13971321180</t>
  </si>
  <si>
    <t>结算周期为上月16日至本月15日所供混凝土数量，在第三个月月底前支付已结算价款70%,在支护施工完成后6个月内支付到总结算额的95%，余款在工程竣工验收后1个月内付清。如因供应商原因未能按时办理结算，由此造成的付款延期等一切责任由供应商负责。</t>
  </si>
  <si>
    <t>总包商每次浇筑部位小于6立方米的尾数提供一次。如果再增加小于6立方米的尾数或单次要求供货不足6立方米时，总包商按空置方量（空置放量=6-甲方要求供应量）向乙方支付每立方米30元空置费</t>
  </si>
  <si>
    <t>2016.11.1-2017.3.15</t>
  </si>
  <si>
    <t>2017.3.16-2017.5.10</t>
  </si>
  <si>
    <t>2017.5.11-2017.6.10</t>
  </si>
  <si>
    <t>2017年8月4日付1737902.33元</t>
  </si>
  <si>
    <t>2017年9月6日付60万</t>
  </si>
  <si>
    <t>2017.5.17</t>
  </si>
  <si>
    <t>长兴合同编号：局佛物CG2017013</t>
  </si>
  <si>
    <t>广州市海珠广场；建筑面积为15000平方米</t>
  </si>
  <si>
    <t xml:space="preserve">C10 254 C15 260 C20 265 C25 275 C30 285 C35 300 C40 315 C45 335 C50 355 C55 380 C60 410 C65 470 </t>
  </si>
  <si>
    <r>
      <t>抗渗P6+5元/ m3；抗渗P8+5元/ m3；抗渗P10+ 10元/ m3；抗渗P12+10元/ m3；细石砼（瓜米粒）+15元/ m3 ；早强3天达75%砼+20元/ m3 ；早强5/7天达75%砼+15元/ m3 ；微膨胀6%-8%+35元/ m3 ；微膨胀10%-12%+45元/ m3 ；水下砼+15元/ m3 ；纤维（0.9kg/m</t>
    </r>
    <r>
      <rPr>
        <sz val="10"/>
        <rFont val="宋体"/>
        <charset val="134"/>
      </rPr>
      <t>³</t>
    </r>
    <r>
      <rPr>
        <sz val="10"/>
        <rFont val="楷体_GB2312"/>
        <family val="3"/>
        <charset val="134"/>
      </rPr>
      <t>）+40元/ m3 ；C60水下桩砼+30元/ m3 ；C45超缓凝砼（9小时）+25元/ m3 ；自密实加40元/方；以上单价含3%税率，且此单价不以品牌和其它因素做调整 ； 润管砂浆与同标号混凝土同价，且应单独运输；其它特殊加价按2016年框架协议执行。</t>
    </r>
  </si>
  <si>
    <t>广州市越秀区恒基中心地块总承包工程</t>
  </si>
  <si>
    <t>工程联系人及电话</t>
  </si>
  <si>
    <t>莫经理18666085523</t>
  </si>
  <si>
    <t>莫社添18666085523</t>
  </si>
  <si>
    <t>莫社添：18666085523</t>
  </si>
  <si>
    <t>结算周期为上月16日至本月15日所供混凝土数量，在第三个月月底前支付已结算价款70%,，在基坑工程节点、主体工程节点、及封顶竣工验收节点完成后1个月内分别支付到结算额的95%，余款在工程竣工验收后3个月内付清</t>
  </si>
  <si>
    <t>总包商每次浇筑部位小于6立方米的尾数提供一次。如果再增加小于6立方米的尾数或单次要求供货不足6立方米时，总包商按空置方量（空置放量=6-甲方要求供应量）向乙方支付每立方米31元空置费。</t>
  </si>
  <si>
    <t>2016.12.15至2017.3.15</t>
  </si>
  <si>
    <t>2017.4.16至2017.5.10</t>
  </si>
  <si>
    <t>2017.5.11至2017.6.10</t>
  </si>
  <si>
    <t>2017年6月29日付300万</t>
  </si>
  <si>
    <t>2017年8月4日付150万</t>
  </si>
  <si>
    <t>2017年9月4日付150万</t>
  </si>
  <si>
    <t>广州市机施建设有限公司</t>
  </si>
  <si>
    <t>粤海泰康路商住楼</t>
  </si>
  <si>
    <t>签订时间</t>
  </si>
  <si>
    <t>长兴合同编号：局佛物CG2017027</t>
  </si>
  <si>
    <t>133-8767-3861谢海波</t>
  </si>
  <si>
    <t>建筑规模：广州市荔湾区鹤洞路 157 号，广钢新城 0809 地块；4号、5号楼</t>
  </si>
  <si>
    <t>结算单价(不含税）</t>
  </si>
  <si>
    <t>C10 245.63 C15 245.63 C20 255.34 C25 265.05 C30 274.76 C35 289.32 C40 303.88 C45 323.3 C50 342.72 C55 362.14 C60 391.26 C65 449.51</t>
  </si>
  <si>
    <t>抗渗 P6+5 元/ m3 ；抗渗 P8+5 元/ m 3 ；抗渗 P10+ 10 元/ m 3 ；抗渗 P12+10 元/ m 3 ；细石砼（瓜米粒）+15元/ m3；早强 3 天达 75%砼+20 元/ m
3；早强 5/7 天达 75%砼+10 元/ m3；微膨胀 6%-8%+35 元/ m3；微膨胀 10%-12%+45 元/ m3；水下砼+15 元/ m3；纤维砼+30 元/ m3；自密石砼+45 元/ m3 ；补偿收缩功能+30元/ m3 ；以上单价含 3%税费，且此单价不以品牌和其它因素做调整 ； 润管砂浆与同标号混凝土同价，
且应单独运输；其它特殊加价按 2016 年框架协议执行。</t>
  </si>
  <si>
    <t xml:space="preserve">中建三局集团有限公司 </t>
  </si>
  <si>
    <t>以商品混凝土信息价为调整基础：在本工程供应期间，价格调整以广州市市造价站发布的 2017 年第一季度信息价为基准，涨跌在±5%以内不作任何调整，涨跌若超过±5%，则仅对超过±5%以外的价格进行同比例调整。计算方法为：若(C-B)/B&gt;±5%,则D=A[(C-B)/B -5%]；若(C-B)/B&gt;-5%,则 D=-A[|(C-B)|/B -5%]（A 表示本次商混凝土对应的合同价；B 表示 2017 年第一季度《广州市工程造价信息》中对应的各标号商混凝土信息价；C 表示供应期间当月《广州市工程造价信息》对应的各标号商品混凝土信息价；D 表示在原合同价基础上应调整的价格）。</t>
  </si>
  <si>
    <t>保利广钢新城 0809 地块标段二项目</t>
  </si>
  <si>
    <t>张俊</t>
  </si>
  <si>
    <t>按公司规定1.8%；业务信息费3元/方</t>
  </si>
  <si>
    <t xml:space="preserve">总包商和供应商按月办理结算，结算周期为上月 16 日至本月 15 日所供混凝土数量，在第三个月月底前支付第一个月已结算价款 70%,，在工程主体结构全部封顶后 6 个月内支付到结算额的 95%，余款 5%作为质量保证金和履约保证金在工程竣工验收合格后 1 个月内付清。如因供应商原因未能按时办理结算，由此造成的付款延期等一切责任由供应商负责。
</t>
  </si>
  <si>
    <t>额外运输费用：总包商每次浇筑部位小于 6 立方米的尾数提供一次。如果再增加小于 6 立方米的尾数或单次要求供货不足 6 立方米时， 总包商按空置方量 （空置放量=6-甲方要求供应量）向乙方支付每立方米 30 元空置费。</t>
  </si>
  <si>
    <t>匡杨军（15972210158）</t>
  </si>
  <si>
    <t>2017.4.1-2017.7.10</t>
  </si>
  <si>
    <t>2017年8月31日付3751148.92元</t>
  </si>
  <si>
    <t>长兴合同编号：CX17-0612</t>
  </si>
  <si>
    <t>C15 255 C20 265 C25 275 C30 285 C35 300 C40 315 C45 335 C50 360 C55 390 C60 425 砂浆320</t>
  </si>
  <si>
    <t>一、抗渗砼P6-P8在原单价上另加收5元/m3；P10-P12在原单价上另加收10元/m3；
二、水下桩或坍落度超过180mm时在原单价上另加收15元/ m3；细石混凝土在原单价上另加收15元/ m3；
三、路面砼（包括耐磨层、球场、地坪、地面、道路、跑道、车道、找平层或找坡层（除天面、屋面）在原单价上另加收15元/ m3；
四、3天早强：≤C30混凝土达到70%加20元/m3；达到80%加25元/m3；达到90%加35元/m3；达到100%加45元/m3；≥C35混凝土强度值达到70%加25元/m3；达到80%加30元/m3；达到90%加40元/m3；达到100%加50元/m3。
五、7天早强：≤C30混凝土强度值达到80%加10元/m3；达到90%加15元/m3；达到100%加25元/m3；≥C35混凝土强度值达到80%加15元/m3；达到90%加20元/m3；达到100%加30元/m3；
六、清水或无粉煤灰（纯水泥）混凝土≤C35加25元/m3；≥C40加20元/m3；
七、掺膨胀剂：普通砼掺6%加35元/m3，掺8%加40元/m3，掺10%加45元/m3，掺12%加50元/m3，</t>
  </si>
  <si>
    <t>广东潮粤建设有限公司</t>
  </si>
  <si>
    <t>含税（开票单价C30 335元）</t>
  </si>
  <si>
    <t>番禺区北亭涌黑臭水体治理工程施工总承包</t>
  </si>
  <si>
    <t>800方</t>
  </si>
  <si>
    <t xml:space="preserve"> 赵少武 </t>
  </si>
  <si>
    <t>当月（当月指第一个月）货款于第三个月20日内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</si>
  <si>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南亭大社涌黑臭水体治理工程</t>
  </si>
  <si>
    <t>迎宾大道延长线二期（机场高速-方华公路）工程</t>
  </si>
  <si>
    <t>临供C30 250(不含税）从2016年7月15日起上调20元/方；C30 270</t>
  </si>
  <si>
    <t>广州建筑集团有限公司</t>
  </si>
  <si>
    <t>医药港加固工程</t>
  </si>
  <si>
    <t>2016年6月税金</t>
  </si>
  <si>
    <t>2016年7月税金</t>
  </si>
  <si>
    <t>2016年7月1日付694320元</t>
  </si>
  <si>
    <t>2016年7月15日付566250元；</t>
  </si>
  <si>
    <t xml:space="preserve">8月税金 </t>
  </si>
  <si>
    <t>泰兴合同编号：2016SY21402-GX16062</t>
  </si>
  <si>
    <t xml:space="preserve">地址：广州市花都区新雅街凤凰路以东/雅瑶中路以北 </t>
  </si>
  <si>
    <t xml:space="preserve"> 在“广州市花都区住房和城乡建设局”发布的“广州市花都区工程造价信息—-预拌混凝土税前指导价格表（营改增版）”混凝土价格的基础上（下浮23%）</t>
  </si>
  <si>
    <t>泵送费：另加18.00/ m3（固定泵、汽车泵不限，每次砼供应量泵送不足100 m3时按100 m3计算）； 膨胀混泥土：另加 30.00元/ m3；细石混凝土：另加10.00元/ m3；7天早强混凝土：另加10元/ m3；3天早强混凝土：另加20元/ m3 ；8%WK膨胀剂加13元（其中3元退还给工地）纯水泥加10元/方；</t>
  </si>
  <si>
    <t xml:space="preserve">江苏南通二建集团有限公司  </t>
  </si>
  <si>
    <t>该项目位于广州市花都区，建筑面积约18万平方米，地上共15栋；地上共20层；地下一层。</t>
  </si>
  <si>
    <t>智能电子产业厂房建设项目一期</t>
  </si>
  <si>
    <t>120000m3</t>
  </si>
  <si>
    <t>杨晓光</t>
  </si>
  <si>
    <t>按公司项目1.5元/立方；10元/方（业务费用）</t>
  </si>
  <si>
    <t>乙方前期为甲方垫资三个月的砼货款（以基础筏板混泥土浇捣为起始点），第四个月底开始付第一个月所供货款的80%、第五个月底付第二个月的所供货款的80%...以此类推；第八个月底付清第一个月20%的余款、第九个月底付清第二个月的20%的余款.以此类推（在甲方付款的同时乙方必须提供等额的增值税发票，否则甲方有权不予付款且不用承担责任）。</t>
  </si>
  <si>
    <t>旋挖桩部位所用“广州国光智能电子产业园有限公司厂房（自编号A2#、AF1#)及地下室P1"名称；临建部位所用“智能电子产业厂房建设项目一期”；其它施工部位，如我司未通过的，则按双方签订的工程名称执行。</t>
  </si>
  <si>
    <t>顾卫新、蒋卢平张锦友13706285404</t>
  </si>
  <si>
    <t>崔炳强、顾惠新</t>
  </si>
  <si>
    <t>花都区砂、石、水泥原材料、信息价对比表</t>
  </si>
  <si>
    <t>时间</t>
  </si>
  <si>
    <t>砂</t>
  </si>
  <si>
    <t>石</t>
  </si>
  <si>
    <t>水泥（32.5R)</t>
  </si>
  <si>
    <t>水泥（42.5R)</t>
  </si>
  <si>
    <t>C30泵送信息价</t>
  </si>
  <si>
    <t>2017年一季度</t>
  </si>
  <si>
    <t>2017年二季度</t>
  </si>
  <si>
    <t>差额</t>
  </si>
  <si>
    <t>2016年10月26日付30万</t>
  </si>
  <si>
    <t>2016年12月15日付150万</t>
  </si>
  <si>
    <t>2017年1月22日付300万（承兑7.17）+2017年1月23日付200万</t>
  </si>
  <si>
    <t>2017年3月29日付银行承兑汇票（2017.7.22到期）付840万</t>
  </si>
  <si>
    <t>2017年5月2日付664万</t>
  </si>
  <si>
    <t>2017年6月1日付240万</t>
  </si>
  <si>
    <t>2017年7月6日付420万元</t>
  </si>
  <si>
    <t>2017年8月4日付270万</t>
  </si>
  <si>
    <t>2017年8月19日付200万（承兑汇票2018年1月28日）</t>
  </si>
  <si>
    <t>2017年9月6日付300万</t>
  </si>
  <si>
    <t xml:space="preserve">泵送费：另加18.00/ m3（固定泵、汽车泵不限，每次砼供应量泵送不足100 m3时按100 m3计算）； 膨胀混泥土：另加 30.00元/ m3；细石混凝土：另加10.00元/ m3；7天早强混凝土：另加10元/ m3；3天早强混凝土：另加20元/ m3 </t>
  </si>
  <si>
    <t>2016.10.9</t>
  </si>
  <si>
    <t>顾卫新、蒋卢平</t>
  </si>
  <si>
    <t>2017年4月28日写申请，申请付泵车费。</t>
  </si>
  <si>
    <t>C30 235元</t>
  </si>
  <si>
    <t>山河建设集团有限公司</t>
  </si>
  <si>
    <t>中海广钢新城二期项目</t>
  </si>
  <si>
    <t>此收据以货款实际入账才能生效。</t>
  </si>
  <si>
    <t>2016年11月16日付171712.5元</t>
  </si>
  <si>
    <t xml:space="preserve">合同编号:（泰兴合同）              </t>
  </si>
  <si>
    <t xml:space="preserve">C15;205 C20：215 C25：225 C30:235 C35:250 C40:265 C45:285  C50:310 C55:340 C60:375  砂浆420  </t>
  </si>
  <si>
    <t>范围强（440111199206142731）</t>
  </si>
  <si>
    <t>不含税单价；含税7%</t>
  </si>
  <si>
    <t>大源地块</t>
  </si>
  <si>
    <t>供砼之日起至首层板面供应完毕3日内（自供砼之日起供货周期15天内），即支付人工挖孔桩、桩基础所供混凝土货款，以实际供应结算金额计算。2、主体结构以上货款支付：主体结构首层梁板供应混凝土货款，于主体结构第二层梁板浇筑完毕支付（即从首层梁板计起至第二层梁板浇筑完毕供货周期7天以内），即支付首层所供混凝土货款，以实际供应结算金额计算支付。</t>
  </si>
  <si>
    <t>2015年11月抵扣材料1376505元</t>
  </si>
  <si>
    <t>签定日期：2007年10月26日</t>
  </si>
  <si>
    <t>供应日期：2007年10月26日起至完工之日止</t>
  </si>
  <si>
    <t>C30:235元，11月24日上调20元，12月20日上调10元,即C30：265元</t>
  </si>
  <si>
    <t>汕头市奕烨电器有限公司</t>
  </si>
  <si>
    <t>丁友国、汤祝佳</t>
  </si>
  <si>
    <t>汤祝佳、叶日耀</t>
  </si>
  <si>
    <t>黄埔涌北岸截污工程</t>
  </si>
  <si>
    <r>
      <t>6000m</t>
    </r>
    <r>
      <rPr>
        <vertAlign val="superscript"/>
        <sz val="12"/>
        <rFont val="宋体"/>
        <charset val="134"/>
      </rPr>
      <t>3</t>
    </r>
  </si>
  <si>
    <t>叶日耀</t>
  </si>
  <si>
    <t>介绍款</t>
  </si>
  <si>
    <r>
      <t>当月货款次月15天内付清。(</t>
    </r>
    <r>
      <rPr>
        <sz val="11"/>
        <color indexed="10"/>
        <rFont val="楷体_GB2312"/>
        <family val="3"/>
        <charset val="134"/>
      </rPr>
      <t>需按合同付款</t>
    </r>
    <r>
      <rPr>
        <sz val="11"/>
        <rFont val="楷体_GB2312"/>
        <family val="3"/>
        <charset val="134"/>
      </rPr>
      <t>)</t>
    </r>
  </si>
  <si>
    <t>2007年10月至11月</t>
  </si>
  <si>
    <t xml:space="preserve">1月11日付58115元(1月18日到账),1月18日付40767.5元     </t>
  </si>
  <si>
    <t>2008年1月1日到20日</t>
  </si>
  <si>
    <t>2008年1月21日至2月29日</t>
  </si>
  <si>
    <t>3月12日付86105元(3月31日到账)</t>
  </si>
  <si>
    <t>6月13日交由李律师发函</t>
  </si>
  <si>
    <t>9月20日交由李律师起诉2016年12月付81000万</t>
  </si>
  <si>
    <t>黄敏楚、吴捷锦、陈文辉</t>
  </si>
  <si>
    <t>叶日耀、陈文辉</t>
  </si>
  <si>
    <t>沙河涌左支流截污工程</t>
  </si>
  <si>
    <t>1月11日付33625元(1月18日到账)</t>
  </si>
  <si>
    <t>3月25日付26460元(3月29日到账)</t>
  </si>
  <si>
    <t>9月20日交由李律师起诉</t>
  </si>
  <si>
    <t>签定日期：2010年7月16日</t>
  </si>
  <si>
    <t>合同编号:CX10-0715</t>
  </si>
  <si>
    <t>C15：213  C20：223  C25：233  C30：243  C35：253  C40：268  C45：283  2010年12月20日上调35元,2011年2月25下调10元，C30:268元</t>
  </si>
  <si>
    <t>P6-P8加5元，P10-P12加10元，水下桩加10元，瓜米石加10元，路面加10元。</t>
  </si>
  <si>
    <t>深圳市全顺房地产经纪有限公司</t>
  </si>
  <si>
    <t>广州市商贸职业学校（—商校区）教学、实训大楼</t>
  </si>
  <si>
    <t>2500m3</t>
  </si>
  <si>
    <t>蔡旭凯</t>
  </si>
  <si>
    <t>林乔生、吴茂正、庄奕顺</t>
  </si>
  <si>
    <t>庄奕良</t>
  </si>
  <si>
    <t>当月货款次月15日内付清。</t>
  </si>
  <si>
    <t>每批次只能有二车不足9m3，超出二车以上，按每车达不到9m3的差额部份，</t>
  </si>
  <si>
    <t>2010年7月18日至30日</t>
  </si>
  <si>
    <t>2010年8月25日付10万</t>
  </si>
  <si>
    <t>2010年9月7日付15万(期票15万),2010年9月20日付24万</t>
  </si>
  <si>
    <t>2010年10月9日付10万</t>
  </si>
  <si>
    <t>因地下室剪力墙发错一车不同标号的混凝土,由外租车队赔偿对方50000元.</t>
  </si>
  <si>
    <t>2011年1月24日付107532元</t>
  </si>
  <si>
    <t>2011年2月22日付5万元</t>
  </si>
  <si>
    <t>計劃2011年6月17日付款</t>
  </si>
  <si>
    <t>2011年7月4日付4万元</t>
  </si>
  <si>
    <t>签定日期：2010年3月12日</t>
  </si>
  <si>
    <t>合同编号:CX09-1231</t>
  </si>
  <si>
    <t>C10:192  C15:202  C20:212  C25:222  C30:232  C35:242  C40:257  C45:272  C50:287   2010年4月15日上调5元,5月15日上调高标号,C30:237</t>
  </si>
  <si>
    <t>P6-P8加5元,P10-P12加10元,水下桩加10元,膨胀剂加35元</t>
  </si>
  <si>
    <t>开材料票加5元</t>
  </si>
  <si>
    <t>提成及信息费</t>
  </si>
  <si>
    <t>广州领馆区外交服务管理大楼</t>
  </si>
  <si>
    <t>李伟华</t>
  </si>
  <si>
    <t>杨贤光、李建宗</t>
  </si>
  <si>
    <r>
      <t>杨贤光、</t>
    </r>
    <r>
      <rPr>
        <b/>
        <sz val="12"/>
        <color indexed="12"/>
        <rFont val="楷体_GB2312"/>
        <family val="3"/>
        <charset val="134"/>
      </rPr>
      <t>需加盖公章才有效</t>
    </r>
  </si>
  <si>
    <t>当月货款次月25日天内付清，否则，供方有权停止供货并且有权拒付技术资料,并追究需方违约责任。</t>
  </si>
  <si>
    <t>2010年4月30日付15万</t>
  </si>
  <si>
    <t>2010年6月4日付20万元,6月23日付21453元</t>
  </si>
  <si>
    <t>2010年7月8日付286000元</t>
  </si>
  <si>
    <t>2010年8月17日付10万</t>
  </si>
  <si>
    <t>2010年9月2日付8万</t>
  </si>
  <si>
    <t>2010年9月26日付8万(期票10月11日)</t>
  </si>
  <si>
    <t>2011年5月發催款函</t>
  </si>
  <si>
    <t>2011年7月14日交由李律师起诉   2014年5月16日付85000元</t>
  </si>
  <si>
    <t>签定日期：2011年3月31日</t>
  </si>
  <si>
    <r>
      <t>合同编号：C</t>
    </r>
    <r>
      <rPr>
        <sz val="12"/>
        <rFont val="宋体"/>
        <charset val="134"/>
      </rPr>
      <t>X11-0331</t>
    </r>
  </si>
  <si>
    <t>C15：240  C20：250  C25：260  C30：270  C35：280  C40：295  C45：310  C50：330  C55：350  C60：380   2011年5月8日上调7元,2011年8月16日上调5元,2011年9月16日上调6元，2011年11月1日下调7元，2011年11日上调10元,C30：291</t>
  </si>
  <si>
    <t>P6-P8加5元/m3；P10-P12加10元/m3；水下桩加15元/ m3；细石加10元/ m3；路面、地面、耐磨层混凝土加10元/ m3；掺6%膨胀剂加35元，掺8%加40元，掺10%加45元，掺12加50元，来料加工1.5元/m3</t>
  </si>
  <si>
    <t>业务信息费5元，按公司规定提成</t>
  </si>
  <si>
    <t>广州沃野商业广场项目</t>
  </si>
  <si>
    <r>
      <t>约9</t>
    </r>
    <r>
      <rPr>
        <sz val="12"/>
        <rFont val="宋体"/>
        <charset val="134"/>
      </rPr>
      <t>0000m3</t>
    </r>
  </si>
  <si>
    <t>张天荣</t>
  </si>
  <si>
    <t>0316-2228389</t>
  </si>
  <si>
    <t>李青松、赵光荣、晋照海</t>
  </si>
  <si>
    <t>陈汉钊、谭成刚</t>
  </si>
  <si>
    <t>自供砼之日起至+0.00完成付所供砼款的60%（自供砼之日起120天内未完成的，视为已完成），余款40%于工程主体封顶三个月内平均分三次付清（自供砼之日起330天内未封顶的，视为已封顶），+0.00以上部位当月货款次月付80%，余款20%于工程主体封顶三个月内平均分三次付清.否则，供方有权停止供货并且有权拒付技术资料，并追究需方违约责任。用支票支付货款的，抬头必须填写供方单位名称。此工地不论什么原因导致停供，需方必须在最后一次供应砼之日起15天内将余款全部付清。逾期的按每日万分之五收取违约金。</t>
  </si>
  <si>
    <t>2011年8月份协商支付250元,并从2011年7月份起重新计算120天</t>
  </si>
  <si>
    <t>2011年8月16日付100万(期票8月23日),付150万(期票8月28日),全部退票</t>
  </si>
  <si>
    <t>2011年8月28日付100万</t>
  </si>
  <si>
    <t>2011年9月5日付150万</t>
  </si>
  <si>
    <r>
      <t>2011年11月5日付600万(期票11月20日)换票，</t>
    </r>
    <r>
      <rPr>
        <b/>
        <sz val="12"/>
        <color indexed="12"/>
        <rFont val="宋体"/>
        <charset val="134"/>
      </rPr>
      <t>12月2日付800万（期票2012年1月12日）</t>
    </r>
  </si>
  <si>
    <t>2011年11月21日付100万元,</t>
  </si>
  <si>
    <t>2011年12月31日付350元(期票1月21日)</t>
  </si>
  <si>
    <t>2012年3月20日发律师函</t>
  </si>
  <si>
    <t>2012年3月份按合同约定付款应付未付8335032.8元，</t>
  </si>
  <si>
    <t>2012年3月30日交由李律师起诉</t>
  </si>
  <si>
    <t>业务员：王思捷</t>
  </si>
  <si>
    <t>签定日期：2011年8月12日</t>
  </si>
  <si>
    <t>合同编号:CX11-0803</t>
  </si>
  <si>
    <t>广州市第三建筑工程有限公司，东风东路510号，电话：83834010，传真：83831970</t>
  </si>
  <si>
    <t>C15:235   C20:245   C25:255  C30:265   C35:275   C40:290   C45:305   C50:325  C55:345   C60:375  2011年8月15日上调5元，2011年9月12日上调7元，2012年4月15日上调6元，2013年8月1日上调10元，2013年10月7日上调50元，C30：343，M5：320元，M10：340元。</t>
  </si>
  <si>
    <t>P6-P8加5元,P10-P12加5元,水下桩加15元,细石加10元,地面、路面、耐磨层加10元，膨胀剂来料加工3元/m3,由我司提供的6%加35元,8%加40元,10%加45元,12%加50元,</t>
  </si>
  <si>
    <t>广东省电白县第三建筑工程公司</t>
  </si>
  <si>
    <t>芳村大冲口油库改造项目</t>
  </si>
  <si>
    <t>许润槐</t>
  </si>
  <si>
    <t>雍佳顺、陈文明</t>
  </si>
  <si>
    <t>雍佳顺</t>
  </si>
  <si>
    <t>第一月货款于第三个月25日内付80%，余款20%于第四个月付清，以此类推支付。否则，供方有权停止供货并且有权拒付技术资料，并追究需方违约责任。</t>
  </si>
  <si>
    <t>需方每批次浇捣的混凝土尾数只能有一车不足9m3，超出一车以上，按每车达不到9m3的差额部份，另向需方收取30元</t>
  </si>
  <si>
    <t>2011年8月24日至8月31日</t>
  </si>
  <si>
    <t>2011年12月3日付90516.00(期票12月8日)</t>
  </si>
  <si>
    <t>2011年12月2日付112157.80元（期票12月8日）</t>
  </si>
  <si>
    <t>税款</t>
  </si>
  <si>
    <t>2011年12月27日付444695.80元(已开发票）</t>
  </si>
  <si>
    <t>2012年1月20日付115万(已开发票120万元）</t>
  </si>
  <si>
    <t>2012年3月14日付100万(期票3月23日)</t>
  </si>
  <si>
    <t>2012年3月14日付430706元(期票4月5日)换票</t>
  </si>
  <si>
    <t>2012年4月15日付80万（期票4月30日）</t>
  </si>
  <si>
    <t>43万的税款</t>
  </si>
  <si>
    <t>2012年4月19日付43万(已开发票）</t>
  </si>
  <si>
    <t>20万的税款</t>
  </si>
  <si>
    <t>2012年5月7日付20万(已开发票）</t>
  </si>
  <si>
    <t>2012年5月21日付80万（期票5月29日）延期至5月31日，换票</t>
  </si>
  <si>
    <t>80万的税款</t>
  </si>
  <si>
    <t>2012年7月4日付80万（期票7月20日）延迟至7月27日</t>
  </si>
  <si>
    <t>2012年7月27日付100万（期票8月31日）</t>
  </si>
  <si>
    <t>2012年9月28日付80万</t>
  </si>
  <si>
    <t>2012年9月28日付50万（期票10月25日）10月31日投票后，退票，2012年11月9日换票</t>
  </si>
  <si>
    <t>2012年9月28日付70万（期票11月10日），换票12月5日，未入帐，退还</t>
  </si>
  <si>
    <t>55万的税款</t>
  </si>
  <si>
    <t>2012年12月29日付55万（期票1月4日），付120万（期票1月25日）</t>
  </si>
  <si>
    <t>工地还款计划：2013年11月底前付100万，2013年12月底前付100万元，余款于工程完工两个月内平均付清。</t>
  </si>
  <si>
    <t>2014年1月26日付10万元</t>
  </si>
  <si>
    <t>2012年11月50万税款</t>
  </si>
  <si>
    <t>业务员：林明</t>
  </si>
  <si>
    <t>签定日期：2011年8月30日</t>
  </si>
  <si>
    <t>合同编号：CX11-0830</t>
  </si>
  <si>
    <t>办事处负责人：李本峰15302232288                         广州办事处电话：020-84224257,</t>
  </si>
  <si>
    <t>C15：238  C20：248  C25:258  C30:268  C35:278   C40:293   C45:308   C50:328  C55:348  C60:378</t>
  </si>
  <si>
    <t>P6-P8加5元，P10-P12加10元，水下桩加15元，细石加10元，路面、地面、耐磨层加10元，30层以上加10元，</t>
  </si>
  <si>
    <t>海南中交龙建筑工程有限公司</t>
  </si>
  <si>
    <t xml:space="preserve">海南中交龙建筑工程有限公司  </t>
  </si>
  <si>
    <t>按公司规定计提成，信息费3元</t>
  </si>
  <si>
    <t>嘉禾街望岗村第二经济合作社佳馨园</t>
  </si>
  <si>
    <t>张安安</t>
  </si>
  <si>
    <t>何喜林、张军愉</t>
  </si>
  <si>
    <t>当月货款次月25天内付清，否则，供方有权停止供货并且有权拒付技术资料，并追究需方违约责任。用支票支付货款的，抬头必须填写供方单位名称。</t>
  </si>
  <si>
    <t>海南中交龙建筑工程有限公司，地址：海口市龙华路15号财盛大厦15楼1502房，电话：0898-66244866，18976620418，传真：0898-66245866</t>
  </si>
  <si>
    <t>2011年11月4日付80000元,2011年11月22日付50000元</t>
  </si>
  <si>
    <t>2012年4月2日付325700元（期票5月25日）</t>
  </si>
  <si>
    <t>2012年7月31日付80000元,</t>
  </si>
  <si>
    <t>2012年8月7日由广州美馨房地产开发有限公司承诺于2012年9月20日前将245700元支付给长兴公司</t>
  </si>
  <si>
    <t>2012年10月19付50000元，10月20日付30000元</t>
  </si>
  <si>
    <t>2012年12月7日付10万</t>
  </si>
  <si>
    <t>2013年2月6日付6万元</t>
  </si>
  <si>
    <t>2013年3月6日付4万元</t>
  </si>
  <si>
    <t>2013年11月5万</t>
  </si>
  <si>
    <t>2013年4月交由李律师起诉</t>
  </si>
  <si>
    <t>签定日期：2010年1月12日</t>
  </si>
  <si>
    <t>合同编号CX09-1225</t>
  </si>
  <si>
    <t xml:space="preserve">C15：205  C20：215  C25：225  C30：235   C35：245  C40：255  C45：270  C50：285  C55：305   C60：325  2010年5月1日上调5元,5月15日上调高标号单价。C30:240          </t>
  </si>
  <si>
    <t>广州宇声建设工程有限公司</t>
  </si>
  <si>
    <t>公司电话:85636940           传真:85636946</t>
  </si>
  <si>
    <r>
      <t>个人担保：保证人</t>
    </r>
    <r>
      <rPr>
        <u/>
        <sz val="12"/>
        <rFont val="宋体"/>
        <charset val="134"/>
      </rPr>
      <t>吴宏忠</t>
    </r>
    <r>
      <rPr>
        <sz val="12"/>
        <rFont val="宋体"/>
        <charset val="134"/>
      </rPr>
      <t>，身份证号：4</t>
    </r>
    <r>
      <rPr>
        <sz val="12"/>
        <rFont val="宋体"/>
        <charset val="134"/>
      </rPr>
      <t>40582197910236350</t>
    </r>
  </si>
  <si>
    <t>退休干部住房建设工程基坑支护</t>
  </si>
  <si>
    <t>吴宏忠</t>
  </si>
  <si>
    <t>15625223288传真:38210289</t>
  </si>
  <si>
    <t>吴广四、吴良标、郭俊喜</t>
  </si>
  <si>
    <t>当月货款次月20日内付清，否则，供方有权停止供货并且有权拒付技术资料，并追究需方违约责任。此工地不论什么原因导致停供，需方必须在最后一次供应砼之日起15天内将余款全部付清。逾期的按每日千分之一收取违约金。</t>
  </si>
  <si>
    <t>只能有一车不足9m3，超出一车以上，按每车达不到9m3的差额，收取30元/m3空运费</t>
  </si>
  <si>
    <t xml:space="preserve">罗银海 </t>
  </si>
  <si>
    <t>1万元</t>
  </si>
  <si>
    <t>林素炳</t>
  </si>
  <si>
    <t>5万元</t>
  </si>
  <si>
    <t>10万元</t>
  </si>
  <si>
    <t>376938.45元</t>
  </si>
  <si>
    <t>2015.6-2017.4</t>
  </si>
  <si>
    <t>次月结清</t>
  </si>
  <si>
    <t>5月8日到款158905元</t>
  </si>
  <si>
    <t>张文彬项目汇总</t>
  </si>
  <si>
    <t>项目名称</t>
  </si>
  <si>
    <t>供货期间</t>
  </si>
  <si>
    <t>C30单价（元/m³）</t>
  </si>
  <si>
    <t>总方量（m³）</t>
  </si>
  <si>
    <t>累计生产总值（元）</t>
  </si>
  <si>
    <t>结算方式</t>
  </si>
  <si>
    <t>付款进度</t>
  </si>
  <si>
    <t>应收欠款（元）</t>
  </si>
  <si>
    <t>累计实收(元)</t>
  </si>
  <si>
    <t>合同规定当月应收（元）</t>
  </si>
  <si>
    <t>最近付款时间</t>
  </si>
  <si>
    <t>2013.6-2015.3</t>
  </si>
  <si>
    <t>次月结80%，20%封顶结清</t>
  </si>
  <si>
    <t>2013.12-2016.6</t>
  </si>
  <si>
    <t>次月结90%，10%封顶清</t>
  </si>
  <si>
    <t>2015.12-2017.4</t>
  </si>
  <si>
    <t>花地河治理</t>
  </si>
  <si>
    <t>2016.3-2016.11</t>
  </si>
  <si>
    <t>次月结95%，5%验收清</t>
  </si>
  <si>
    <r>
      <t>2016.9-2017.</t>
    </r>
    <r>
      <rPr>
        <sz val="12"/>
        <rFont val="宋体"/>
        <charset val="134"/>
      </rPr>
      <t>4</t>
    </r>
  </si>
  <si>
    <t>次月结85%，封顶结至95%，5%验收清</t>
  </si>
  <si>
    <t>会展中心-商学院</t>
  </si>
  <si>
    <t>2016.3-2017.4</t>
  </si>
  <si>
    <t>2016.4-2017.3</t>
  </si>
  <si>
    <t>次月结70%，30%封顶清</t>
  </si>
  <si>
    <t>四结一80%，基坑支护完结一个月内结至90%，余款验收清</t>
  </si>
  <si>
    <t>2016.6-2017.2</t>
  </si>
  <si>
    <t>三结一95%，5%验收清</t>
  </si>
  <si>
    <t>2014.9-2016.12</t>
  </si>
  <si>
    <t>工程节点付款</t>
  </si>
  <si>
    <t>开具（2017.7.16）90万商承</t>
  </si>
  <si>
    <t>2016.3-2016.12</t>
  </si>
  <si>
    <t>2016.1-2017.4</t>
  </si>
  <si>
    <t>，五结一70%，最后一次结算手续后的半年内付至总结算额的95%，5%验收后清</t>
  </si>
  <si>
    <t>林素炳项目汇总</t>
  </si>
  <si>
    <t>2012.12-2015.11</t>
  </si>
  <si>
    <t>2016.2完工</t>
  </si>
  <si>
    <t>2013.9-2017.3</t>
  </si>
  <si>
    <t>2014.1-2016.10</t>
  </si>
  <si>
    <t>2014.7-2017.4</t>
  </si>
  <si>
    <t>三结一80%，20%封顶结</t>
  </si>
  <si>
    <t>2015.1-2016.4</t>
  </si>
  <si>
    <t>2016.5完工</t>
  </si>
  <si>
    <t>2012.11-2016.4</t>
  </si>
  <si>
    <t>2012.11-2015.7</t>
  </si>
  <si>
    <t>石井污水</t>
  </si>
  <si>
    <t>2015.4-2017.3</t>
  </si>
  <si>
    <t>2015.9-2017.4</t>
  </si>
  <si>
    <t>次月结80%，封顶结至95%，5%验收清</t>
  </si>
  <si>
    <t>污水处理系统管网</t>
  </si>
  <si>
    <t>2015.12-2016.12</t>
  </si>
  <si>
    <t>2015.11-2016.10</t>
  </si>
  <si>
    <t>三结一</t>
  </si>
  <si>
    <t>四结一80%，20%封顶半年清</t>
  </si>
  <si>
    <t>2016.7-2016.10</t>
  </si>
  <si>
    <t>2016.5-2016.12</t>
  </si>
  <si>
    <t>2016.8-2017.4</t>
  </si>
  <si>
    <t>次月结85%，15%完工清</t>
  </si>
  <si>
    <t xml:space="preserve">        黄伟生项目汇总</t>
  </si>
  <si>
    <t>2012.9-2014.1</t>
  </si>
  <si>
    <t>2014.2完工，属异常项目（氯离子超标）</t>
  </si>
  <si>
    <t>2014.2-2017.3</t>
  </si>
  <si>
    <t>2016.2.2付65340元</t>
  </si>
  <si>
    <t>电白 艺术博物馆</t>
  </si>
  <si>
    <t>2014.4-2016.1</t>
  </si>
  <si>
    <t>红棉一标、六标大道</t>
  </si>
  <si>
    <t>2015.1-2015.2</t>
  </si>
  <si>
    <t>2015.3-2017.3</t>
  </si>
  <si>
    <t>黄延东延线七标</t>
  </si>
  <si>
    <t>2015.7-2016.11</t>
  </si>
  <si>
    <t>次月结80%，封顶结至95%，5%验收后一个月内结清</t>
  </si>
  <si>
    <t>2015.12-2017.3</t>
  </si>
  <si>
    <t>2016.1-2017.2</t>
  </si>
  <si>
    <t>三结一80%，20%浇筑完毕结清</t>
  </si>
  <si>
    <t>2016.3-2017.3</t>
  </si>
  <si>
    <t>先付后供</t>
  </si>
  <si>
    <t>分进度款于结算款</t>
  </si>
  <si>
    <t>2017.3.16付336428.61元</t>
  </si>
  <si>
    <t>2016.4-2016.8</t>
  </si>
  <si>
    <t>2016.4-2017.4</t>
  </si>
  <si>
    <r>
      <t>2017年3月7日付1249896元（期票4.28）</t>
    </r>
    <r>
      <rPr>
        <sz val="12"/>
        <rFont val="宋体"/>
        <charset val="134"/>
      </rPr>
      <t>1140948元（期票5.31）3月30日付666655元（期票5.29）</t>
    </r>
  </si>
  <si>
    <t>2016.5-2017.3</t>
  </si>
  <si>
    <t>2017年2月20付30万（期票3.31-延期4.5）；付50万（期票4.30）</t>
  </si>
  <si>
    <t>2016.5-2017.2</t>
  </si>
  <si>
    <t>2016.6-2017.3</t>
  </si>
  <si>
    <t>三结一70%，单栋主体封顶六个月内支付总供款的80%，余下20%于单栋封顶一年内清</t>
  </si>
  <si>
    <t>中国人民军</t>
  </si>
  <si>
    <t>2016.9-2017.3</t>
  </si>
  <si>
    <t>次月结80%，20%于第三个月结清</t>
  </si>
  <si>
    <t>2016.11-2017.3</t>
  </si>
  <si>
    <t>2016.11-2016.12</t>
  </si>
  <si>
    <t>临供未签合同</t>
  </si>
  <si>
    <t>2016.12-2017.2</t>
  </si>
  <si>
    <t>2017.4.17已走合同</t>
  </si>
  <si>
    <t>2016.11-2017.2</t>
  </si>
  <si>
    <t>2016.12-2017.3</t>
  </si>
  <si>
    <t>三结一80%，20%完工结算</t>
  </si>
  <si>
    <t>2017.2走合同程序</t>
  </si>
  <si>
    <t>2017.2-2017.4</t>
  </si>
  <si>
    <t>三结一100%</t>
  </si>
  <si>
    <t>2017.3-2017.4</t>
  </si>
  <si>
    <t>临供</t>
  </si>
  <si>
    <t>三结一80%，20%单栋封顶结清</t>
  </si>
  <si>
    <t xml:space="preserve">        蔡镇汉项目汇总</t>
  </si>
  <si>
    <t>2013.11-2017.4</t>
  </si>
  <si>
    <t>次月结80%，20%封顶结</t>
  </si>
  <si>
    <t>2014.6-2015.4</t>
  </si>
  <si>
    <t>次月结85%，15%主体完结清</t>
  </si>
  <si>
    <t>2015.7-2016.10</t>
  </si>
  <si>
    <t>次月结75%，主体验收结至95%，5%质保金两年内清</t>
  </si>
  <si>
    <t>2014.5-2017.3</t>
  </si>
  <si>
    <t>次月结60%，主体验收结至95%，5%质保金一年内清</t>
  </si>
  <si>
    <t>2014.7-2016.1</t>
  </si>
  <si>
    <t>2014.11-2016.1</t>
  </si>
  <si>
    <t>2016.1完工</t>
  </si>
  <si>
    <t>2015.11-2017.4</t>
  </si>
  <si>
    <t>第一个月与第二个月的货款于第五个月20日内支付75%。25%为保证金，供应完成后三个月内结清</t>
  </si>
  <si>
    <t>2015.4-2017.2</t>
  </si>
  <si>
    <t>中太广钢</t>
  </si>
  <si>
    <t>2015.6-2016.10</t>
  </si>
  <si>
    <t>2016.2-2017.3</t>
  </si>
  <si>
    <t>三付一80%，20%验收清</t>
  </si>
  <si>
    <t>2016年11月18日付200万（期票2017.1.20）；已入账</t>
  </si>
  <si>
    <t>2015.11-2017.3</t>
  </si>
  <si>
    <t>三结一70%，95%主体封顶结至95%，5%验收清</t>
  </si>
  <si>
    <t>次月结80%，完工后3个月结至95%，5%验收清</t>
  </si>
  <si>
    <t>2015.11-2016.11</t>
  </si>
  <si>
    <t>次月支付当期商品混凝土货款的70%，每月30%的余款为质保金在该部分主体全封顶后6个内支付到95%，余款5%在竣工后1个月内付清</t>
  </si>
  <si>
    <t>中诚广钢</t>
  </si>
  <si>
    <t>三结一70%，30%封顶清</t>
  </si>
  <si>
    <t>2017.1-2017.3</t>
  </si>
  <si>
    <t>次月结 70%，基坑支护及土石方分部分项工程施工完后 6 个月内支付至 95%，余款 5%在该分部分工程验收后 1 个月内付清</t>
  </si>
  <si>
    <t>至今未付款</t>
  </si>
  <si>
    <t>2016.6-2017.3（2016.12-2017.2未有供砼）</t>
  </si>
  <si>
    <t>琶洲大桥基坑支护</t>
  </si>
  <si>
    <t>次月结70%，20%第三个月结，10%浇筑完毕清</t>
  </si>
  <si>
    <t>三结一80%，20%验收清</t>
  </si>
  <si>
    <t>中建三局第一建筑工程有限公司</t>
  </si>
  <si>
    <t>阿里巴巴</t>
  </si>
  <si>
    <t>C30 298元（临供）</t>
  </si>
  <si>
    <t>陈祥坚项目汇总</t>
  </si>
  <si>
    <t>2011.3-2015.1</t>
  </si>
  <si>
    <t>2015年8月完工</t>
  </si>
  <si>
    <t>2013.1-2017.4</t>
  </si>
  <si>
    <t>2014.1-2015.5</t>
  </si>
  <si>
    <t>2014.3-2016.1</t>
  </si>
  <si>
    <t>三结一80%，20%封顶结算</t>
  </si>
  <si>
    <t>2017年4月11日付50万（期票5.31）+付50万（期票5.31）+付50（期票6.31）+付50万（期票7.31）+付379279.5（期票8.31）</t>
  </si>
  <si>
    <t>2014.11-2017.4</t>
  </si>
  <si>
    <t>期票300万已入账</t>
  </si>
  <si>
    <t>四结一</t>
  </si>
  <si>
    <t>2015.10-2017.3</t>
  </si>
  <si>
    <t>五结一</t>
  </si>
  <si>
    <t>2015.10-2016.11</t>
  </si>
  <si>
    <t>分三次节点付款</t>
  </si>
  <si>
    <t>2017年6月视为封顶</t>
  </si>
  <si>
    <t>2015.10-2016.2</t>
  </si>
  <si>
    <t>2期已临供29m³</t>
  </si>
  <si>
    <t>2016.7-2017.3</t>
  </si>
  <si>
    <t>五结一，2017年3月27日改成四结一</t>
  </si>
  <si>
    <t>2期已临供30m³</t>
  </si>
  <si>
    <t>五付一</t>
  </si>
  <si>
    <t>上月反馈有款到，至今未付款</t>
  </si>
  <si>
    <t>月结</t>
  </si>
  <si>
    <t>签约方量9000m³</t>
  </si>
  <si>
    <t xml:space="preserve">        邱荣卫项目汇总</t>
  </si>
  <si>
    <t>杨箕村</t>
  </si>
  <si>
    <t>2013.3-2017.1</t>
  </si>
  <si>
    <t>三结一该批货款85%，余款主体封顶90天内结算</t>
  </si>
  <si>
    <t>最迟于2014年12月31日完工</t>
  </si>
  <si>
    <t>杨箕村D栋</t>
  </si>
  <si>
    <t>2014.3-2017.1</t>
  </si>
  <si>
    <t>最迟于2015年12月31日完工</t>
  </si>
  <si>
    <t>2013.3-2015.7</t>
  </si>
  <si>
    <t>2013.8-2017.3</t>
  </si>
  <si>
    <t>次月结至85%，15%封顶清</t>
  </si>
  <si>
    <t>金沙洲商业用房</t>
  </si>
  <si>
    <t>2014.4-2017.3</t>
  </si>
  <si>
    <t>？</t>
  </si>
  <si>
    <t>2015.1至2016.1</t>
  </si>
  <si>
    <t>2013.8-2015.2</t>
  </si>
  <si>
    <t>2013.12-2017.3</t>
  </si>
  <si>
    <t>2014.9-2016.10</t>
  </si>
  <si>
    <t>次月结80%，余款封顶结算</t>
  </si>
  <si>
    <t>2014.8-2017.4</t>
  </si>
  <si>
    <t>三结一该批货款90%，余款主体封顶90天内结算</t>
  </si>
  <si>
    <t>2015.10-2016.8</t>
  </si>
  <si>
    <t>2015年12月25日前结50%，2016年1月30日前结至70%，30%于2016年5月31日前清</t>
  </si>
  <si>
    <t>小新塘主体</t>
  </si>
  <si>
    <t>四结一80%，20%封顶清</t>
  </si>
  <si>
    <t>2015.12-2016.7</t>
  </si>
  <si>
    <t>四结一70%，30%封顶清</t>
  </si>
  <si>
    <t>2016.4-2016.12</t>
  </si>
  <si>
    <t>2016.10-2017.3</t>
  </si>
  <si>
    <t>次月结80%，20%第三个月清</t>
  </si>
  <si>
    <t xml:space="preserve">        林国德项目汇总</t>
  </si>
  <si>
    <t>2015.2-2016.10</t>
  </si>
  <si>
    <t>次月结95%，5%满三个月清</t>
  </si>
  <si>
    <t>300万以上次月结</t>
  </si>
  <si>
    <t>2014.3-2017.4</t>
  </si>
  <si>
    <t>2010.5-2014.1</t>
  </si>
  <si>
    <t>2017年1月开具50万（7.23）期票</t>
  </si>
  <si>
    <t>2017.4.10付100万</t>
  </si>
  <si>
    <t>次月结95%，5%验收6个月内清</t>
  </si>
  <si>
    <t xml:space="preserve">        郑潮通项目汇总</t>
  </si>
  <si>
    <t xml:space="preserve">        吴桂波项目汇总</t>
  </si>
  <si>
    <t xml:space="preserve">        罗银海项目汇总</t>
  </si>
  <si>
    <t>次月结80%，15%第三个月结，5%验收结</t>
  </si>
  <si>
    <t>正升东圃项目</t>
  </si>
  <si>
    <t>六结一</t>
  </si>
  <si>
    <t>正升东圃项目 (三期)</t>
  </si>
  <si>
    <t>2016.6-2017.4</t>
  </si>
  <si>
    <t>2015.9-2017.3</t>
  </si>
  <si>
    <t>次月结70%，30%封顶结</t>
  </si>
  <si>
    <t xml:space="preserve">        江奕群项目汇总</t>
  </si>
  <si>
    <t>2014.1-2015.8</t>
  </si>
  <si>
    <t>侨建大厦基坑支护</t>
  </si>
  <si>
    <t>2014.10-2016.9</t>
  </si>
  <si>
    <t>次月结90%，10%在供砼之日起120天内付清</t>
  </si>
  <si>
    <t xml:space="preserve">        高文项目汇总</t>
  </si>
  <si>
    <t>总方量（元/m³）</t>
  </si>
  <si>
    <t>2015.5-2016.7</t>
  </si>
  <si>
    <t>次月付95%，5%验收清</t>
  </si>
  <si>
    <t>完工</t>
  </si>
  <si>
    <t>东圃公交改造工程</t>
  </si>
  <si>
    <t>2015.4-2017.4</t>
  </si>
  <si>
    <t>次月付80%，20%六个月结一次</t>
  </si>
  <si>
    <t>2015.6-2015.12</t>
  </si>
  <si>
    <t>诉讼保全</t>
  </si>
  <si>
    <t>中三保利 广钢新城</t>
  </si>
  <si>
    <t>三结一70%，封顶六个月内结至95%，5%验收清</t>
  </si>
  <si>
    <t>中建三中海广钢</t>
  </si>
  <si>
    <t>五结一70%，25%封顶结，5%竣工结</t>
  </si>
  <si>
    <t>次月结80%，20%封顶清</t>
  </si>
  <si>
    <t>2016.1-2017.3</t>
  </si>
  <si>
    <t>八结一70%，封顶8个月内付至95%，5%验收满一年清</t>
  </si>
  <si>
    <t>临供未签合同已付款1260570元</t>
  </si>
  <si>
    <t>2016.11-2017.4</t>
  </si>
  <si>
    <t>未有临供程序，已出料</t>
  </si>
  <si>
    <t xml:space="preserve">        余广介项目汇总</t>
  </si>
  <si>
    <t>2011.1-2013.8</t>
  </si>
  <si>
    <t xml:space="preserve">        公司项目汇总</t>
  </si>
  <si>
    <t>四结一80%+八结一20%的滚动结算</t>
  </si>
  <si>
    <t>支付840万银承</t>
  </si>
  <si>
    <t>临供未签合同；完工？</t>
  </si>
  <si>
    <t>商业楼主体项目</t>
    <phoneticPr fontId="84" type="noConversion"/>
  </si>
  <si>
    <t>商业楼主体项目 (长兴)</t>
    <phoneticPr fontId="84" type="noConversion"/>
  </si>
  <si>
    <t>金沙洲公建五栋</t>
    <phoneticPr fontId="86" type="noConversion"/>
  </si>
  <si>
    <r>
      <t>商业用房</t>
    </r>
    <r>
      <rPr>
        <sz val="12"/>
        <color indexed="10"/>
        <rFont val="楷体_GB2312"/>
        <family val="3"/>
        <charset val="134"/>
      </rPr>
      <t>（属天力金沙洲保障房</t>
    </r>
    <phoneticPr fontId="86" type="noConversion"/>
  </si>
  <si>
    <t>金沙洲保障性住房项目（桩部位）</t>
    <phoneticPr fontId="84" type="noConversion"/>
  </si>
  <si>
    <t>金沙洲保障性住房工程（自编A1-A13栋）13幢</t>
    <phoneticPr fontId="86" type="noConversion"/>
  </si>
  <si>
    <t>中煤金沙洲保障性住房</t>
    <phoneticPr fontId="84" type="noConversion"/>
  </si>
  <si>
    <t>中煤金沙洲保障房桩部位</t>
    <phoneticPr fontId="84" type="noConversion"/>
  </si>
  <si>
    <t>国际金融城</t>
    <phoneticPr fontId="86" type="noConversion"/>
  </si>
  <si>
    <t>广州超级计算中心配套用房项目施工总承包工程</t>
    <phoneticPr fontId="8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</si>
</sst>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3">
    <numFmt numFmtId="44" formatCode="_ &quot;¥&quot;* #,##0.00_ ;_ &quot;¥&quot;* \-#,##0.00_ ;_ &quot;¥&quot;* &quot;-&quot;??_ ;_ @_ "/>
    <numFmt numFmtId="43" formatCode="_ * #,##0.00_ ;_ * \-#,##0.00_ ;_ * &quot;-&quot;??_ ;_ @_ "/>
    <numFmt numFmtId="176" formatCode="0.00_ "/>
    <numFmt numFmtId="177" formatCode="yyyy&quot;年&quot;m&quot;月&quot;;@"/>
    <numFmt numFmtId="178" formatCode="0_ "/>
    <numFmt numFmtId="179" formatCode="[DBNum2][$RMB]General;[Red][DBNum2][$RMB]General"/>
    <numFmt numFmtId="180" formatCode="0.0_ "/>
    <numFmt numFmtId="181" formatCode="yyyy&quot;年&quot;m&quot;月&quot;d&quot;日&quot;;@"/>
    <numFmt numFmtId="182" formatCode="0.00_);[Red]\(0.00\)"/>
    <numFmt numFmtId="183" formatCode="&quot;¥&quot;#,##0.00_);[Red]\(&quot;¥&quot;#,##0.00\)"/>
    <numFmt numFmtId="184" formatCode="0.00_ ;[Red]\-0.00\ "/>
    <numFmt numFmtId="185" formatCode="0.0%"/>
    <numFmt numFmtId="186" formatCode="[$-F800]dddd\,\ mmmm\ dd\,\ yyyy"/>
  </numFmts>
  <fonts count="118">
    <font>
      <sz val="12"/>
      <name val="宋体"/>
      <charset val="134"/>
    </font>
    <font>
      <sz val="12"/>
      <name val="楷体_GB2312"/>
      <family val="3"/>
      <charset val="134"/>
    </font>
    <font>
      <sz val="12"/>
      <color indexed="10"/>
      <name val="宋体"/>
      <charset val="134"/>
    </font>
    <font>
      <b/>
      <sz val="12"/>
      <name val="楷体_GB2312"/>
      <family val="3"/>
      <charset val="134"/>
    </font>
    <font>
      <sz val="11"/>
      <name val="楷体_GB2312"/>
      <family val="3"/>
      <charset val="134"/>
    </font>
    <font>
      <b/>
      <sz val="10"/>
      <name val="宋体"/>
      <charset val="134"/>
    </font>
    <font>
      <b/>
      <sz val="12"/>
      <name val="宋体"/>
      <charset val="134"/>
    </font>
    <font>
      <sz val="12"/>
      <name val="黑体"/>
      <family val="3"/>
      <charset val="134"/>
    </font>
    <font>
      <sz val="10"/>
      <name val="宋体"/>
      <charset val="134"/>
    </font>
    <font>
      <sz val="11"/>
      <name val="宋体"/>
      <charset val="134"/>
    </font>
    <font>
      <b/>
      <sz val="11"/>
      <name val="宋体"/>
      <charset val="134"/>
    </font>
    <font>
      <sz val="9"/>
      <name val="宋体"/>
      <charset val="134"/>
    </font>
    <font>
      <b/>
      <sz val="12"/>
      <color indexed="10"/>
      <name val="宋体"/>
      <charset val="134"/>
    </font>
    <font>
      <b/>
      <sz val="11"/>
      <color indexed="10"/>
      <name val="宋体"/>
      <charset val="134"/>
    </font>
    <font>
      <b/>
      <sz val="9"/>
      <color indexed="12"/>
      <name val="宋体"/>
      <charset val="134"/>
    </font>
    <font>
      <sz val="12"/>
      <color indexed="10"/>
      <name val="楷体_GB2312"/>
      <family val="3"/>
      <charset val="134"/>
    </font>
    <font>
      <b/>
      <sz val="12"/>
      <color indexed="12"/>
      <name val="宋体"/>
      <charset val="134"/>
    </font>
    <font>
      <b/>
      <sz val="10"/>
      <color indexed="10"/>
      <name val="宋体"/>
      <charset val="134"/>
    </font>
    <font>
      <sz val="10"/>
      <color indexed="12"/>
      <name val="宋体"/>
      <charset val="134"/>
    </font>
    <font>
      <sz val="10"/>
      <color indexed="10"/>
      <name val="宋体"/>
      <charset val="134"/>
    </font>
    <font>
      <sz val="12"/>
      <color indexed="12"/>
      <name val="宋体"/>
      <charset val="134"/>
    </font>
    <font>
      <b/>
      <sz val="9"/>
      <name val="宋体"/>
      <charset val="134"/>
    </font>
    <font>
      <b/>
      <sz val="12"/>
      <color indexed="10"/>
      <name val="楷体_GB2312"/>
      <family val="3"/>
      <charset val="134"/>
    </font>
    <font>
      <b/>
      <sz val="10"/>
      <color indexed="12"/>
      <name val="宋体"/>
      <charset val="134"/>
    </font>
    <font>
      <sz val="10"/>
      <name val="楷体_GB2312"/>
      <family val="3"/>
      <charset val="134"/>
    </font>
    <font>
      <sz val="12"/>
      <color indexed="12"/>
      <name val="楷体_GB2312"/>
      <family val="3"/>
      <charset val="134"/>
    </font>
    <font>
      <sz val="10"/>
      <name val="黑体"/>
      <family val="3"/>
      <charset val="134"/>
    </font>
    <font>
      <b/>
      <sz val="10"/>
      <name val="楷体_GB2312"/>
      <family val="3"/>
      <charset val="134"/>
    </font>
    <font>
      <b/>
      <sz val="12"/>
      <color indexed="10"/>
      <name val="宋体"/>
      <charset val="134"/>
    </font>
    <font>
      <b/>
      <sz val="12"/>
      <color indexed="8"/>
      <name val="宋体"/>
      <charset val="134"/>
    </font>
    <font>
      <b/>
      <sz val="10"/>
      <color indexed="10"/>
      <name val="宋体"/>
      <charset val="134"/>
    </font>
    <font>
      <sz val="11"/>
      <color indexed="10"/>
      <name val="宋体"/>
      <charset val="134"/>
    </font>
    <font>
      <b/>
      <sz val="10"/>
      <color indexed="8"/>
      <name val="宋体"/>
      <charset val="134"/>
    </font>
    <font>
      <b/>
      <sz val="11"/>
      <color indexed="8"/>
      <name val="宋体"/>
      <charset val="134"/>
    </font>
    <font>
      <b/>
      <sz val="12"/>
      <color indexed="10"/>
      <name val="楷体_GB2312"/>
      <family val="3"/>
      <charset val="134"/>
    </font>
    <font>
      <sz val="8"/>
      <name val="宋体"/>
      <charset val="134"/>
    </font>
    <font>
      <b/>
      <sz val="12"/>
      <name val="Times New Roman"/>
      <family val="1"/>
    </font>
    <font>
      <b/>
      <sz val="12"/>
      <color indexed="10"/>
      <name val="Times New Roman"/>
      <family val="1"/>
    </font>
    <font>
      <sz val="16"/>
      <name val="宋体"/>
      <charset val="134"/>
    </font>
    <font>
      <b/>
      <sz val="11"/>
      <name val="黑体"/>
      <family val="3"/>
      <charset val="134"/>
    </font>
    <font>
      <b/>
      <sz val="12"/>
      <name val="黑体"/>
      <family val="3"/>
      <charset val="134"/>
    </font>
    <font>
      <b/>
      <sz val="12"/>
      <color indexed="10"/>
      <name val="黑体"/>
      <family val="3"/>
      <charset val="134"/>
    </font>
    <font>
      <sz val="10.5"/>
      <name val="Times New Roman"/>
      <family val="1"/>
    </font>
    <font>
      <b/>
      <sz val="12"/>
      <color indexed="8"/>
      <name val="黑体"/>
      <family val="3"/>
      <charset val="134"/>
    </font>
    <font>
      <b/>
      <sz val="10"/>
      <name val="黑体"/>
      <family val="3"/>
      <charset val="134"/>
    </font>
    <font>
      <sz val="11"/>
      <color indexed="10"/>
      <name val="楷体_GB2312"/>
      <family val="3"/>
      <charset val="134"/>
    </font>
    <font>
      <b/>
      <sz val="12"/>
      <color indexed="8"/>
      <name val="Times New Roman"/>
      <family val="1"/>
    </font>
    <font>
      <sz val="11"/>
      <color indexed="10"/>
      <name val="宋体"/>
      <charset val="134"/>
    </font>
    <font>
      <sz val="9"/>
      <color indexed="8"/>
      <name val="宋体"/>
      <charset val="134"/>
    </font>
    <font>
      <sz val="10"/>
      <name val="Wingdings"/>
      <charset val="2"/>
    </font>
    <font>
      <sz val="12"/>
      <name val="Times New Roman"/>
      <family val="1"/>
    </font>
    <font>
      <b/>
      <sz val="10"/>
      <color indexed="10"/>
      <name val="楷体_GB2312"/>
      <family val="3"/>
      <charset val="134"/>
    </font>
    <font>
      <sz val="10"/>
      <color indexed="10"/>
      <name val="楷体_GB2312"/>
      <family val="3"/>
      <charset val="134"/>
    </font>
    <font>
      <b/>
      <sz val="12"/>
      <color indexed="12"/>
      <name val="楷体_GB2312"/>
      <family val="3"/>
      <charset val="134"/>
    </font>
    <font>
      <sz val="9"/>
      <color indexed="10"/>
      <name val="宋体"/>
      <charset val="134"/>
    </font>
    <font>
      <sz val="10"/>
      <color indexed="8"/>
      <name val="宋体"/>
      <charset val="134"/>
    </font>
    <font>
      <sz val="10"/>
      <color indexed="10"/>
      <name val="宋体"/>
      <charset val="134"/>
    </font>
    <font>
      <sz val="10"/>
      <color indexed="8"/>
      <name val="宋体"/>
      <charset val="134"/>
    </font>
    <font>
      <sz val="11"/>
      <color indexed="8"/>
      <name val="宋体"/>
      <charset val="134"/>
    </font>
    <font>
      <sz val="11"/>
      <color indexed="8"/>
      <name val="宋体"/>
      <charset val="134"/>
    </font>
    <font>
      <b/>
      <sz val="10"/>
      <name val="仿宋_GB2312"/>
      <family val="3"/>
      <charset val="134"/>
    </font>
    <font>
      <b/>
      <sz val="9"/>
      <color indexed="10"/>
      <name val="宋体"/>
      <charset val="134"/>
    </font>
    <font>
      <sz val="12"/>
      <color indexed="10"/>
      <name val="楷体_GB2312"/>
      <family val="3"/>
      <charset val="134"/>
    </font>
    <font>
      <sz val="14"/>
      <name val="宋体"/>
      <charset val="134"/>
    </font>
    <font>
      <sz val="14"/>
      <name val="楷体_GB2312"/>
      <family val="3"/>
      <charset val="134"/>
    </font>
    <font>
      <sz val="9"/>
      <name val="楷体_GB2312"/>
      <family val="3"/>
      <charset val="134"/>
    </font>
    <font>
      <b/>
      <sz val="14"/>
      <name val="宋体"/>
      <charset val="134"/>
    </font>
    <font>
      <b/>
      <sz val="14"/>
      <name val="Times New Roman"/>
      <family val="1"/>
    </font>
    <font>
      <u/>
      <sz val="12"/>
      <color indexed="12"/>
      <name val="宋体"/>
      <charset val="134"/>
    </font>
    <font>
      <b/>
      <sz val="12"/>
      <name val="华文中宋"/>
      <charset val="134"/>
    </font>
    <font>
      <u/>
      <sz val="11"/>
      <color indexed="20"/>
      <name val="宋体"/>
      <charset val="134"/>
    </font>
    <font>
      <u/>
      <sz val="12"/>
      <color indexed="20"/>
      <name val="宋体"/>
      <charset val="134"/>
    </font>
    <font>
      <u/>
      <sz val="12"/>
      <color indexed="10"/>
      <name val="宋体"/>
      <charset val="134"/>
    </font>
    <font>
      <vertAlign val="superscript"/>
      <sz val="12"/>
      <name val="宋体"/>
      <charset val="134"/>
    </font>
    <font>
      <vertAlign val="superscript"/>
      <sz val="12"/>
      <name val="黑体"/>
      <family val="3"/>
      <charset val="134"/>
    </font>
    <font>
      <u/>
      <sz val="12"/>
      <name val="宋体"/>
      <charset val="134"/>
    </font>
    <font>
      <b/>
      <sz val="12"/>
      <name val="Arial"/>
      <family val="2"/>
    </font>
    <font>
      <vertAlign val="superscript"/>
      <sz val="11"/>
      <name val="宋体"/>
      <charset val="134"/>
    </font>
    <font>
      <sz val="10.5"/>
      <name val="宋体"/>
      <charset val="134"/>
    </font>
    <font>
      <sz val="10"/>
      <color indexed="12"/>
      <name val="楷体_GB2312"/>
      <family val="3"/>
      <charset val="134"/>
    </font>
    <font>
      <u/>
      <sz val="9"/>
      <name val="Times New Roman"/>
      <family val="1"/>
    </font>
    <font>
      <sz val="9"/>
      <name val="Times New Roman"/>
      <family val="1"/>
    </font>
    <font>
      <vertAlign val="superscript"/>
      <sz val="12"/>
      <name val="楷体_GB2312"/>
      <family val="3"/>
      <charset val="134"/>
    </font>
    <font>
      <sz val="12"/>
      <name val="宋体"/>
      <charset val="134"/>
    </font>
    <font>
      <sz val="9"/>
      <name val="宋体"/>
      <charset val="134"/>
    </font>
    <font>
      <sz val="12"/>
      <name val="宋体"/>
      <charset val="134"/>
    </font>
    <font>
      <sz val="9"/>
      <name val="宋体"/>
      <charset val="134"/>
    </font>
    <font>
      <b/>
      <sz val="14"/>
      <name val="宋体"/>
      <charset val="134"/>
    </font>
    <font>
      <sz val="11"/>
      <color theme="1"/>
      <name val="宋体"/>
      <charset val="134"/>
      <scheme val="minor"/>
    </font>
    <font>
      <u/>
      <sz val="11"/>
      <color rgb="FF0000FF"/>
      <name val="宋体"/>
      <charset val="134"/>
      <scheme val="minor"/>
    </font>
    <font>
      <sz val="12"/>
      <color theme="1"/>
      <name val="宋体"/>
      <charset val="134"/>
      <scheme val="minor"/>
    </font>
    <font>
      <b/>
      <sz val="12"/>
      <color rgb="FFFF0000"/>
      <name val="宋体"/>
      <charset val="134"/>
    </font>
    <font>
      <b/>
      <sz val="10"/>
      <color rgb="FFFF0000"/>
      <name val="宋体"/>
      <charset val="134"/>
    </font>
    <font>
      <b/>
      <sz val="12"/>
      <color rgb="FFFF0000"/>
      <name val="楷体_GB2312"/>
      <family val="3"/>
      <charset val="134"/>
    </font>
    <font>
      <b/>
      <sz val="12"/>
      <color rgb="FFFF0000"/>
      <name val="Times New Roman"/>
      <family val="1"/>
    </font>
    <font>
      <b/>
      <sz val="12"/>
      <color theme="1"/>
      <name val="宋体"/>
      <charset val="134"/>
    </font>
    <font>
      <b/>
      <sz val="10"/>
      <color rgb="FFFF0000"/>
      <name val="楷体_GB2312"/>
      <family val="3"/>
      <charset val="134"/>
    </font>
    <font>
      <b/>
      <sz val="12"/>
      <color theme="1"/>
      <name val="楷体_GB2312"/>
      <family val="3"/>
      <charset val="134"/>
    </font>
    <font>
      <sz val="12"/>
      <color rgb="FFFF0000"/>
      <name val="楷体_GB2312"/>
      <family val="3"/>
      <charset val="134"/>
    </font>
    <font>
      <sz val="12"/>
      <color rgb="FFFF0000"/>
      <name val="宋体"/>
      <charset val="134"/>
    </font>
    <font>
      <sz val="11"/>
      <color rgb="FF000000"/>
      <name val="Times New Roman"/>
      <family val="1"/>
    </font>
    <font>
      <sz val="12"/>
      <color theme="1"/>
      <name val="宋体"/>
      <charset val="134"/>
    </font>
    <font>
      <b/>
      <sz val="10"/>
      <color theme="1"/>
      <name val="宋体"/>
      <charset val="134"/>
    </font>
    <font>
      <sz val="11"/>
      <color rgb="FFFF0000"/>
      <name val="宋体"/>
      <charset val="134"/>
    </font>
    <font>
      <b/>
      <sz val="12"/>
      <color theme="1"/>
      <name val="宋体"/>
      <charset val="134"/>
      <scheme val="minor"/>
    </font>
    <font>
      <b/>
      <sz val="12"/>
      <color rgb="FFFF0000"/>
      <name val="宋体"/>
      <charset val="134"/>
      <scheme val="minor"/>
    </font>
    <font>
      <sz val="12"/>
      <color rgb="FFFF0000"/>
      <name val="宋体"/>
      <charset val="134"/>
      <scheme val="minor"/>
    </font>
    <font>
      <b/>
      <sz val="12"/>
      <color theme="1"/>
      <name val="华文中宋"/>
      <charset val="134"/>
    </font>
    <font>
      <u/>
      <sz val="11"/>
      <color rgb="FF800080"/>
      <name val="宋体"/>
      <charset val="134"/>
      <scheme val="minor"/>
    </font>
    <font>
      <u/>
      <sz val="12"/>
      <color rgb="FFFF0000"/>
      <name val="宋体"/>
      <charset val="134"/>
    </font>
    <font>
      <u/>
      <sz val="12"/>
      <color rgb="FF800080"/>
      <name val="宋体"/>
      <charset val="134"/>
    </font>
    <font>
      <u/>
      <sz val="11"/>
      <color rgb="FFFF0000"/>
      <name val="宋体"/>
      <charset val="134"/>
      <scheme val="minor"/>
    </font>
    <font>
      <sz val="11"/>
      <color rgb="FF800080"/>
      <name val="宋体"/>
      <charset val="134"/>
      <scheme val="minor"/>
    </font>
    <font>
      <sz val="10"/>
      <color rgb="FFFF0000"/>
      <name val="宋体"/>
      <charset val="134"/>
    </font>
    <font>
      <sz val="11"/>
      <color rgb="FF000000"/>
      <name val="宋体"/>
      <charset val="134"/>
    </font>
    <font>
      <sz val="10"/>
      <color rgb="FF000000"/>
      <name val="宋体"/>
      <charset val="134"/>
    </font>
    <font>
      <sz val="11"/>
      <color rgb="FFFF0000"/>
      <name val="楷体_GB2312"/>
      <family val="3"/>
      <charset val="134"/>
    </font>
    <font>
      <u/>
      <sz val="12"/>
      <color rgb="FF800080"/>
      <name val="宋体"/>
      <charset val="134"/>
      <scheme val="minor"/>
    </font>
  </fonts>
  <fills count="19">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52"/>
        <bgColor indexed="64"/>
      </patternFill>
    </fill>
    <fill>
      <patternFill patternType="solid">
        <fgColor indexed="11"/>
        <bgColor indexed="64"/>
      </patternFill>
    </fill>
    <fill>
      <patternFill patternType="solid">
        <fgColor rgb="FFFFFFCC"/>
        <bgColor indexed="64"/>
      </patternFill>
    </fill>
    <fill>
      <patternFill patternType="solid">
        <fgColor rgb="FFFFFF00"/>
        <bgColor indexed="64"/>
      </patternFill>
    </fill>
    <fill>
      <patternFill patternType="solid">
        <fgColor rgb="FFF1F386"/>
        <bgColor indexed="64"/>
      </patternFill>
    </fill>
    <fill>
      <patternFill patternType="solid">
        <fgColor rgb="FFFFFF99"/>
        <bgColor indexed="64"/>
      </patternFill>
    </fill>
    <fill>
      <patternFill patternType="solid">
        <fgColor rgb="FFF8FB99"/>
        <bgColor indexed="64"/>
      </patternFill>
    </fill>
    <fill>
      <patternFill patternType="solid">
        <fgColor rgb="FFF9F594"/>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7030A0"/>
        <bgColor indexed="64"/>
      </patternFill>
    </fill>
    <fill>
      <patternFill patternType="solid">
        <fgColor rgb="FFCC99FF"/>
        <bgColor indexed="64"/>
      </patternFill>
    </fill>
    <fill>
      <patternFill patternType="solid">
        <fgColor rgb="FFC00000"/>
        <bgColor indexed="64"/>
      </patternFill>
    </fill>
  </fills>
  <borders count="56">
    <border>
      <left/>
      <right/>
      <top/>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indexed="64"/>
      </left>
      <right style="double">
        <color indexed="64"/>
      </right>
      <top style="double">
        <color indexed="64"/>
      </top>
      <bottom style="thin">
        <color indexed="64"/>
      </bottom>
      <diagonal/>
    </border>
    <border>
      <left style="double">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double">
        <color indexed="64"/>
      </right>
      <top/>
      <bottom/>
      <diagonal/>
    </border>
    <border>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top style="thin">
        <color indexed="64"/>
      </top>
      <bottom/>
      <diagonal/>
    </border>
    <border>
      <left style="double">
        <color indexed="64"/>
      </left>
      <right style="thin">
        <color indexed="64"/>
      </right>
      <top style="thin">
        <color indexed="64"/>
      </top>
      <bottom/>
      <diagonal/>
    </border>
    <border>
      <left style="thick">
        <color indexed="64"/>
      </left>
      <right style="thin">
        <color indexed="64"/>
      </right>
      <top/>
      <bottom style="thin">
        <color indexed="64"/>
      </bottom>
      <diagonal/>
    </border>
    <border>
      <left style="double">
        <color indexed="64"/>
      </left>
      <right style="thin">
        <color indexed="64"/>
      </right>
      <top/>
      <bottom style="thin">
        <color indexed="64"/>
      </bottom>
      <diagonal/>
    </border>
    <border>
      <left/>
      <right style="thin">
        <color indexed="64"/>
      </right>
      <top style="double">
        <color indexed="64"/>
      </top>
      <bottom style="thin">
        <color indexed="64"/>
      </bottom>
      <diagonal/>
    </border>
    <border>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diagonal/>
    </border>
    <border>
      <left/>
      <right/>
      <top style="thin">
        <color indexed="64"/>
      </top>
      <bottom style="thin">
        <color indexed="64"/>
      </bottom>
      <diagonal/>
    </border>
    <border>
      <left style="thick">
        <color indexed="64"/>
      </left>
      <right style="thin">
        <color indexed="64"/>
      </right>
      <top style="thin">
        <color indexed="64"/>
      </top>
      <bottom/>
      <diagonal/>
    </border>
    <border>
      <left style="thin">
        <color indexed="64"/>
      </left>
      <right/>
      <top/>
      <bottom/>
      <diagonal/>
    </border>
    <border>
      <left/>
      <right style="thin">
        <color indexed="64"/>
      </right>
      <top style="thin">
        <color indexed="64"/>
      </top>
      <bottom/>
      <diagonal/>
    </border>
    <border>
      <left style="thick">
        <color indexed="64"/>
      </left>
      <right style="thin">
        <color indexed="64"/>
      </right>
      <top/>
      <bottom/>
      <diagonal/>
    </border>
    <border>
      <left/>
      <right/>
      <top style="thin">
        <color indexed="64"/>
      </top>
      <bottom/>
      <diagonal/>
    </border>
    <border>
      <left/>
      <right style="double">
        <color indexed="64"/>
      </right>
      <top/>
      <bottom/>
      <diagonal/>
    </border>
    <border>
      <left/>
      <right style="double">
        <color indexed="64"/>
      </right>
      <top style="thin">
        <color indexed="64"/>
      </top>
      <bottom/>
      <diagonal/>
    </border>
    <border>
      <left style="thick">
        <color indexed="64"/>
      </left>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diagonal/>
    </border>
    <border>
      <left/>
      <right/>
      <top/>
      <bottom style="thin">
        <color indexed="64"/>
      </bottom>
      <diagonal/>
    </border>
    <border>
      <left/>
      <right style="double">
        <color indexed="64"/>
      </right>
      <top/>
      <bottom style="thin">
        <color indexed="64"/>
      </bottom>
      <diagonal/>
    </border>
    <border>
      <left style="thin">
        <color indexed="64"/>
      </left>
      <right/>
      <top style="double">
        <color indexed="64"/>
      </top>
      <bottom style="thin">
        <color indexed="64"/>
      </bottom>
      <diagonal/>
    </border>
    <border>
      <left style="thin">
        <color indexed="64"/>
      </left>
      <right/>
      <top style="double">
        <color indexed="64"/>
      </top>
      <bottom/>
      <diagonal/>
    </border>
    <border>
      <left/>
      <right/>
      <top style="double">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bottom style="thin">
        <color indexed="64"/>
      </bottom>
      <diagonal/>
    </border>
    <border>
      <left style="double">
        <color indexed="64"/>
      </left>
      <right style="thin">
        <color indexed="64"/>
      </right>
      <top style="double">
        <color indexed="64"/>
      </top>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right/>
      <top style="double">
        <color indexed="64"/>
      </top>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bottom style="thin">
        <color indexed="64"/>
      </bottom>
      <diagonal/>
    </border>
  </borders>
  <cellStyleXfs count="23">
    <xf numFmtId="0" fontId="0" fillId="0" borderId="0">
      <alignment vertical="center"/>
    </xf>
    <xf numFmtId="9" fontId="83" fillId="0" borderId="0" applyFont="0" applyFill="0" applyBorder="0" applyAlignment="0" applyProtection="0">
      <alignment vertical="center"/>
    </xf>
    <xf numFmtId="0" fontId="88" fillId="0" borderId="0">
      <alignment vertical="center"/>
    </xf>
    <xf numFmtId="0" fontId="59" fillId="0" borderId="0">
      <alignment vertical="center"/>
    </xf>
    <xf numFmtId="0" fontId="59" fillId="0" borderId="0">
      <alignment vertical="center"/>
    </xf>
    <xf numFmtId="0" fontId="83" fillId="0" borderId="0">
      <alignment vertical="center"/>
    </xf>
    <xf numFmtId="0" fontId="83" fillId="0" borderId="0">
      <alignment vertical="center"/>
    </xf>
    <xf numFmtId="0" fontId="83" fillId="0" borderId="0" applyProtection="0">
      <alignment vertical="center"/>
    </xf>
    <xf numFmtId="0" fontId="83" fillId="0" borderId="0"/>
    <xf numFmtId="0" fontId="83" fillId="0" borderId="0"/>
    <xf numFmtId="0" fontId="83" fillId="0" borderId="0"/>
    <xf numFmtId="0" fontId="83" fillId="0" borderId="0"/>
    <xf numFmtId="0" fontId="83" fillId="0" borderId="0"/>
    <xf numFmtId="0" fontId="83" fillId="0" borderId="0"/>
    <xf numFmtId="0" fontId="83" fillId="0" borderId="0">
      <alignment vertical="center"/>
    </xf>
    <xf numFmtId="0" fontId="83" fillId="0" borderId="0">
      <alignment vertical="center"/>
    </xf>
    <xf numFmtId="0" fontId="83" fillId="0" borderId="0">
      <alignment vertical="center"/>
    </xf>
    <xf numFmtId="0" fontId="83" fillId="0" borderId="0">
      <alignment vertical="center"/>
    </xf>
    <xf numFmtId="0" fontId="83" fillId="0" borderId="0"/>
    <xf numFmtId="0" fontId="83" fillId="0" borderId="0"/>
    <xf numFmtId="0" fontId="89" fillId="0" borderId="0" applyNumberFormat="0" applyFill="0" applyBorder="0" applyAlignment="0" applyProtection="0">
      <alignment vertical="center"/>
    </xf>
    <xf numFmtId="44" fontId="83" fillId="0" borderId="0" applyFont="0" applyFill="0" applyBorder="0" applyAlignment="0" applyProtection="0">
      <alignment vertical="center"/>
    </xf>
    <xf numFmtId="43" fontId="83" fillId="0" borderId="0" applyFont="0" applyFill="0" applyBorder="0" applyAlignment="0" applyProtection="0">
      <alignment vertical="center"/>
    </xf>
  </cellStyleXfs>
  <cellXfs count="2285">
    <xf numFmtId="0" fontId="0" fillId="0" borderId="0" xfId="0">
      <alignment vertical="center"/>
    </xf>
    <xf numFmtId="0" fontId="1" fillId="0" borderId="0" xfId="17" applyFont="1" applyFill="1" applyBorder="1" applyAlignment="1">
      <alignment horizontal="center" vertical="center"/>
    </xf>
    <xf numFmtId="0" fontId="1" fillId="0" borderId="0" xfId="16" applyFont="1" applyBorder="1" applyAlignment="1">
      <alignment horizontal="center" vertical="center"/>
    </xf>
    <xf numFmtId="0" fontId="1" fillId="2" borderId="0" xfId="17" applyFont="1" applyFill="1" applyBorder="1" applyAlignment="1">
      <alignment horizontal="center" vertical="center"/>
    </xf>
    <xf numFmtId="0" fontId="0" fillId="0" borderId="0" xfId="0" applyBorder="1" applyAlignment="1"/>
    <xf numFmtId="0" fontId="0" fillId="0" borderId="0" xfId="0" applyFill="1" applyBorder="1" applyAlignment="1"/>
    <xf numFmtId="0" fontId="0" fillId="3" borderId="0" xfId="0" applyFill="1" applyBorder="1" applyAlignment="1"/>
    <xf numFmtId="0" fontId="0"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0" xfId="16" applyFont="1" applyAlignment="1">
      <alignment horizontal="center" vertical="center"/>
    </xf>
    <xf numFmtId="0" fontId="0" fillId="0" borderId="0" xfId="0" applyAlignment="1"/>
    <xf numFmtId="0" fontId="1" fillId="0" borderId="0" xfId="0" applyFont="1" applyBorder="1" applyAlignment="1">
      <alignment horizontal="center" vertical="center"/>
    </xf>
    <xf numFmtId="0" fontId="1" fillId="0" borderId="0" xfId="0" applyNumberFormat="1" applyFont="1" applyBorder="1" applyAlignment="1">
      <alignment horizontal="center" vertical="center"/>
    </xf>
    <xf numFmtId="0" fontId="3" fillId="0" borderId="1" xfId="17" applyFont="1" applyFill="1" applyBorder="1" applyAlignment="1">
      <alignment vertical="center"/>
    </xf>
    <xf numFmtId="0" fontId="1" fillId="0" borderId="2" xfId="17" applyFont="1" applyFill="1" applyBorder="1" applyAlignment="1">
      <alignment horizontal="center" vertical="center"/>
    </xf>
    <xf numFmtId="0" fontId="1" fillId="0" borderId="3" xfId="17" applyFont="1" applyFill="1" applyBorder="1" applyAlignment="1">
      <alignment horizontal="center" vertical="center" wrapText="1"/>
    </xf>
    <xf numFmtId="0" fontId="1" fillId="0" borderId="3" xfId="17" applyFont="1" applyFill="1" applyBorder="1" applyAlignment="1">
      <alignment horizontal="center" vertical="center"/>
    </xf>
    <xf numFmtId="0" fontId="0" fillId="0" borderId="3" xfId="17" applyFont="1" applyFill="1" applyBorder="1" applyAlignment="1">
      <alignment horizontal="center" vertical="center"/>
    </xf>
    <xf numFmtId="0" fontId="1" fillId="0" borderId="3" xfId="17" applyNumberFormat="1" applyFont="1" applyFill="1" applyBorder="1" applyAlignment="1">
      <alignment horizontal="center" vertical="center"/>
    </xf>
    <xf numFmtId="0" fontId="1" fillId="0" borderId="2" xfId="16" applyFont="1" applyBorder="1" applyAlignment="1">
      <alignment horizontal="center" vertical="center"/>
    </xf>
    <xf numFmtId="0" fontId="1" fillId="0" borderId="3" xfId="13" applyFont="1" applyBorder="1" applyAlignment="1">
      <alignment horizontal="center" vertical="center" wrapText="1"/>
    </xf>
    <xf numFmtId="0" fontId="1" fillId="0" borderId="3" xfId="0" applyFont="1" applyFill="1" applyBorder="1" applyAlignment="1">
      <alignment horizontal="center" vertical="center" wrapText="1"/>
    </xf>
    <xf numFmtId="0" fontId="1" fillId="0" borderId="3" xfId="13" applyNumberFormat="1" applyFont="1" applyBorder="1" applyAlignment="1">
      <alignment horizontal="center" vertical="center" wrapText="1"/>
    </xf>
    <xf numFmtId="57" fontId="5" fillId="2" borderId="2" xfId="15" applyNumberFormat="1" applyFont="1" applyFill="1" applyBorder="1" applyAlignment="1">
      <alignment horizontal="center" vertical="center" wrapText="1"/>
    </xf>
    <xf numFmtId="0" fontId="6" fillId="2" borderId="3" xfId="17" applyFont="1" applyFill="1" applyBorder="1" applyAlignment="1">
      <alignment horizontal="center" vertical="center"/>
    </xf>
    <xf numFmtId="176" fontId="6" fillId="2" borderId="3" xfId="17" applyNumberFormat="1" applyFont="1" applyFill="1" applyBorder="1" applyAlignment="1">
      <alignment horizontal="center" vertical="center"/>
    </xf>
    <xf numFmtId="57" fontId="6" fillId="2" borderId="2" xfId="15" applyNumberFormat="1" applyFont="1" applyFill="1" applyBorder="1" applyAlignment="1">
      <alignment horizontal="center" vertical="center" wrapText="1"/>
    </xf>
    <xf numFmtId="57" fontId="6" fillId="0" borderId="2" xfId="15" applyNumberFormat="1" applyFont="1" applyFill="1" applyBorder="1" applyAlignment="1">
      <alignment horizontal="center" vertical="center" wrapText="1"/>
    </xf>
    <xf numFmtId="0" fontId="6" fillId="0" borderId="3" xfId="17" applyFont="1" applyFill="1" applyBorder="1" applyAlignment="1">
      <alignment horizontal="center" vertical="center"/>
    </xf>
    <xf numFmtId="176" fontId="6" fillId="0" borderId="3" xfId="17" applyNumberFormat="1" applyFont="1" applyFill="1" applyBorder="1" applyAlignment="1">
      <alignment horizontal="center" vertical="center"/>
    </xf>
    <xf numFmtId="57" fontId="6" fillId="0" borderId="4" xfId="15" applyNumberFormat="1" applyFont="1" applyFill="1" applyBorder="1" applyAlignment="1">
      <alignment horizontal="center" vertical="center" wrapText="1"/>
    </xf>
    <xf numFmtId="0" fontId="6" fillId="0" borderId="5" xfId="17" applyFont="1" applyFill="1" applyBorder="1" applyAlignment="1">
      <alignment horizontal="center" vertical="center"/>
    </xf>
    <xf numFmtId="176" fontId="6" fillId="0" borderId="5" xfId="17" applyNumberFormat="1" applyFont="1" applyFill="1" applyBorder="1" applyAlignment="1">
      <alignment horizontal="center" vertical="center"/>
    </xf>
    <xf numFmtId="57" fontId="6" fillId="2" borderId="2" xfId="15" applyNumberFormat="1" applyFont="1" applyFill="1" applyBorder="1" applyAlignment="1">
      <alignment horizontal="center" vertical="center"/>
    </xf>
    <xf numFmtId="0" fontId="3" fillId="0" borderId="6" xfId="0" applyFont="1" applyBorder="1" applyAlignment="1">
      <alignment vertical="center"/>
    </xf>
    <xf numFmtId="31" fontId="3" fillId="0" borderId="1" xfId="0" applyNumberFormat="1" applyFont="1" applyBorder="1" applyAlignment="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vertical="center"/>
    </xf>
    <xf numFmtId="0" fontId="1" fillId="0" borderId="2" xfId="0" applyFont="1" applyBorder="1" applyAlignment="1">
      <alignment horizontal="center" vertical="center"/>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1" fillId="0" borderId="3" xfId="0" applyFont="1" applyBorder="1" applyAlignment="1">
      <alignment horizontal="left" vertical="center" wrapText="1"/>
    </xf>
    <xf numFmtId="0" fontId="7" fillId="0" borderId="3" xfId="0" applyFont="1" applyBorder="1" applyAlignment="1">
      <alignment horizontal="center" vertical="center"/>
    </xf>
    <xf numFmtId="0" fontId="4" fillId="0" borderId="3" xfId="0" applyFont="1" applyBorder="1" applyAlignment="1">
      <alignment horizontal="left" vertical="center" wrapText="1"/>
    </xf>
    <xf numFmtId="177" fontId="6" fillId="0" borderId="2" xfId="0" applyNumberFormat="1"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0" borderId="3" xfId="0" applyFont="1" applyFill="1" applyBorder="1" applyAlignment="1">
      <alignment horizontal="center" vertical="center"/>
    </xf>
    <xf numFmtId="177" fontId="6" fillId="0" borderId="2" xfId="0" applyNumberFormat="1" applyFont="1" applyFill="1" applyBorder="1" applyAlignment="1">
      <alignment horizontal="center" vertical="center"/>
    </xf>
    <xf numFmtId="177" fontId="6" fillId="3" borderId="4" xfId="0" applyNumberFormat="1" applyFont="1" applyFill="1" applyBorder="1" applyAlignment="1">
      <alignment horizontal="center" vertical="center"/>
    </xf>
    <xf numFmtId="0" fontId="6" fillId="3" borderId="5" xfId="0" applyFont="1" applyFill="1" applyBorder="1" applyAlignment="1">
      <alignment horizontal="center" vertical="center" wrapText="1"/>
    </xf>
    <xf numFmtId="0" fontId="6" fillId="3" borderId="5" xfId="0" applyFont="1" applyFill="1" applyBorder="1" applyAlignment="1">
      <alignment horizontal="center" vertical="center"/>
    </xf>
    <xf numFmtId="177" fontId="6" fillId="0" borderId="4" xfId="0" applyNumberFormat="1"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5" xfId="0" applyFont="1" applyFill="1" applyBorder="1" applyAlignment="1">
      <alignment horizontal="center" vertical="center"/>
    </xf>
    <xf numFmtId="31" fontId="0" fillId="0" borderId="1" xfId="0" applyNumberFormat="1" applyFont="1" applyBorder="1" applyAlignment="1">
      <alignment vertical="center"/>
    </xf>
    <xf numFmtId="0" fontId="0" fillId="0" borderId="1" xfId="0" applyFont="1" applyBorder="1" applyAlignment="1">
      <alignment vertical="center" wrapText="1"/>
    </xf>
    <xf numFmtId="0" fontId="1" fillId="0" borderId="1" xfId="0" applyFont="1" applyBorder="1" applyAlignment="1">
      <alignment horizontal="center" vertical="center"/>
    </xf>
    <xf numFmtId="0" fontId="8" fillId="0" borderId="3" xfId="0" applyFont="1" applyBorder="1" applyAlignment="1">
      <alignment vertical="center" wrapText="1"/>
    </xf>
    <xf numFmtId="0" fontId="0" fillId="0" borderId="3" xfId="0" applyFont="1" applyBorder="1" applyAlignment="1">
      <alignment horizontal="center" vertical="center" wrapText="1"/>
    </xf>
    <xf numFmtId="0" fontId="9" fillId="0" borderId="3" xfId="0" applyFont="1" applyBorder="1" applyAlignment="1">
      <alignment horizontal="left" vertical="center" wrapText="1"/>
    </xf>
    <xf numFmtId="0" fontId="9" fillId="0" borderId="3" xfId="0" applyFont="1" applyBorder="1" applyAlignment="1">
      <alignment horizontal="center" vertical="center" wrapText="1"/>
    </xf>
    <xf numFmtId="0" fontId="1" fillId="0" borderId="1" xfId="17" applyNumberFormat="1" applyFont="1" applyFill="1" applyBorder="1" applyAlignment="1">
      <alignment horizontal="center" vertical="center"/>
    </xf>
    <xf numFmtId="0" fontId="6" fillId="0" borderId="0" xfId="17" applyFont="1" applyFill="1" applyBorder="1" applyAlignment="1">
      <alignment horizontal="center" vertical="center"/>
    </xf>
    <xf numFmtId="0" fontId="1" fillId="0" borderId="3" xfId="17" applyNumberFormat="1" applyFont="1" applyFill="1" applyBorder="1" applyAlignment="1">
      <alignment vertical="center"/>
    </xf>
    <xf numFmtId="0" fontId="9" fillId="0" borderId="3" xfId="17" applyFont="1" applyFill="1" applyBorder="1" applyAlignment="1">
      <alignment vertical="center" wrapText="1"/>
    </xf>
    <xf numFmtId="0" fontId="9" fillId="0" borderId="3" xfId="17" applyFont="1" applyFill="1" applyBorder="1" applyAlignment="1">
      <alignment horizontal="center" vertical="center" wrapText="1"/>
    </xf>
    <xf numFmtId="0" fontId="9" fillId="0" borderId="7" xfId="17" applyFont="1" applyFill="1" applyBorder="1" applyAlignment="1">
      <alignment vertical="center" wrapText="1"/>
    </xf>
    <xf numFmtId="0" fontId="11" fillId="0" borderId="3" xfId="0" applyFont="1" applyBorder="1" applyAlignment="1">
      <alignment vertical="center" wrapText="1"/>
    </xf>
    <xf numFmtId="0" fontId="0" fillId="0" borderId="7" xfId="17" applyFont="1" applyFill="1" applyBorder="1" applyAlignment="1">
      <alignment horizontal="center" vertical="center"/>
    </xf>
    <xf numFmtId="0" fontId="1" fillId="0" borderId="3" xfId="13" applyFont="1" applyFill="1" applyBorder="1" applyAlignment="1">
      <alignment horizontal="center" vertical="center" wrapText="1"/>
    </xf>
    <xf numFmtId="0" fontId="1" fillId="0" borderId="7" xfId="16" applyFont="1" applyBorder="1" applyAlignment="1">
      <alignment horizontal="center" vertical="center"/>
    </xf>
    <xf numFmtId="0" fontId="6" fillId="0" borderId="0" xfId="16" applyFont="1" applyBorder="1" applyAlignment="1">
      <alignment horizontal="center" vertical="center"/>
    </xf>
    <xf numFmtId="0" fontId="6" fillId="2" borderId="3" xfId="17" applyNumberFormat="1" applyFont="1" applyFill="1" applyBorder="1" applyAlignment="1">
      <alignment horizontal="center" vertical="center"/>
    </xf>
    <xf numFmtId="0" fontId="6" fillId="2" borderId="3" xfId="8" applyFont="1" applyFill="1" applyBorder="1" applyAlignment="1">
      <alignment horizontal="center" vertical="center"/>
    </xf>
    <xf numFmtId="0" fontId="0" fillId="2" borderId="7" xfId="17" applyFont="1" applyFill="1" applyBorder="1" applyAlignment="1">
      <alignment horizontal="center" vertical="center"/>
    </xf>
    <xf numFmtId="0" fontId="6" fillId="2" borderId="0" xfId="17" applyFont="1" applyFill="1" applyBorder="1" applyAlignment="1">
      <alignment horizontal="center" vertical="center"/>
    </xf>
    <xf numFmtId="0" fontId="5" fillId="2" borderId="7" xfId="17" applyFont="1" applyFill="1" applyBorder="1" applyAlignment="1">
      <alignment horizontal="left" vertical="center" wrapText="1"/>
    </xf>
    <xf numFmtId="0" fontId="0" fillId="2" borderId="7" xfId="17" applyFont="1" applyFill="1" applyBorder="1" applyAlignment="1">
      <alignment horizontal="left" vertical="center"/>
    </xf>
    <xf numFmtId="0" fontId="6" fillId="2" borderId="7" xfId="17" applyFont="1" applyFill="1" applyBorder="1" applyAlignment="1">
      <alignment horizontal="left" vertical="center" wrapText="1"/>
    </xf>
    <xf numFmtId="0" fontId="6" fillId="0" borderId="3" xfId="17" applyNumberFormat="1" applyFont="1" applyFill="1" applyBorder="1" applyAlignment="1">
      <alignment horizontal="center" vertical="center"/>
    </xf>
    <xf numFmtId="0" fontId="6" fillId="0" borderId="3" xfId="8" applyFont="1" applyFill="1" applyBorder="1" applyAlignment="1">
      <alignment horizontal="center" vertical="center"/>
    </xf>
    <xf numFmtId="0" fontId="0" fillId="0" borderId="7" xfId="17" applyFont="1" applyFill="1" applyBorder="1" applyAlignment="1">
      <alignment horizontal="left" vertical="center"/>
    </xf>
    <xf numFmtId="0" fontId="6" fillId="0" borderId="5" xfId="17" applyNumberFormat="1" applyFont="1" applyFill="1" applyBorder="1" applyAlignment="1">
      <alignment horizontal="center" vertical="center"/>
    </xf>
    <xf numFmtId="0" fontId="6" fillId="0" borderId="5" xfId="8" applyFont="1" applyFill="1" applyBorder="1" applyAlignment="1">
      <alignment horizontal="center" vertical="center"/>
    </xf>
    <xf numFmtId="0" fontId="12" fillId="0" borderId="8" xfId="17" applyFont="1" applyFill="1" applyBorder="1" applyAlignment="1">
      <alignment horizontal="left" vertical="center"/>
    </xf>
    <xf numFmtId="0" fontId="1" fillId="0" borderId="1" xfId="17" applyNumberFormat="1" applyFont="1" applyFill="1" applyBorder="1" applyAlignment="1">
      <alignment vertical="center"/>
    </xf>
    <xf numFmtId="0" fontId="5" fillId="2" borderId="7" xfId="17" applyFont="1" applyFill="1" applyBorder="1" applyAlignment="1">
      <alignment horizontal="center" vertical="center" wrapText="1"/>
    </xf>
    <xf numFmtId="0" fontId="9" fillId="0" borderId="9" xfId="0" applyFont="1" applyBorder="1" applyAlignment="1">
      <alignment vertical="center" wrapText="1"/>
    </xf>
    <xf numFmtId="0" fontId="0" fillId="0" borderId="7" xfId="0" applyFont="1" applyBorder="1" applyAlignment="1">
      <alignment vertical="center"/>
    </xf>
    <xf numFmtId="0" fontId="1" fillId="0" borderId="3" xfId="0" applyFont="1" applyBorder="1" applyAlignment="1">
      <alignment vertical="center" wrapText="1"/>
    </xf>
    <xf numFmtId="0" fontId="1" fillId="0" borderId="3" xfId="17" applyFont="1" applyFill="1" applyBorder="1" applyAlignment="1">
      <alignment vertical="center"/>
    </xf>
    <xf numFmtId="0" fontId="1" fillId="0" borderId="7" xfId="17" applyFont="1" applyFill="1" applyBorder="1" applyAlignment="1">
      <alignment horizontal="center" vertical="center" wrapText="1"/>
    </xf>
    <xf numFmtId="0" fontId="4" fillId="0" borderId="7" xfId="0" applyFont="1" applyBorder="1" applyAlignment="1">
      <alignment vertical="center" wrapText="1"/>
    </xf>
    <xf numFmtId="0" fontId="6" fillId="0" borderId="7" xfId="0" applyFont="1" applyFill="1" applyBorder="1" applyAlignment="1">
      <alignment horizontal="left" vertical="center" wrapText="1"/>
    </xf>
    <xf numFmtId="0" fontId="6" fillId="0" borderId="7" xfId="0" applyFont="1" applyFill="1" applyBorder="1" applyAlignment="1">
      <alignment wrapText="1"/>
    </xf>
    <xf numFmtId="0" fontId="8" fillId="0" borderId="0" xfId="0" applyFont="1" applyFill="1" applyBorder="1" applyAlignment="1">
      <alignment horizontal="center" vertical="center" wrapText="1"/>
    </xf>
    <xf numFmtId="0" fontId="6" fillId="0" borderId="7" xfId="0" applyFont="1" applyFill="1" applyBorder="1" applyAlignment="1"/>
    <xf numFmtId="0" fontId="14" fillId="0" borderId="7" xfId="0" applyFont="1" applyFill="1" applyBorder="1" applyAlignment="1">
      <alignment wrapText="1"/>
    </xf>
    <xf numFmtId="0" fontId="6" fillId="3" borderId="8" xfId="0" applyFont="1" applyFill="1" applyBorder="1" applyAlignment="1"/>
    <xf numFmtId="0" fontId="8" fillId="3" borderId="0" xfId="0" applyFont="1" applyFill="1" applyBorder="1" applyAlignment="1">
      <alignment horizontal="center" vertical="center" wrapText="1"/>
    </xf>
    <xf numFmtId="0" fontId="15" fillId="0" borderId="7" xfId="0" applyFont="1" applyBorder="1" applyAlignment="1">
      <alignment horizontal="left" vertical="center"/>
    </xf>
    <xf numFmtId="0" fontId="16" fillId="0" borderId="8" xfId="0" applyFont="1" applyFill="1" applyBorder="1" applyAlignment="1">
      <alignment wrapText="1"/>
    </xf>
    <xf numFmtId="0" fontId="8" fillId="0" borderId="3" xfId="0" applyFont="1" applyBorder="1" applyAlignment="1">
      <alignment horizontal="center" vertical="center" wrapText="1"/>
    </xf>
    <xf numFmtId="0" fontId="8" fillId="0" borderId="7" xfId="0" applyFont="1" applyBorder="1" applyAlignment="1">
      <alignment vertical="center" wrapText="1"/>
    </xf>
    <xf numFmtId="0" fontId="1" fillId="0" borderId="7" xfId="0" applyFont="1" applyBorder="1" applyAlignment="1">
      <alignment horizontal="center" vertical="center"/>
    </xf>
    <xf numFmtId="58" fontId="0" fillId="0" borderId="0" xfId="0" applyNumberFormat="1" applyFont="1" applyFill="1" applyBorder="1" applyAlignment="1">
      <alignment horizontal="center" vertical="center"/>
    </xf>
    <xf numFmtId="177" fontId="5" fillId="0" borderId="2" xfId="0" applyNumberFormat="1" applyFont="1" applyFill="1" applyBorder="1" applyAlignment="1">
      <alignment horizontal="center" vertical="center" wrapText="1"/>
    </xf>
    <xf numFmtId="177" fontId="17" fillId="0" borderId="2" xfId="0" applyNumberFormat="1" applyFont="1" applyFill="1" applyBorder="1" applyAlignment="1">
      <alignment horizontal="center" vertical="center" wrapText="1"/>
    </xf>
    <xf numFmtId="0" fontId="12" fillId="0" borderId="3" xfId="0" applyFont="1" applyFill="1" applyBorder="1" applyAlignment="1">
      <alignment horizontal="center" vertical="center" wrapText="1"/>
    </xf>
    <xf numFmtId="0" fontId="12" fillId="0" borderId="3" xfId="0" applyFont="1" applyFill="1" applyBorder="1" applyAlignment="1">
      <alignment horizontal="center" vertical="center"/>
    </xf>
    <xf numFmtId="177" fontId="5" fillId="0" borderId="4" xfId="0" applyNumberFormat="1" applyFont="1" applyFill="1" applyBorder="1" applyAlignment="1">
      <alignment horizontal="center" vertical="center" wrapText="1"/>
    </xf>
    <xf numFmtId="0" fontId="1" fillId="0" borderId="6" xfId="16" applyFont="1" applyBorder="1" applyAlignment="1">
      <alignment horizontal="center" vertical="center"/>
    </xf>
    <xf numFmtId="0" fontId="1" fillId="0" borderId="1" xfId="13"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13" applyNumberFormat="1" applyFont="1" applyBorder="1" applyAlignment="1">
      <alignment horizontal="center" vertical="center" wrapText="1"/>
    </xf>
    <xf numFmtId="177" fontId="12" fillId="0" borderId="10" xfId="16" applyNumberFormat="1" applyFont="1" applyBorder="1" applyAlignment="1">
      <alignment horizontal="center" vertical="center"/>
    </xf>
    <xf numFmtId="0" fontId="1" fillId="0" borderId="11" xfId="16" applyFont="1" applyBorder="1" applyAlignment="1">
      <alignment horizontal="center" vertical="center"/>
    </xf>
    <xf numFmtId="0" fontId="12" fillId="0" borderId="11" xfId="16" applyFont="1" applyBorder="1" applyAlignment="1">
      <alignment horizontal="center" vertical="center"/>
    </xf>
    <xf numFmtId="0" fontId="3" fillId="0" borderId="6" xfId="0" applyFont="1" applyBorder="1" applyAlignment="1">
      <alignment horizontal="left" vertical="center"/>
    </xf>
    <xf numFmtId="0" fontId="8" fillId="0" borderId="1" xfId="0" applyFont="1" applyBorder="1" applyAlignment="1">
      <alignment horizontal="center" vertical="center" wrapText="1"/>
    </xf>
    <xf numFmtId="0" fontId="6" fillId="4" borderId="3" xfId="0" applyFont="1" applyFill="1" applyBorder="1" applyAlignment="1">
      <alignment horizontal="center" vertical="center" wrapText="1"/>
    </xf>
    <xf numFmtId="177" fontId="16" fillId="0" borderId="2" xfId="0" applyNumberFormat="1" applyFont="1" applyFill="1" applyBorder="1" applyAlignment="1">
      <alignment horizontal="center" vertical="center" wrapText="1"/>
    </xf>
    <xf numFmtId="0" fontId="16" fillId="0" borderId="3" xfId="0" applyFont="1" applyFill="1" applyBorder="1" applyAlignment="1">
      <alignment horizontal="center" vertical="center" wrapText="1"/>
    </xf>
    <xf numFmtId="0" fontId="16" fillId="0" borderId="3" xfId="0" applyFont="1" applyFill="1" applyBorder="1" applyAlignment="1">
      <alignment horizontal="center" vertical="center"/>
    </xf>
    <xf numFmtId="177" fontId="6" fillId="0" borderId="3" xfId="0" applyNumberFormat="1" applyFont="1" applyFill="1" applyBorder="1" applyAlignment="1">
      <alignment horizontal="center" vertical="center" wrapText="1"/>
    </xf>
    <xf numFmtId="177" fontId="6" fillId="0" borderId="4" xfId="0" applyNumberFormat="1" applyFont="1" applyFill="1" applyBorder="1" applyAlignment="1">
      <alignment horizontal="center" vertical="center" wrapText="1"/>
    </xf>
    <xf numFmtId="177" fontId="6" fillId="0" borderId="10" xfId="0" applyNumberFormat="1" applyFont="1" applyFill="1" applyBorder="1" applyAlignment="1">
      <alignment horizontal="center" vertical="center" wrapText="1"/>
    </xf>
    <xf numFmtId="0" fontId="6" fillId="0" borderId="12" xfId="0" applyFont="1" applyFill="1" applyBorder="1" applyAlignment="1">
      <alignment horizontal="center" vertical="center" wrapText="1"/>
    </xf>
    <xf numFmtId="0" fontId="6" fillId="0" borderId="11" xfId="0" applyFont="1" applyFill="1" applyBorder="1" applyAlignment="1">
      <alignment horizontal="center" vertical="center"/>
    </xf>
    <xf numFmtId="0" fontId="3" fillId="2" borderId="6" xfId="0" applyFont="1" applyFill="1" applyBorder="1" applyAlignment="1">
      <alignment vertical="center"/>
    </xf>
    <xf numFmtId="0" fontId="3" fillId="2" borderId="1" xfId="0" applyFont="1" applyFill="1" applyBorder="1" applyAlignment="1">
      <alignment vertical="center"/>
    </xf>
    <xf numFmtId="0" fontId="5" fillId="2" borderId="1" xfId="0" applyFont="1" applyFill="1" applyBorder="1" applyAlignment="1">
      <alignment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3" xfId="0" applyFont="1" applyFill="1" applyBorder="1" applyAlignment="1">
      <alignment horizontal="left" vertical="center"/>
    </xf>
    <xf numFmtId="0" fontId="8" fillId="2" borderId="3" xfId="0" applyFont="1" applyFill="1" applyBorder="1" applyAlignment="1">
      <alignment horizontal="center" vertical="center"/>
    </xf>
    <xf numFmtId="0" fontId="1"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177" fontId="6" fillId="0" borderId="2" xfId="16" applyNumberFormat="1" applyFont="1" applyFill="1" applyBorder="1" applyAlignment="1">
      <alignment horizontal="center" vertical="center"/>
    </xf>
    <xf numFmtId="0" fontId="6" fillId="0" borderId="3" xfId="13" applyFont="1" applyFill="1" applyBorder="1" applyAlignment="1">
      <alignment horizontal="center" vertical="center" wrapText="1"/>
    </xf>
    <xf numFmtId="0" fontId="6" fillId="0" borderId="3" xfId="13" applyNumberFormat="1" applyFont="1" applyFill="1" applyBorder="1" applyAlignment="1">
      <alignment horizontal="center" vertical="center" wrapText="1"/>
    </xf>
    <xf numFmtId="0" fontId="18" fillId="0" borderId="7" xfId="0" applyFont="1" applyFill="1" applyBorder="1" applyAlignment="1">
      <alignment horizontal="left" vertical="center" wrapText="1"/>
    </xf>
    <xf numFmtId="0" fontId="19" fillId="0" borderId="7"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1" fillId="0" borderId="1" xfId="13" applyFont="1" applyFill="1" applyBorder="1" applyAlignment="1">
      <alignment horizontal="center" vertical="center" wrapText="1"/>
    </xf>
    <xf numFmtId="0" fontId="1" fillId="0" borderId="9" xfId="16" applyFont="1" applyBorder="1" applyAlignment="1">
      <alignment horizontal="center" vertical="center"/>
    </xf>
    <xf numFmtId="0" fontId="1" fillId="0" borderId="13" xfId="16" applyFont="1" applyBorder="1" applyAlignment="1">
      <alignment horizontal="center" vertical="center"/>
    </xf>
    <xf numFmtId="0" fontId="1" fillId="0" borderId="3" xfId="0" applyFont="1" applyBorder="1" applyAlignment="1">
      <alignment horizontal="left" vertical="center"/>
    </xf>
    <xf numFmtId="0" fontId="1" fillId="0" borderId="7" xfId="0" applyFont="1" applyBorder="1" applyAlignment="1">
      <alignment horizontal="left" vertical="center"/>
    </xf>
    <xf numFmtId="0" fontId="9" fillId="0" borderId="3" xfId="0" applyFont="1" applyBorder="1" applyAlignment="1">
      <alignment vertical="center" wrapText="1"/>
    </xf>
    <xf numFmtId="0" fontId="9" fillId="0" borderId="7" xfId="0" applyFont="1" applyBorder="1" applyAlignment="1">
      <alignment vertical="center" wrapText="1"/>
    </xf>
    <xf numFmtId="0" fontId="12" fillId="0" borderId="7" xfId="0" applyFont="1" applyFill="1" applyBorder="1" applyAlignment="1">
      <alignment wrapText="1"/>
    </xf>
    <xf numFmtId="0" fontId="12" fillId="0" borderId="7" xfId="0" applyFont="1" applyFill="1" applyBorder="1" applyAlignment="1"/>
    <xf numFmtId="0" fontId="16" fillId="0" borderId="7" xfId="0" applyFont="1" applyFill="1" applyBorder="1" applyAlignment="1"/>
    <xf numFmtId="0" fontId="20" fillId="0" borderId="0" xfId="0" applyFont="1" applyFill="1" applyBorder="1" applyAlignment="1"/>
    <xf numFmtId="0" fontId="18" fillId="0" borderId="0" xfId="0" applyFont="1" applyFill="1" applyBorder="1" applyAlignment="1">
      <alignment horizontal="center" vertical="center" wrapText="1"/>
    </xf>
    <xf numFmtId="0" fontId="5" fillId="0" borderId="7" xfId="0" applyFont="1" applyFill="1" applyBorder="1" applyAlignment="1">
      <alignment wrapText="1"/>
    </xf>
    <xf numFmtId="0" fontId="21" fillId="0" borderId="7" xfId="0" applyFont="1" applyFill="1" applyBorder="1" applyAlignment="1">
      <alignment wrapText="1"/>
    </xf>
    <xf numFmtId="0" fontId="0" fillId="0" borderId="0" xfId="0" applyFont="1" applyFill="1" applyBorder="1" applyAlignment="1"/>
    <xf numFmtId="0" fontId="8" fillId="0" borderId="7" xfId="0" applyFont="1" applyFill="1" applyBorder="1" applyAlignment="1">
      <alignment wrapText="1"/>
    </xf>
    <xf numFmtId="0" fontId="5" fillId="0" borderId="8" xfId="0" applyFont="1" applyFill="1" applyBorder="1" applyAlignment="1">
      <alignment wrapText="1"/>
    </xf>
    <xf numFmtId="0" fontId="5" fillId="0" borderId="13" xfId="0" applyFont="1" applyFill="1" applyBorder="1" applyAlignment="1">
      <alignment wrapText="1"/>
    </xf>
    <xf numFmtId="0" fontId="6" fillId="0" borderId="12" xfId="0" applyFont="1" applyFill="1" applyBorder="1" applyAlignment="1">
      <alignment horizontal="center" vertical="center"/>
    </xf>
    <xf numFmtId="0" fontId="1" fillId="2" borderId="1" xfId="0" applyFont="1" applyFill="1" applyBorder="1" applyAlignment="1">
      <alignment horizontal="center" vertical="center"/>
    </xf>
    <xf numFmtId="0" fontId="9" fillId="2" borderId="9" xfId="0" applyFont="1" applyFill="1" applyBorder="1" applyAlignment="1">
      <alignment vertical="center" wrapText="1"/>
    </xf>
    <xf numFmtId="0" fontId="1" fillId="0" borderId="3" xfId="0" applyFont="1" applyFill="1" applyBorder="1" applyAlignment="1">
      <alignment horizontal="center" vertical="center"/>
    </xf>
    <xf numFmtId="0" fontId="1" fillId="0" borderId="7" xfId="0" applyFont="1" applyFill="1" applyBorder="1" applyAlignment="1">
      <alignment horizontal="center" vertical="center"/>
    </xf>
    <xf numFmtId="0" fontId="1" fillId="2" borderId="7" xfId="0" applyFont="1" applyFill="1" applyBorder="1" applyAlignment="1">
      <alignment horizontal="center" vertical="center" wrapText="1"/>
    </xf>
    <xf numFmtId="0" fontId="9" fillId="2" borderId="3" xfId="0" applyFont="1" applyFill="1" applyBorder="1" applyAlignment="1">
      <alignment horizontal="left" vertical="center" wrapText="1"/>
    </xf>
    <xf numFmtId="0" fontId="9" fillId="2" borderId="7" xfId="0" applyFont="1" applyFill="1" applyBorder="1" applyAlignment="1">
      <alignment vertical="center" wrapText="1"/>
    </xf>
    <xf numFmtId="0" fontId="6" fillId="0" borderId="7" xfId="16" applyFont="1" applyFill="1" applyBorder="1" applyAlignment="1">
      <alignment horizontal="left" vertical="center" wrapText="1"/>
    </xf>
    <xf numFmtId="58" fontId="2" fillId="0" borderId="0" xfId="0" applyNumberFormat="1" applyFont="1" applyFill="1" applyBorder="1" applyAlignment="1">
      <alignment horizontal="center" vertical="center"/>
    </xf>
    <xf numFmtId="177" fontId="6" fillId="0" borderId="4" xfId="16" applyNumberFormat="1" applyFont="1" applyFill="1" applyBorder="1" applyAlignment="1">
      <alignment horizontal="center" vertical="center"/>
    </xf>
    <xf numFmtId="0" fontId="6" fillId="0" borderId="5" xfId="13" applyFont="1" applyFill="1" applyBorder="1" applyAlignment="1">
      <alignment horizontal="center" vertical="center" wrapText="1"/>
    </xf>
    <xf numFmtId="0" fontId="6" fillId="0" borderId="5" xfId="13" applyNumberFormat="1" applyFont="1" applyFill="1" applyBorder="1" applyAlignment="1">
      <alignment horizontal="center" vertical="center" wrapText="1"/>
    </xf>
    <xf numFmtId="31" fontId="22" fillId="0" borderId="1" xfId="0" applyNumberFormat="1" applyFont="1" applyBorder="1" applyAlignment="1">
      <alignment vertical="center"/>
    </xf>
    <xf numFmtId="0" fontId="1" fillId="0" borderId="3" xfId="8" applyFont="1" applyBorder="1" applyAlignment="1">
      <alignment horizontal="center" vertical="center"/>
    </xf>
    <xf numFmtId="0" fontId="4" fillId="0" borderId="3" xfId="14" applyFont="1" applyBorder="1" applyAlignment="1">
      <alignment horizontal="left" vertical="center" wrapText="1"/>
    </xf>
    <xf numFmtId="177" fontId="6" fillId="3" borderId="2" xfId="0" applyNumberFormat="1" applyFont="1" applyFill="1" applyBorder="1" applyAlignment="1">
      <alignment horizontal="center" vertical="center"/>
    </xf>
    <xf numFmtId="0" fontId="6" fillId="3" borderId="3" xfId="0" applyFont="1" applyFill="1" applyBorder="1" applyAlignment="1">
      <alignment horizontal="center" vertical="center" wrapText="1"/>
    </xf>
    <xf numFmtId="0" fontId="6" fillId="3" borderId="3" xfId="0" applyFont="1" applyFill="1" applyBorder="1" applyAlignment="1">
      <alignment horizontal="center" vertical="center"/>
    </xf>
    <xf numFmtId="0" fontId="90" fillId="0" borderId="3" xfId="0" applyFont="1" applyFill="1" applyBorder="1" applyAlignment="1">
      <alignment horizontal="center" vertical="center"/>
    </xf>
    <xf numFmtId="0" fontId="23" fillId="0" borderId="7" xfId="16" applyFont="1" applyFill="1" applyBorder="1" applyAlignment="1">
      <alignment horizontal="left" vertical="center" wrapText="1"/>
    </xf>
    <xf numFmtId="0" fontId="1" fillId="0" borderId="3" xfId="8" applyFont="1" applyBorder="1" applyAlignment="1">
      <alignment horizontal="center" vertical="center" wrapText="1"/>
    </xf>
    <xf numFmtId="0" fontId="0" fillId="3" borderId="0" xfId="0" applyFill="1">
      <alignment vertical="center"/>
    </xf>
    <xf numFmtId="0" fontId="26" fillId="0" borderId="3" xfId="0" applyFont="1" applyBorder="1" applyAlignment="1">
      <alignment horizontal="center" vertical="center" wrapText="1"/>
    </xf>
    <xf numFmtId="0" fontId="4" fillId="0" borderId="3" xfId="0" applyFont="1" applyBorder="1" applyAlignment="1">
      <alignment horizontal="center" vertical="center" wrapText="1"/>
    </xf>
    <xf numFmtId="177" fontId="6" fillId="3" borderId="2" xfId="0" applyNumberFormat="1" applyFont="1" applyFill="1" applyBorder="1" applyAlignment="1">
      <alignment horizontal="center" vertical="center" wrapText="1"/>
    </xf>
    <xf numFmtId="177" fontId="6" fillId="3" borderId="14" xfId="0" applyNumberFormat="1" applyFont="1" applyFill="1" applyBorder="1" applyAlignment="1">
      <alignment horizontal="center" vertical="center" wrapText="1"/>
    </xf>
    <xf numFmtId="177" fontId="6" fillId="3" borderId="3" xfId="0" applyNumberFormat="1" applyFont="1" applyFill="1" applyBorder="1" applyAlignment="1">
      <alignment horizontal="center" vertical="center" wrapText="1"/>
    </xf>
    <xf numFmtId="0" fontId="4" fillId="0" borderId="3" xfId="0" applyFont="1" applyBorder="1" applyAlignment="1">
      <alignment vertical="center" wrapText="1"/>
    </xf>
    <xf numFmtId="0" fontId="6" fillId="3" borderId="7" xfId="0" applyFont="1" applyFill="1" applyBorder="1" applyAlignment="1"/>
    <xf numFmtId="0" fontId="6" fillId="3" borderId="3" xfId="0" applyFont="1" applyFill="1" applyBorder="1" applyAlignment="1"/>
    <xf numFmtId="14" fontId="3" fillId="2" borderId="1" xfId="0" applyNumberFormat="1" applyFont="1" applyFill="1" applyBorder="1" applyAlignment="1">
      <alignment horizontal="center" vertical="center" wrapText="1"/>
    </xf>
    <xf numFmtId="0" fontId="27" fillId="2" borderId="1" xfId="0" applyFont="1" applyFill="1" applyBorder="1" applyAlignment="1">
      <alignment vertical="center"/>
    </xf>
    <xf numFmtId="0" fontId="1" fillId="2" borderId="3" xfId="0" applyFont="1" applyFill="1" applyBorder="1" applyAlignment="1">
      <alignment horizontal="left" vertical="center" wrapText="1"/>
    </xf>
    <xf numFmtId="0" fontId="24" fillId="2" borderId="3" xfId="0" applyFont="1" applyFill="1" applyBorder="1" applyAlignment="1">
      <alignment horizontal="center" vertical="center"/>
    </xf>
    <xf numFmtId="0" fontId="4" fillId="2" borderId="3" xfId="0" applyFont="1" applyFill="1" applyBorder="1" applyAlignment="1">
      <alignment horizontal="center" vertical="center" wrapText="1"/>
    </xf>
    <xf numFmtId="177" fontId="6" fillId="3" borderId="2" xfId="16" applyNumberFormat="1" applyFont="1" applyFill="1" applyBorder="1" applyAlignment="1">
      <alignment horizontal="center" vertical="center" wrapText="1"/>
    </xf>
    <xf numFmtId="0" fontId="6" fillId="3" borderId="3" xfId="13" applyFont="1" applyFill="1" applyBorder="1" applyAlignment="1">
      <alignment horizontal="center" vertical="center" wrapText="1"/>
    </xf>
    <xf numFmtId="0" fontId="6" fillId="3" borderId="3" xfId="13" applyNumberFormat="1" applyFont="1" applyFill="1" applyBorder="1" applyAlignment="1">
      <alignment horizontal="center" vertical="center" wrapText="1"/>
    </xf>
    <xf numFmtId="177" fontId="6" fillId="3" borderId="15" xfId="16" applyNumberFormat="1" applyFont="1" applyFill="1" applyBorder="1" applyAlignment="1">
      <alignment horizontal="center" vertical="center" wrapText="1"/>
    </xf>
    <xf numFmtId="0" fontId="24" fillId="2" borderId="9" xfId="0" applyFont="1" applyFill="1" applyBorder="1" applyAlignment="1">
      <alignment vertical="center" wrapText="1"/>
    </xf>
    <xf numFmtId="0" fontId="1" fillId="0" borderId="16" xfId="0" applyFont="1" applyFill="1" applyBorder="1" applyAlignment="1">
      <alignment horizontal="center" vertical="center"/>
    </xf>
    <xf numFmtId="0" fontId="1" fillId="0" borderId="7" xfId="0" applyFont="1" applyFill="1" applyBorder="1" applyAlignment="1">
      <alignment horizontal="left" vertical="center"/>
    </xf>
    <xf numFmtId="49" fontId="1" fillId="2" borderId="3" xfId="0" applyNumberFormat="1" applyFont="1" applyFill="1" applyBorder="1" applyAlignment="1">
      <alignment horizontal="center" vertical="center" wrapText="1"/>
    </xf>
    <xf numFmtId="0" fontId="1" fillId="2" borderId="7" xfId="0" applyFont="1" applyFill="1" applyBorder="1" applyAlignment="1">
      <alignment horizontal="center" vertical="center"/>
    </xf>
    <xf numFmtId="0" fontId="4" fillId="2" borderId="7" xfId="0" applyFont="1" applyFill="1" applyBorder="1" applyAlignment="1">
      <alignment vertical="center" wrapText="1"/>
    </xf>
    <xf numFmtId="0" fontId="4" fillId="2" borderId="7" xfId="0" applyFont="1" applyFill="1" applyBorder="1" applyAlignment="1">
      <alignment horizontal="left" vertical="center" wrapText="1"/>
    </xf>
    <xf numFmtId="0" fontId="6" fillId="3" borderId="7" xfId="16" applyFont="1" applyFill="1" applyBorder="1" applyAlignment="1">
      <alignment horizontal="left" vertical="center" wrapText="1"/>
    </xf>
    <xf numFmtId="0" fontId="6" fillId="3" borderId="17" xfId="13" applyFont="1" applyFill="1" applyBorder="1" applyAlignment="1">
      <alignment horizontal="center" vertical="center" wrapText="1"/>
    </xf>
    <xf numFmtId="0" fontId="6" fillId="3" borderId="18" xfId="16" applyFont="1" applyFill="1" applyBorder="1" applyAlignment="1">
      <alignment horizontal="left" vertical="center" wrapText="1"/>
    </xf>
    <xf numFmtId="0" fontId="6" fillId="3" borderId="16" xfId="13" applyFont="1" applyFill="1" applyBorder="1" applyAlignment="1">
      <alignment horizontal="center" vertical="center" wrapText="1"/>
    </xf>
    <xf numFmtId="0" fontId="6" fillId="3" borderId="3" xfId="16" applyFont="1" applyFill="1" applyBorder="1" applyAlignment="1">
      <alignment horizontal="left" vertical="center" wrapText="1"/>
    </xf>
    <xf numFmtId="0" fontId="6" fillId="3" borderId="16" xfId="16" applyFont="1" applyFill="1" applyBorder="1" applyAlignment="1">
      <alignment horizontal="left" vertical="center" wrapText="1"/>
    </xf>
    <xf numFmtId="0" fontId="0" fillId="3" borderId="3" xfId="0" applyFill="1" applyBorder="1">
      <alignment vertical="center"/>
    </xf>
    <xf numFmtId="177" fontId="6" fillId="3" borderId="14" xfId="16" applyNumberFormat="1" applyFont="1" applyFill="1" applyBorder="1" applyAlignment="1">
      <alignment horizontal="center" vertical="center" wrapText="1"/>
    </xf>
    <xf numFmtId="0" fontId="6" fillId="8" borderId="3" xfId="13" applyFont="1" applyFill="1" applyBorder="1" applyAlignment="1">
      <alignment horizontal="center" vertical="center" wrapText="1"/>
    </xf>
    <xf numFmtId="177" fontId="6" fillId="3" borderId="3" xfId="16" applyNumberFormat="1" applyFont="1" applyFill="1" applyBorder="1" applyAlignment="1">
      <alignment horizontal="center" vertical="center" wrapText="1"/>
    </xf>
    <xf numFmtId="0" fontId="1" fillId="2" borderId="1" xfId="0" applyFont="1" applyFill="1" applyBorder="1" applyAlignment="1">
      <alignment horizontal="center" vertical="center" wrapText="1"/>
    </xf>
    <xf numFmtId="0" fontId="11" fillId="2" borderId="9" xfId="0" applyFont="1" applyFill="1" applyBorder="1" applyAlignment="1">
      <alignment vertical="center" wrapText="1"/>
    </xf>
    <xf numFmtId="0" fontId="8" fillId="0" borderId="3" xfId="0" applyFont="1" applyBorder="1" applyAlignment="1">
      <alignment horizontal="left" vertical="center"/>
    </xf>
    <xf numFmtId="0" fontId="1" fillId="2" borderId="3" xfId="0" applyFont="1" applyFill="1" applyBorder="1" applyAlignment="1">
      <alignment vertical="center" wrapText="1"/>
    </xf>
    <xf numFmtId="176" fontId="6" fillId="3" borderId="3" xfId="0" applyNumberFormat="1" applyFont="1" applyFill="1" applyBorder="1" applyAlignment="1">
      <alignment horizontal="center" vertical="center" wrapText="1"/>
    </xf>
    <xf numFmtId="176" fontId="6" fillId="8" borderId="3" xfId="13" applyNumberFormat="1" applyFont="1" applyFill="1" applyBorder="1" applyAlignment="1">
      <alignment horizontal="center" vertical="center" wrapText="1"/>
    </xf>
    <xf numFmtId="176" fontId="6" fillId="3" borderId="3" xfId="13" applyNumberFormat="1" applyFont="1" applyFill="1" applyBorder="1" applyAlignment="1">
      <alignment horizontal="center" vertical="center" wrapText="1"/>
    </xf>
    <xf numFmtId="176" fontId="6" fillId="9" borderId="3" xfId="13" applyNumberFormat="1" applyFont="1" applyFill="1" applyBorder="1" applyAlignment="1">
      <alignment horizontal="center" vertical="center" wrapText="1"/>
    </xf>
    <xf numFmtId="0" fontId="6" fillId="9" borderId="3" xfId="13" applyNumberFormat="1" applyFont="1" applyFill="1" applyBorder="1" applyAlignment="1">
      <alignment horizontal="center" vertical="center" wrapText="1"/>
    </xf>
    <xf numFmtId="0" fontId="90" fillId="0" borderId="0" xfId="0" applyFont="1" applyFill="1" applyBorder="1" applyAlignment="1">
      <alignment horizontal="center" vertical="center"/>
    </xf>
    <xf numFmtId="0" fontId="90" fillId="0" borderId="0" xfId="0" applyFont="1" applyFill="1" applyBorder="1" applyAlignment="1">
      <alignment vertical="center"/>
    </xf>
    <xf numFmtId="0" fontId="0" fillId="3" borderId="3" xfId="0" applyFill="1" applyBorder="1" applyAlignment="1">
      <alignment vertical="center" wrapText="1"/>
    </xf>
    <xf numFmtId="0" fontId="91" fillId="3" borderId="3" xfId="13" applyNumberFormat="1" applyFont="1" applyFill="1" applyBorder="1" applyAlignment="1">
      <alignment horizontal="center" vertical="center" wrapText="1"/>
    </xf>
    <xf numFmtId="57" fontId="0" fillId="3" borderId="3" xfId="0" applyNumberFormat="1" applyFill="1" applyBorder="1">
      <alignment vertical="center"/>
    </xf>
    <xf numFmtId="176" fontId="6" fillId="3" borderId="16" xfId="13" applyNumberFormat="1" applyFont="1" applyFill="1" applyBorder="1" applyAlignment="1">
      <alignment horizontal="center" vertical="center" wrapText="1"/>
    </xf>
    <xf numFmtId="0" fontId="6" fillId="3" borderId="18" xfId="16" applyFont="1" applyFill="1" applyBorder="1" applyAlignment="1">
      <alignment horizontal="center" vertical="center" wrapText="1"/>
    </xf>
    <xf numFmtId="57" fontId="6" fillId="3" borderId="3" xfId="13" applyNumberFormat="1" applyFont="1" applyFill="1" applyBorder="1" applyAlignment="1">
      <alignment horizontal="center" vertical="center" wrapText="1"/>
    </xf>
    <xf numFmtId="0" fontId="0" fillId="3" borderId="16" xfId="0" applyFill="1" applyBorder="1">
      <alignment vertical="center"/>
    </xf>
    <xf numFmtId="0" fontId="27" fillId="2" borderId="1" xfId="0" applyFont="1" applyFill="1" applyBorder="1" applyAlignment="1">
      <alignment vertical="center" wrapText="1"/>
    </xf>
    <xf numFmtId="0" fontId="8" fillId="2" borderId="9" xfId="0" applyFont="1" applyFill="1" applyBorder="1" applyAlignment="1">
      <alignment vertical="center" wrapText="1"/>
    </xf>
    <xf numFmtId="9" fontId="1" fillId="0" borderId="16" xfId="0" applyNumberFormat="1" applyFont="1" applyFill="1" applyBorder="1" applyAlignment="1">
      <alignment horizontal="center" vertical="center"/>
    </xf>
    <xf numFmtId="0" fontId="1" fillId="0" borderId="7" xfId="0" applyFont="1" applyFill="1" applyBorder="1" applyAlignment="1">
      <alignment horizontal="left" vertical="center" wrapText="1"/>
    </xf>
    <xf numFmtId="0" fontId="6" fillId="3" borderId="19" xfId="16" applyFont="1" applyFill="1" applyBorder="1" applyAlignment="1">
      <alignment horizontal="center" vertical="center" wrapText="1"/>
    </xf>
    <xf numFmtId="0" fontId="6" fillId="3" borderId="19" xfId="13" applyFont="1" applyFill="1" applyBorder="1" applyAlignment="1">
      <alignment horizontal="center" vertical="center" wrapText="1"/>
    </xf>
    <xf numFmtId="0" fontId="6" fillId="3" borderId="19" xfId="16" applyFont="1" applyFill="1" applyBorder="1" applyAlignment="1">
      <alignment horizontal="left" vertical="center" wrapText="1"/>
    </xf>
    <xf numFmtId="0" fontId="3" fillId="2" borderId="1" xfId="0" applyFont="1" applyFill="1" applyBorder="1" applyAlignment="1">
      <alignment horizontal="center" vertical="center"/>
    </xf>
    <xf numFmtId="0" fontId="4" fillId="2" borderId="7" xfId="0" applyFont="1" applyFill="1" applyBorder="1" applyAlignment="1">
      <alignment horizontal="center" vertical="center" wrapText="1"/>
    </xf>
    <xf numFmtId="0" fontId="88" fillId="0" borderId="3" xfId="0" applyFont="1" applyFill="1" applyBorder="1" applyAlignment="1">
      <alignment horizontal="center" vertical="center" wrapText="1"/>
    </xf>
    <xf numFmtId="0" fontId="88" fillId="0" borderId="3" xfId="0" applyFont="1" applyFill="1" applyBorder="1" applyAlignment="1">
      <alignment horizontal="center" vertical="center" wrapText="1"/>
    </xf>
    <xf numFmtId="0" fontId="9" fillId="2" borderId="3" xfId="10" applyFont="1" applyFill="1" applyBorder="1" applyAlignment="1">
      <alignment horizontal="center" vertical="center" wrapText="1"/>
    </xf>
    <xf numFmtId="177" fontId="6" fillId="3" borderId="20" xfId="0" applyNumberFormat="1" applyFont="1" applyFill="1" applyBorder="1" applyAlignment="1">
      <alignment horizontal="center" vertical="center"/>
    </xf>
    <xf numFmtId="0" fontId="6" fillId="3" borderId="17" xfId="0" applyFont="1" applyFill="1" applyBorder="1" applyAlignment="1">
      <alignment horizontal="center" vertical="center" wrapText="1"/>
    </xf>
    <xf numFmtId="0" fontId="6" fillId="3" borderId="17" xfId="0" applyFont="1" applyFill="1" applyBorder="1" applyAlignment="1">
      <alignment horizontal="center" vertical="center"/>
    </xf>
    <xf numFmtId="177" fontId="6" fillId="3" borderId="3" xfId="0" applyNumberFormat="1" applyFont="1" applyFill="1" applyBorder="1" applyAlignment="1">
      <alignment horizontal="center" vertical="center"/>
    </xf>
    <xf numFmtId="0" fontId="6" fillId="3" borderId="18" xfId="0" applyFont="1" applyFill="1" applyBorder="1" applyAlignment="1"/>
    <xf numFmtId="0" fontId="0" fillId="3" borderId="0" xfId="0" applyFill="1" applyAlignment="1"/>
    <xf numFmtId="14" fontId="3" fillId="2" borderId="1" xfId="0" applyNumberFormat="1" applyFont="1" applyFill="1" applyBorder="1" applyAlignment="1">
      <alignment vertical="center"/>
    </xf>
    <xf numFmtId="176" fontId="5" fillId="2" borderId="1" xfId="0" applyNumberFormat="1" applyFont="1" applyFill="1" applyBorder="1" applyAlignment="1">
      <alignment vertical="center" wrapText="1"/>
    </xf>
    <xf numFmtId="57" fontId="29" fillId="3" borderId="3" xfId="0" applyNumberFormat="1" applyFont="1" applyFill="1" applyBorder="1" applyAlignment="1">
      <alignment horizontal="center" vertical="center"/>
    </xf>
    <xf numFmtId="0" fontId="3" fillId="3" borderId="3" xfId="13"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3" borderId="3" xfId="13" applyNumberFormat="1" applyFont="1" applyFill="1" applyBorder="1" applyAlignment="1">
      <alignment horizontal="center" vertical="center" wrapText="1"/>
    </xf>
    <xf numFmtId="0" fontId="29" fillId="3" borderId="3" xfId="0" applyFont="1" applyFill="1" applyBorder="1" applyAlignment="1">
      <alignment horizontal="center" vertical="center"/>
    </xf>
    <xf numFmtId="176" fontId="92" fillId="2" borderId="1" xfId="0" applyNumberFormat="1" applyFont="1" applyFill="1" applyBorder="1" applyAlignment="1">
      <alignment vertical="center" wrapText="1"/>
    </xf>
    <xf numFmtId="0" fontId="9" fillId="2" borderId="7" xfId="0" applyFont="1" applyFill="1" applyBorder="1" applyAlignment="1">
      <alignment horizontal="left" vertical="center" wrapText="1"/>
    </xf>
    <xf numFmtId="0" fontId="3" fillId="3" borderId="7" xfId="16" applyFont="1" applyFill="1" applyBorder="1" applyAlignment="1">
      <alignment horizontal="center" vertical="center"/>
    </xf>
    <xf numFmtId="0" fontId="6" fillId="3" borderId="7" xfId="0" applyFont="1" applyFill="1" applyBorder="1" applyAlignment="1">
      <alignment horizontal="center" vertical="center"/>
    </xf>
    <xf numFmtId="0" fontId="29" fillId="3" borderId="3" xfId="0" applyFont="1" applyFill="1" applyBorder="1" applyAlignment="1">
      <alignment horizontal="left" vertical="center"/>
    </xf>
    <xf numFmtId="0" fontId="0" fillId="0" borderId="3" xfId="0" applyFont="1" applyBorder="1" applyAlignment="1">
      <alignment horizontal="center" vertical="center"/>
    </xf>
    <xf numFmtId="0" fontId="8" fillId="0" borderId="3" xfId="0" applyFont="1" applyBorder="1" applyAlignment="1">
      <alignment horizontal="center" vertical="center"/>
    </xf>
    <xf numFmtId="57" fontId="29" fillId="3" borderId="21" xfId="0" applyNumberFormat="1" applyFont="1" applyFill="1" applyBorder="1" applyAlignment="1">
      <alignment horizontal="center" vertical="center" wrapText="1"/>
    </xf>
    <xf numFmtId="0" fontId="0" fillId="0" borderId="3" xfId="0" applyBorder="1" applyAlignment="1">
      <alignment horizontal="center" vertical="center"/>
    </xf>
    <xf numFmtId="0" fontId="0" fillId="0" borderId="0" xfId="0" applyFill="1" applyBorder="1">
      <alignment vertical="center"/>
    </xf>
    <xf numFmtId="0" fontId="3" fillId="2" borderId="22" xfId="0" applyFont="1" applyFill="1" applyBorder="1" applyAlignment="1">
      <alignment horizontal="center" vertical="center"/>
    </xf>
    <xf numFmtId="0" fontId="3" fillId="2" borderId="12" xfId="0" applyFont="1" applyFill="1" applyBorder="1" applyAlignment="1">
      <alignment horizontal="center" vertical="center"/>
    </xf>
    <xf numFmtId="57" fontId="29" fillId="3" borderId="3" xfId="0" applyNumberFormat="1" applyFont="1" applyFill="1" applyBorder="1" applyAlignment="1">
      <alignment horizontal="center" vertical="center" wrapText="1"/>
    </xf>
    <xf numFmtId="57" fontId="32" fillId="3" borderId="3" xfId="0" applyNumberFormat="1" applyFont="1" applyFill="1" applyBorder="1" applyAlignment="1">
      <alignment horizontal="center" vertical="center" wrapText="1"/>
    </xf>
    <xf numFmtId="57" fontId="29" fillId="3" borderId="17" xfId="0" applyNumberFormat="1" applyFont="1" applyFill="1" applyBorder="1" applyAlignment="1">
      <alignment horizontal="center" vertical="center"/>
    </xf>
    <xf numFmtId="0" fontId="29" fillId="3" borderId="17" xfId="0" applyFont="1" applyFill="1" applyBorder="1" applyAlignment="1">
      <alignment horizontal="center" vertical="center"/>
    </xf>
    <xf numFmtId="0" fontId="3" fillId="3" borderId="17" xfId="0" applyFont="1" applyFill="1" applyBorder="1" applyAlignment="1">
      <alignment horizontal="center" vertical="center" wrapText="1"/>
    </xf>
    <xf numFmtId="57" fontId="29" fillId="0" borderId="0" xfId="0" applyNumberFormat="1" applyFont="1" applyFill="1" applyBorder="1" applyAlignment="1">
      <alignment horizontal="left" vertical="center"/>
    </xf>
    <xf numFmtId="0" fontId="29"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3" fillId="0" borderId="0" xfId="0" applyFont="1" applyFill="1" applyBorder="1" applyAlignment="1">
      <alignment horizontal="center" vertical="center" wrapText="1"/>
    </xf>
    <xf numFmtId="0" fontId="6" fillId="8" borderId="3" xfId="0" applyFont="1" applyFill="1" applyBorder="1" applyAlignment="1">
      <alignment horizontal="center" vertical="center"/>
    </xf>
    <xf numFmtId="0" fontId="0" fillId="0" borderId="3" xfId="0" applyBorder="1">
      <alignment vertical="center"/>
    </xf>
    <xf numFmtId="0" fontId="0" fillId="0" borderId="3" xfId="0" applyBorder="1" applyAlignment="1">
      <alignment vertical="center" wrapText="1"/>
    </xf>
    <xf numFmtId="178" fontId="0" fillId="0" borderId="0" xfId="0" applyNumberFormat="1">
      <alignment vertical="center"/>
    </xf>
    <xf numFmtId="9" fontId="0" fillId="0" borderId="0" xfId="0" applyNumberFormat="1">
      <alignment vertical="center"/>
    </xf>
    <xf numFmtId="0" fontId="1" fillId="2" borderId="23" xfId="0" applyFont="1" applyFill="1" applyBorder="1" applyAlignment="1">
      <alignment horizontal="center" vertical="center"/>
    </xf>
    <xf numFmtId="0" fontId="1" fillId="2" borderId="24" xfId="0" applyFont="1" applyFill="1" applyBorder="1" applyAlignment="1">
      <alignment horizontal="center" vertical="center"/>
    </xf>
    <xf numFmtId="0" fontId="0" fillId="0" borderId="3" xfId="0" applyBorder="1" applyAlignment="1">
      <alignment horizontal="center" vertical="center" wrapText="1"/>
    </xf>
    <xf numFmtId="0" fontId="6" fillId="0" borderId="0" xfId="13" applyFont="1" applyFill="1" applyBorder="1" applyAlignment="1">
      <alignment horizontal="center" vertical="center" wrapText="1"/>
    </xf>
    <xf numFmtId="0" fontId="1" fillId="0" borderId="3" xfId="0" applyFont="1" applyFill="1" applyBorder="1" applyAlignment="1">
      <alignment horizontal="left" vertical="center"/>
    </xf>
    <xf numFmtId="176" fontId="6" fillId="3" borderId="3" xfId="0" applyNumberFormat="1" applyFont="1" applyFill="1" applyBorder="1" applyAlignment="1">
      <alignment horizontal="center" vertical="center"/>
    </xf>
    <xf numFmtId="0" fontId="0" fillId="2" borderId="3" xfId="0" applyFont="1" applyFill="1" applyBorder="1" applyAlignment="1">
      <alignment vertical="center" wrapText="1"/>
    </xf>
    <xf numFmtId="0" fontId="24" fillId="2" borderId="3" xfId="0" applyFont="1" applyFill="1" applyBorder="1" applyAlignment="1">
      <alignment vertical="center" wrapText="1"/>
    </xf>
    <xf numFmtId="0" fontId="8" fillId="2" borderId="3" xfId="0" applyFont="1" applyFill="1" applyBorder="1" applyAlignment="1">
      <alignment horizontal="left" vertical="center" wrapText="1"/>
    </xf>
    <xf numFmtId="0" fontId="93" fillId="10" borderId="3" xfId="13" applyFont="1" applyFill="1" applyBorder="1" applyAlignment="1">
      <alignment horizontal="center" vertical="center" wrapText="1"/>
    </xf>
    <xf numFmtId="0" fontId="91" fillId="3" borderId="3" xfId="0" applyFont="1" applyFill="1" applyBorder="1" applyAlignment="1">
      <alignment horizontal="center" vertical="center"/>
    </xf>
    <xf numFmtId="57" fontId="29" fillId="11" borderId="3" xfId="0" applyNumberFormat="1" applyFont="1" applyFill="1" applyBorder="1" applyAlignment="1">
      <alignment horizontal="center" vertical="center" wrapText="1"/>
    </xf>
    <xf numFmtId="0" fontId="29" fillId="11" borderId="3" xfId="0" applyFont="1" applyFill="1" applyBorder="1" applyAlignment="1">
      <alignment horizontal="center" vertical="center"/>
    </xf>
    <xf numFmtId="0" fontId="6" fillId="11" borderId="3" xfId="0" applyFont="1" applyFill="1" applyBorder="1" applyAlignment="1">
      <alignment horizontal="center" vertical="center"/>
    </xf>
    <xf numFmtId="0" fontId="3" fillId="11" borderId="3" xfId="13" applyFont="1" applyFill="1" applyBorder="1" applyAlignment="1">
      <alignment horizontal="center" vertical="center" wrapText="1"/>
    </xf>
    <xf numFmtId="0" fontId="6" fillId="10" borderId="3" xfId="0" applyFont="1" applyFill="1" applyBorder="1" applyAlignment="1">
      <alignment horizontal="center" vertical="center"/>
    </xf>
    <xf numFmtId="0" fontId="6" fillId="10" borderId="3" xfId="0" applyFont="1" applyFill="1" applyBorder="1" applyAlignment="1">
      <alignment horizontal="center" vertical="center"/>
    </xf>
    <xf numFmtId="0" fontId="1" fillId="2" borderId="12" xfId="0" applyFont="1" applyFill="1" applyBorder="1" applyAlignment="1">
      <alignment horizontal="center" vertical="center"/>
    </xf>
    <xf numFmtId="0" fontId="32" fillId="3" borderId="3" xfId="0" applyFont="1" applyFill="1" applyBorder="1" applyAlignment="1">
      <alignment horizontal="left" vertical="center" wrapText="1"/>
    </xf>
    <xf numFmtId="57" fontId="29" fillId="3" borderId="21" xfId="0" applyNumberFormat="1" applyFont="1" applyFill="1" applyBorder="1" applyAlignment="1">
      <alignment horizontal="center" vertical="center"/>
    </xf>
    <xf numFmtId="57" fontId="6" fillId="3" borderId="15" xfId="0" applyNumberFormat="1" applyFont="1" applyFill="1" applyBorder="1" applyAlignment="1">
      <alignment horizontal="center" vertical="center"/>
    </xf>
    <xf numFmtId="0" fontId="1" fillId="0" borderId="3" xfId="0" applyFont="1" applyFill="1" applyBorder="1" applyAlignment="1">
      <alignment vertical="center"/>
    </xf>
    <xf numFmtId="179" fontId="6" fillId="3" borderId="3" xfId="0" applyNumberFormat="1" applyFont="1" applyFill="1" applyBorder="1" applyAlignment="1">
      <alignment horizontal="center" vertical="center"/>
    </xf>
    <xf numFmtId="0" fontId="3" fillId="2" borderId="6" xfId="0" applyFont="1" applyFill="1" applyBorder="1" applyAlignment="1">
      <alignment horizontal="center" vertical="center"/>
    </xf>
    <xf numFmtId="14" fontId="3" fillId="2" borderId="1" xfId="0" applyNumberFormat="1" applyFont="1" applyFill="1" applyBorder="1" applyAlignment="1">
      <alignment horizontal="center" vertical="center"/>
    </xf>
    <xf numFmtId="0" fontId="5" fillId="2" borderId="1" xfId="0" applyFont="1" applyFill="1" applyBorder="1" applyAlignment="1">
      <alignment horizontal="center" vertical="center"/>
    </xf>
    <xf numFmtId="57" fontId="3" fillId="3" borderId="15" xfId="16" applyNumberFormat="1" applyFont="1" applyFill="1" applyBorder="1" applyAlignment="1">
      <alignment horizontal="center" vertical="center" wrapText="1"/>
    </xf>
    <xf numFmtId="0" fontId="29" fillId="3" borderId="12" xfId="0" applyFont="1" applyFill="1" applyBorder="1" applyAlignment="1">
      <alignment horizontal="center" vertical="center"/>
    </xf>
    <xf numFmtId="0" fontId="29" fillId="8" borderId="3" xfId="0" applyFont="1" applyFill="1" applyBorder="1" applyAlignment="1">
      <alignment horizontal="center" vertical="center"/>
    </xf>
    <xf numFmtId="57" fontId="91" fillId="3" borderId="3" xfId="0" applyNumberFormat="1" applyFont="1" applyFill="1" applyBorder="1" applyAlignment="1">
      <alignment horizontal="center" vertical="center"/>
    </xf>
    <xf numFmtId="9" fontId="1" fillId="0" borderId="3" xfId="0" applyNumberFormat="1" applyFont="1" applyFill="1" applyBorder="1" applyAlignment="1">
      <alignment horizontal="center" vertical="center"/>
    </xf>
    <xf numFmtId="0" fontId="1" fillId="0" borderId="7" xfId="0" applyNumberFormat="1" applyFont="1" applyFill="1" applyBorder="1" applyAlignment="1">
      <alignment horizontal="left" vertical="center" wrapText="1"/>
    </xf>
    <xf numFmtId="0" fontId="29" fillId="3" borderId="25" xfId="0" applyFont="1" applyFill="1" applyBorder="1" applyAlignment="1">
      <alignment horizontal="center" vertical="center"/>
    </xf>
    <xf numFmtId="176" fontId="29" fillId="3" borderId="3" xfId="0" applyNumberFormat="1" applyFont="1" applyFill="1" applyBorder="1" applyAlignment="1">
      <alignment horizontal="center" vertical="center"/>
    </xf>
    <xf numFmtId="0" fontId="29" fillId="3" borderId="3" xfId="0" applyFont="1" applyFill="1" applyBorder="1" applyAlignment="1">
      <alignment horizontal="left" vertical="center" wrapText="1"/>
    </xf>
    <xf numFmtId="57" fontId="6" fillId="3" borderId="15" xfId="0" applyNumberFormat="1" applyFont="1" applyFill="1" applyBorder="1" applyAlignment="1">
      <alignment horizontal="center" vertical="center" wrapText="1"/>
    </xf>
    <xf numFmtId="57" fontId="29" fillId="3" borderId="24" xfId="0" applyNumberFormat="1" applyFont="1" applyFill="1" applyBorder="1" applyAlignment="1">
      <alignment horizontal="center" vertical="center" wrapText="1"/>
    </xf>
    <xf numFmtId="0" fontId="0" fillId="2" borderId="9" xfId="0" applyFont="1" applyFill="1" applyBorder="1" applyAlignment="1">
      <alignment vertical="center" wrapText="1"/>
    </xf>
    <xf numFmtId="57" fontId="29" fillId="3" borderId="3" xfId="0" applyNumberFormat="1" applyFont="1" applyFill="1" applyBorder="1" applyAlignment="1">
      <alignment horizontal="left" vertical="center"/>
    </xf>
    <xf numFmtId="0" fontId="1" fillId="0" borderId="0" xfId="0" applyFont="1">
      <alignment vertical="center"/>
    </xf>
    <xf numFmtId="0" fontId="27" fillId="2" borderId="1" xfId="0" applyNumberFormat="1" applyFont="1" applyFill="1" applyBorder="1" applyAlignment="1">
      <alignment vertical="center" wrapText="1"/>
    </xf>
    <xf numFmtId="177" fontId="6" fillId="10" borderId="14" xfId="16" applyNumberFormat="1" applyFont="1" applyFill="1" applyBorder="1" applyAlignment="1">
      <alignment horizontal="center" vertical="center" wrapText="1"/>
    </xf>
    <xf numFmtId="0" fontId="6" fillId="10" borderId="3" xfId="13" applyFont="1" applyFill="1" applyBorder="1" applyAlignment="1">
      <alignment horizontal="center" vertical="center" wrapText="1"/>
    </xf>
    <xf numFmtId="180" fontId="6" fillId="3" borderId="3" xfId="0" applyNumberFormat="1" applyFont="1" applyFill="1" applyBorder="1" applyAlignment="1">
      <alignment horizontal="center" vertical="center" wrapText="1"/>
    </xf>
    <xf numFmtId="0" fontId="6" fillId="10" borderId="3" xfId="13" applyNumberFormat="1" applyFont="1" applyFill="1" applyBorder="1" applyAlignment="1">
      <alignment horizontal="center" vertical="center" wrapText="1"/>
    </xf>
    <xf numFmtId="176" fontId="6" fillId="10" borderId="3" xfId="13" applyNumberFormat="1" applyFont="1" applyFill="1" applyBorder="1" applyAlignment="1">
      <alignment horizontal="center" vertical="center" wrapText="1"/>
    </xf>
    <xf numFmtId="57" fontId="6" fillId="3" borderId="7" xfId="16" applyNumberFormat="1" applyFont="1" applyFill="1" applyBorder="1" applyAlignment="1">
      <alignment horizontal="left" vertical="center" wrapText="1"/>
    </xf>
    <xf numFmtId="177" fontId="6" fillId="0" borderId="2" xfId="16" applyNumberFormat="1" applyFont="1" applyFill="1" applyBorder="1" applyAlignment="1">
      <alignment horizontal="center" vertical="center" wrapText="1"/>
    </xf>
    <xf numFmtId="0" fontId="12" fillId="0" borderId="3" xfId="13" applyFont="1" applyFill="1" applyBorder="1" applyAlignment="1">
      <alignment horizontal="center" vertical="center" wrapText="1"/>
    </xf>
    <xf numFmtId="0" fontId="6" fillId="3" borderId="12" xfId="13" applyFont="1" applyFill="1" applyBorder="1" applyAlignment="1">
      <alignment horizontal="center" vertical="center" wrapText="1"/>
    </xf>
    <xf numFmtId="177" fontId="6" fillId="3" borderId="21" xfId="16" applyNumberFormat="1" applyFont="1" applyFill="1" applyBorder="1" applyAlignment="1">
      <alignment horizontal="center" vertical="center" wrapText="1"/>
    </xf>
    <xf numFmtId="0" fontId="6" fillId="3" borderId="12" xfId="0" applyFont="1" applyFill="1" applyBorder="1" applyAlignment="1">
      <alignment horizontal="center" vertical="center" wrapText="1"/>
    </xf>
    <xf numFmtId="177" fontId="6" fillId="3" borderId="24" xfId="16" applyNumberFormat="1" applyFont="1" applyFill="1" applyBorder="1" applyAlignment="1">
      <alignment horizontal="center" vertical="center" wrapText="1"/>
    </xf>
    <xf numFmtId="0" fontId="6" fillId="3" borderId="0" xfId="13" applyFont="1" applyFill="1" applyAlignment="1">
      <alignment horizontal="center" vertical="center" wrapText="1"/>
    </xf>
    <xf numFmtId="0" fontId="6" fillId="3" borderId="0" xfId="0" applyFont="1" applyFill="1" applyAlignment="1">
      <alignment horizontal="center" vertical="center" wrapText="1"/>
    </xf>
    <xf numFmtId="0" fontId="6" fillId="3" borderId="0" xfId="13" applyNumberFormat="1" applyFont="1" applyFill="1" applyAlignment="1">
      <alignment horizontal="center" vertical="center" wrapText="1"/>
    </xf>
    <xf numFmtId="0" fontId="6" fillId="3" borderId="25" xfId="16" applyFont="1" applyFill="1" applyBorder="1" applyAlignment="1">
      <alignment horizontal="left" vertical="center" wrapText="1"/>
    </xf>
    <xf numFmtId="0" fontId="29" fillId="3" borderId="25" xfId="16" applyFont="1" applyFill="1" applyBorder="1" applyAlignment="1">
      <alignment horizontal="left" vertical="center" wrapText="1"/>
    </xf>
    <xf numFmtId="0" fontId="6" fillId="3" borderId="13" xfId="16" applyFont="1" applyFill="1" applyBorder="1" applyAlignment="1">
      <alignment horizontal="left" vertical="center" wrapText="1"/>
    </xf>
    <xf numFmtId="0" fontId="6" fillId="3" borderId="12" xfId="16" applyFont="1" applyFill="1" applyBorder="1" applyAlignment="1">
      <alignment horizontal="left" vertical="center" wrapText="1"/>
    </xf>
    <xf numFmtId="0" fontId="3" fillId="2" borderId="22" xfId="0" applyFont="1" applyFill="1" applyBorder="1" applyAlignment="1">
      <alignment vertical="center"/>
    </xf>
    <xf numFmtId="0" fontId="3" fillId="2" borderId="12" xfId="0" applyFont="1" applyFill="1" applyBorder="1" applyAlignment="1">
      <alignment vertical="center"/>
    </xf>
    <xf numFmtId="0" fontId="5" fillId="2" borderId="12" xfId="0" applyFont="1" applyFill="1" applyBorder="1" applyAlignment="1">
      <alignment vertical="center"/>
    </xf>
    <xf numFmtId="0" fontId="1" fillId="2" borderId="17" xfId="0" applyFont="1" applyFill="1" applyBorder="1" applyAlignment="1">
      <alignment horizontal="center" vertical="center"/>
    </xf>
    <xf numFmtId="0" fontId="8" fillId="2" borderId="17" xfId="0" applyFont="1" applyFill="1" applyBorder="1" applyAlignment="1">
      <alignment horizontal="center" vertical="center"/>
    </xf>
    <xf numFmtId="0" fontId="1" fillId="2" borderId="26" xfId="0" applyFont="1" applyFill="1" applyBorder="1" applyAlignment="1">
      <alignment horizontal="center" vertical="center"/>
    </xf>
    <xf numFmtId="0" fontId="4" fillId="2" borderId="14" xfId="0" applyFont="1" applyFill="1" applyBorder="1" applyAlignment="1">
      <alignment vertical="center" wrapText="1"/>
    </xf>
    <xf numFmtId="0" fontId="4" fillId="2" borderId="3" xfId="0" applyFont="1" applyFill="1" applyBorder="1" applyAlignment="1">
      <alignment vertical="center" wrapText="1"/>
    </xf>
    <xf numFmtId="0" fontId="1" fillId="0" borderId="15" xfId="16" applyFont="1" applyBorder="1" applyAlignment="1">
      <alignment horizontal="center" vertical="center"/>
    </xf>
    <xf numFmtId="57" fontId="3" fillId="3" borderId="15" xfId="16" applyNumberFormat="1" applyFont="1" applyFill="1" applyBorder="1" applyAlignment="1">
      <alignment horizontal="center" vertical="center"/>
    </xf>
    <xf numFmtId="57" fontId="6" fillId="3" borderId="21" xfId="0" applyNumberFormat="1" applyFont="1" applyFill="1" applyBorder="1" applyAlignment="1">
      <alignment horizontal="center" vertical="center"/>
    </xf>
    <xf numFmtId="0" fontId="6" fillId="3" borderId="3" xfId="0" applyNumberFormat="1" applyFont="1" applyFill="1" applyBorder="1" applyAlignment="1">
      <alignment horizontal="center" vertical="center"/>
    </xf>
    <xf numFmtId="0" fontId="6" fillId="3" borderId="16" xfId="0" applyNumberFormat="1" applyFont="1" applyFill="1" applyBorder="1" applyAlignment="1">
      <alignment horizontal="center" vertical="center"/>
    </xf>
    <xf numFmtId="0" fontId="6" fillId="3" borderId="14" xfId="0" applyNumberFormat="1" applyFont="1" applyFill="1" applyBorder="1" applyAlignment="1">
      <alignment horizontal="center" vertical="center"/>
    </xf>
    <xf numFmtId="0" fontId="6" fillId="3" borderId="24" xfId="0" applyNumberFormat="1" applyFont="1" applyFill="1" applyBorder="1" applyAlignment="1">
      <alignment horizontal="center" vertical="center"/>
    </xf>
    <xf numFmtId="0" fontId="6" fillId="3" borderId="12" xfId="0" applyNumberFormat="1" applyFont="1" applyFill="1" applyBorder="1" applyAlignment="1">
      <alignment horizontal="center" vertical="center"/>
    </xf>
    <xf numFmtId="57" fontId="6" fillId="3" borderId="3" xfId="0" applyNumberFormat="1" applyFont="1" applyFill="1" applyBorder="1" applyAlignment="1">
      <alignment horizontal="center" vertical="center"/>
    </xf>
    <xf numFmtId="0" fontId="9" fillId="2" borderId="12" xfId="0" applyFont="1" applyFill="1" applyBorder="1" applyAlignment="1">
      <alignment horizontal="left" vertical="center" wrapText="1"/>
    </xf>
    <xf numFmtId="0" fontId="35" fillId="2" borderId="25" xfId="0" applyFont="1" applyFill="1" applyBorder="1" applyAlignment="1">
      <alignment vertical="center" wrapText="1"/>
    </xf>
    <xf numFmtId="0" fontId="36" fillId="3" borderId="7" xfId="0" applyFont="1" applyFill="1" applyBorder="1" applyAlignment="1">
      <alignment horizontal="center" vertical="center" wrapText="1"/>
    </xf>
    <xf numFmtId="0" fontId="3" fillId="3" borderId="17" xfId="13" applyFont="1" applyFill="1" applyBorder="1" applyAlignment="1">
      <alignment horizontal="center" vertical="center" wrapText="1"/>
    </xf>
    <xf numFmtId="0" fontId="36" fillId="3" borderId="18" xfId="0" applyNumberFormat="1" applyFont="1" applyFill="1" applyBorder="1" applyAlignment="1">
      <alignment horizontal="center" vertical="center" wrapText="1"/>
    </xf>
    <xf numFmtId="0" fontId="36" fillId="3" borderId="27" xfId="0" applyNumberFormat="1" applyFont="1" applyFill="1" applyBorder="1" applyAlignment="1">
      <alignment horizontal="center" vertical="center" wrapText="1"/>
    </xf>
    <xf numFmtId="0" fontId="36" fillId="3" borderId="25" xfId="0" applyNumberFormat="1" applyFont="1" applyFill="1" applyBorder="1" applyAlignment="1">
      <alignment horizontal="center" vertical="center" wrapText="1"/>
    </xf>
    <xf numFmtId="0" fontId="36" fillId="3" borderId="3" xfId="0" applyNumberFormat="1" applyFont="1" applyFill="1" applyBorder="1" applyAlignment="1">
      <alignment horizontal="center" vertical="center" wrapText="1"/>
    </xf>
    <xf numFmtId="0" fontId="94" fillId="3" borderId="3" xfId="0" applyNumberFormat="1" applyFont="1" applyFill="1" applyBorder="1" applyAlignment="1">
      <alignment horizontal="center" vertical="center" wrapText="1"/>
    </xf>
    <xf numFmtId="0" fontId="6" fillId="3" borderId="0" xfId="0" applyFont="1" applyFill="1" applyAlignment="1">
      <alignment horizontal="center" vertical="center"/>
    </xf>
    <xf numFmtId="57" fontId="3" fillId="2" borderId="12" xfId="0" applyNumberFormat="1" applyFont="1" applyFill="1" applyBorder="1" applyAlignment="1">
      <alignment vertical="center"/>
    </xf>
    <xf numFmtId="0" fontId="5" fillId="2" borderId="12" xfId="0" applyFont="1" applyFill="1" applyBorder="1" applyAlignment="1">
      <alignment vertical="center" wrapText="1"/>
    </xf>
    <xf numFmtId="31" fontId="3" fillId="2" borderId="3" xfId="0" applyNumberFormat="1" applyFont="1" applyFill="1" applyBorder="1" applyAlignment="1">
      <alignment horizontal="center" vertical="center" wrapText="1"/>
    </xf>
    <xf numFmtId="0" fontId="1" fillId="2" borderId="28" xfId="0" applyFont="1" applyFill="1" applyBorder="1" applyAlignment="1">
      <alignment horizontal="center" vertical="center"/>
    </xf>
    <xf numFmtId="0" fontId="8" fillId="2" borderId="12" xfId="0" applyFont="1" applyFill="1" applyBorder="1" applyAlignment="1">
      <alignment horizontal="center" vertical="center" wrapText="1"/>
    </xf>
    <xf numFmtId="0" fontId="1" fillId="0" borderId="20" xfId="16" applyFont="1" applyBorder="1" applyAlignment="1">
      <alignment horizontal="center" vertical="center"/>
    </xf>
    <xf numFmtId="0" fontId="1" fillId="0" borderId="17" xfId="13" applyFont="1" applyBorder="1" applyAlignment="1">
      <alignment horizontal="center" vertical="center" wrapText="1"/>
    </xf>
    <xf numFmtId="0" fontId="1" fillId="0" borderId="17" xfId="0" applyFont="1" applyFill="1" applyBorder="1" applyAlignment="1">
      <alignment horizontal="center" vertical="center" wrapText="1"/>
    </xf>
    <xf numFmtId="0" fontId="1" fillId="0" borderId="11" xfId="13" applyNumberFormat="1" applyFont="1" applyBorder="1" applyAlignment="1">
      <alignment horizontal="center" vertical="center" wrapText="1"/>
    </xf>
    <xf numFmtId="0" fontId="6" fillId="10" borderId="3" xfId="0" applyNumberFormat="1" applyFont="1" applyFill="1" applyBorder="1" applyAlignment="1">
      <alignment horizontal="center" vertical="center"/>
    </xf>
    <xf numFmtId="0" fontId="1" fillId="2" borderId="11" xfId="0" applyFont="1" applyFill="1" applyBorder="1" applyAlignment="1">
      <alignment horizontal="center" vertical="center"/>
    </xf>
    <xf numFmtId="0" fontId="11" fillId="2" borderId="13" xfId="0" applyFont="1" applyFill="1" applyBorder="1" applyAlignment="1">
      <alignment vertical="center" wrapText="1"/>
    </xf>
    <xf numFmtId="0" fontId="1" fillId="0" borderId="24" xfId="0" applyFont="1" applyFill="1" applyBorder="1" applyAlignment="1">
      <alignment horizontal="center" vertical="center"/>
    </xf>
    <xf numFmtId="0" fontId="9" fillId="2" borderId="14" xfId="0" applyFont="1" applyFill="1" applyBorder="1" applyAlignment="1">
      <alignment horizontal="left" vertical="center" wrapText="1"/>
    </xf>
    <xf numFmtId="0" fontId="1" fillId="0" borderId="11" xfId="13" applyFont="1" applyBorder="1" applyAlignment="1">
      <alignment horizontal="center" vertical="center" wrapText="1"/>
    </xf>
    <xf numFmtId="0" fontId="1" fillId="0" borderId="17" xfId="13" applyFont="1" applyFill="1" applyBorder="1" applyAlignment="1">
      <alignment horizontal="center" vertical="center" wrapText="1"/>
    </xf>
    <xf numFmtId="0" fontId="1" fillId="0" borderId="18" xfId="16" applyFont="1" applyBorder="1" applyAlignment="1">
      <alignment horizontal="center" vertical="center"/>
    </xf>
    <xf numFmtId="0" fontId="6" fillId="3" borderId="7" xfId="0" applyNumberFormat="1" applyFont="1" applyFill="1" applyBorder="1" applyAlignment="1">
      <alignment horizontal="center" vertical="center"/>
    </xf>
    <xf numFmtId="0" fontId="6" fillId="3" borderId="18" xfId="0" applyNumberFormat="1" applyFont="1" applyFill="1" applyBorder="1" applyAlignment="1">
      <alignment horizontal="center" vertical="center"/>
    </xf>
    <xf numFmtId="9" fontId="1" fillId="0" borderId="12" xfId="0" applyNumberFormat="1" applyFont="1" applyFill="1" applyBorder="1" applyAlignment="1">
      <alignment horizontal="center" vertical="center"/>
    </xf>
    <xf numFmtId="0" fontId="1" fillId="0" borderId="11" xfId="0" applyFont="1" applyFill="1" applyBorder="1" applyAlignment="1">
      <alignment vertical="center"/>
    </xf>
    <xf numFmtId="0" fontId="1" fillId="0" borderId="12" xfId="0" applyFont="1" applyFill="1" applyBorder="1" applyAlignment="1">
      <alignment horizontal="center" vertical="center"/>
    </xf>
    <xf numFmtId="0" fontId="1" fillId="0" borderId="25" xfId="0" applyFont="1" applyFill="1" applyBorder="1" applyAlignment="1">
      <alignment horizontal="left" vertical="center"/>
    </xf>
    <xf numFmtId="0" fontId="1" fillId="0" borderId="16" xfId="0" applyFont="1" applyBorder="1" applyAlignment="1">
      <alignment horizontal="center" vertical="center"/>
    </xf>
    <xf numFmtId="0" fontId="1" fillId="0" borderId="14" xfId="17" applyFont="1" applyFill="1" applyBorder="1" applyAlignment="1">
      <alignment horizontal="center" vertical="center" wrapText="1"/>
    </xf>
    <xf numFmtId="14" fontId="3" fillId="2" borderId="12" xfId="0" applyNumberFormat="1" applyFont="1" applyFill="1" applyBorder="1" applyAlignment="1">
      <alignment vertical="center"/>
    </xf>
    <xf numFmtId="0" fontId="6" fillId="8" borderId="3" xfId="0" applyNumberFormat="1" applyFont="1" applyFill="1" applyBorder="1" applyAlignment="1">
      <alignment horizontal="center" vertical="center"/>
    </xf>
    <xf numFmtId="57" fontId="6" fillId="3" borderId="14" xfId="0" applyNumberFormat="1" applyFont="1" applyFill="1" applyBorder="1" applyAlignment="1">
      <alignment horizontal="center" vertical="center" wrapText="1"/>
    </xf>
    <xf numFmtId="0" fontId="95" fillId="3" borderId="3" xfId="0" applyNumberFormat="1" applyFont="1" applyFill="1" applyBorder="1" applyAlignment="1">
      <alignment horizontal="center" vertical="center"/>
    </xf>
    <xf numFmtId="57" fontId="6" fillId="3" borderId="3" xfId="0" applyNumberFormat="1" applyFont="1" applyFill="1" applyBorder="1" applyAlignment="1">
      <alignment horizontal="center" vertical="center" wrapText="1"/>
    </xf>
    <xf numFmtId="0" fontId="91" fillId="3" borderId="3" xfId="0" applyNumberFormat="1" applyFont="1" applyFill="1" applyBorder="1" applyAlignment="1">
      <alignment horizontal="center" vertical="center"/>
    </xf>
    <xf numFmtId="0" fontId="95" fillId="10" borderId="3" xfId="0" applyNumberFormat="1" applyFont="1" applyFill="1" applyBorder="1" applyAlignment="1">
      <alignment horizontal="center" vertical="center"/>
    </xf>
    <xf numFmtId="0" fontId="95" fillId="8" borderId="3" xfId="0" applyNumberFormat="1" applyFont="1" applyFill="1" applyBorder="1" applyAlignment="1">
      <alignment horizontal="center" vertical="center"/>
    </xf>
    <xf numFmtId="57" fontId="6" fillId="8" borderId="3" xfId="0" applyNumberFormat="1" applyFont="1" applyFill="1" applyBorder="1" applyAlignment="1">
      <alignment horizontal="center" vertical="center" wrapText="1"/>
    </xf>
    <xf numFmtId="0" fontId="95" fillId="12" borderId="3" xfId="0" applyNumberFormat="1" applyFont="1" applyFill="1" applyBorder="1" applyAlignment="1">
      <alignment horizontal="center" vertical="center"/>
    </xf>
    <xf numFmtId="0" fontId="6" fillId="3" borderId="17" xfId="0" applyNumberFormat="1" applyFont="1" applyFill="1" applyBorder="1" applyAlignment="1">
      <alignment horizontal="center" vertical="center"/>
    </xf>
    <xf numFmtId="0" fontId="6" fillId="3" borderId="3" xfId="0" applyNumberFormat="1" applyFont="1" applyFill="1" applyBorder="1" applyAlignment="1">
      <alignment horizontal="center" vertical="center" wrapText="1"/>
    </xf>
    <xf numFmtId="0" fontId="3" fillId="2" borderId="3" xfId="0" applyFont="1" applyFill="1" applyBorder="1" applyAlignment="1">
      <alignment vertical="center"/>
    </xf>
    <xf numFmtId="14" fontId="3" fillId="2" borderId="3" xfId="0" applyNumberFormat="1" applyFont="1" applyFill="1" applyBorder="1" applyAlignment="1">
      <alignment vertical="center"/>
    </xf>
    <xf numFmtId="0" fontId="5" fillId="2" borderId="3" xfId="0" applyFont="1" applyFill="1" applyBorder="1" applyAlignment="1">
      <alignment vertical="center" wrapText="1"/>
    </xf>
    <xf numFmtId="0" fontId="8" fillId="2" borderId="3" xfId="0" applyFont="1" applyFill="1" applyBorder="1" applyAlignment="1">
      <alignment horizontal="center" vertical="center" wrapText="1"/>
    </xf>
    <xf numFmtId="0" fontId="1" fillId="0" borderId="3" xfId="16" applyFont="1" applyBorder="1" applyAlignment="1">
      <alignment horizontal="center" vertical="center"/>
    </xf>
    <xf numFmtId="57" fontId="6" fillId="3" borderId="17" xfId="0" applyNumberFormat="1" applyFont="1" applyFill="1" applyBorder="1" applyAlignment="1">
      <alignment horizontal="center" vertical="center"/>
    </xf>
    <xf numFmtId="0" fontId="11" fillId="2" borderId="3" xfId="0" applyFont="1" applyFill="1" applyBorder="1" applyAlignment="1">
      <alignment vertical="center" wrapText="1"/>
    </xf>
    <xf numFmtId="0" fontId="9" fillId="2" borderId="3" xfId="0" applyFont="1" applyFill="1" applyBorder="1" applyAlignment="1">
      <alignment vertical="center" wrapText="1"/>
    </xf>
    <xf numFmtId="0" fontId="6" fillId="3" borderId="3" xfId="0" applyNumberFormat="1" applyFont="1" applyFill="1" applyBorder="1" applyAlignment="1">
      <alignment horizontal="left" vertical="center"/>
    </xf>
    <xf numFmtId="0" fontId="1" fillId="2" borderId="16" xfId="0" applyFont="1" applyFill="1" applyBorder="1" applyAlignment="1">
      <alignment vertical="center" wrapText="1"/>
    </xf>
    <xf numFmtId="0" fontId="29" fillId="3" borderId="3" xfId="0" applyNumberFormat="1" applyFont="1" applyFill="1" applyBorder="1" applyAlignment="1">
      <alignment horizontal="center" vertical="center"/>
    </xf>
    <xf numFmtId="0" fontId="6" fillId="7" borderId="3" xfId="0" applyNumberFormat="1" applyFont="1" applyFill="1" applyBorder="1" applyAlignment="1">
      <alignment horizontal="center" vertical="center"/>
    </xf>
    <xf numFmtId="0" fontId="6" fillId="7" borderId="17" xfId="0" applyNumberFormat="1" applyFont="1" applyFill="1" applyBorder="1" applyAlignment="1">
      <alignment horizontal="center" vertical="center"/>
    </xf>
    <xf numFmtId="57" fontId="6" fillId="3" borderId="16" xfId="0" applyNumberFormat="1" applyFont="1" applyFill="1" applyBorder="1" applyAlignment="1">
      <alignment horizontal="center" vertical="center"/>
    </xf>
    <xf numFmtId="0" fontId="11" fillId="2" borderId="17" xfId="0" applyFont="1" applyFill="1" applyBorder="1" applyAlignment="1">
      <alignment vertical="center" wrapText="1"/>
    </xf>
    <xf numFmtId="0" fontId="1" fillId="0" borderId="12" xfId="0" applyFont="1" applyFill="1" applyBorder="1" applyAlignment="1">
      <alignment vertical="center"/>
    </xf>
    <xf numFmtId="0" fontId="1" fillId="0" borderId="12" xfId="0" applyFont="1" applyFill="1" applyBorder="1" applyAlignment="1">
      <alignment horizontal="left" vertical="center" wrapText="1"/>
    </xf>
    <xf numFmtId="0" fontId="6" fillId="3" borderId="3" xfId="0" applyNumberFormat="1" applyFont="1" applyFill="1" applyBorder="1" applyAlignment="1">
      <alignment vertical="center"/>
    </xf>
    <xf numFmtId="31" fontId="6" fillId="3" borderId="3" xfId="0" applyNumberFormat="1" applyFont="1" applyFill="1" applyBorder="1" applyAlignment="1">
      <alignment horizontal="center" vertical="center"/>
    </xf>
    <xf numFmtId="0" fontId="6" fillId="3" borderId="3" xfId="0" applyNumberFormat="1" applyFont="1" applyFill="1" applyBorder="1" applyAlignment="1">
      <alignment horizontal="left" vertical="center" wrapText="1"/>
    </xf>
    <xf numFmtId="57" fontId="6" fillId="3" borderId="3" xfId="0" applyNumberFormat="1" applyFont="1" applyFill="1" applyBorder="1" applyAlignment="1">
      <alignment horizontal="left" vertical="center"/>
    </xf>
    <xf numFmtId="176" fontId="0" fillId="0" borderId="0" xfId="0" applyNumberFormat="1">
      <alignment vertical="center"/>
    </xf>
    <xf numFmtId="176" fontId="1" fillId="2" borderId="3" xfId="0" applyNumberFormat="1" applyFont="1" applyFill="1" applyBorder="1" applyAlignment="1">
      <alignment horizontal="center" vertical="center"/>
    </xf>
    <xf numFmtId="176" fontId="1" fillId="0" borderId="3" xfId="13" applyNumberFormat="1" applyFont="1" applyBorder="1" applyAlignment="1">
      <alignment horizontal="center" vertical="center" wrapText="1"/>
    </xf>
    <xf numFmtId="0" fontId="6" fillId="3" borderId="16" xfId="0" applyFont="1" applyFill="1" applyBorder="1" applyAlignment="1">
      <alignment horizontal="center" vertical="center"/>
    </xf>
    <xf numFmtId="176" fontId="6" fillId="3" borderId="14" xfId="0" applyNumberFormat="1" applyFont="1" applyFill="1" applyBorder="1" applyAlignment="1">
      <alignment horizontal="center" vertical="center" wrapText="1"/>
    </xf>
    <xf numFmtId="57" fontId="6" fillId="3" borderId="21" xfId="0" applyNumberFormat="1" applyFont="1" applyFill="1" applyBorder="1" applyAlignment="1">
      <alignment horizontal="center" vertical="center" wrapText="1"/>
    </xf>
    <xf numFmtId="0" fontId="91" fillId="3" borderId="3" xfId="0" applyFont="1" applyFill="1" applyBorder="1" applyAlignment="1">
      <alignment horizontal="center" vertical="center" wrapText="1"/>
    </xf>
    <xf numFmtId="0" fontId="11" fillId="2" borderId="25" xfId="0" applyFont="1" applyFill="1" applyBorder="1" applyAlignment="1">
      <alignment vertical="center" wrapText="1"/>
    </xf>
    <xf numFmtId="0" fontId="36" fillId="3" borderId="3"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25" xfId="0" applyFont="1" applyFill="1" applyBorder="1" applyAlignment="1">
      <alignment horizontal="center" vertical="center" wrapText="1"/>
    </xf>
    <xf numFmtId="181" fontId="3" fillId="0" borderId="1" xfId="0" applyNumberFormat="1" applyFont="1" applyBorder="1" applyAlignment="1">
      <alignment vertical="center"/>
    </xf>
    <xf numFmtId="57" fontId="29" fillId="0" borderId="2" xfId="0" applyNumberFormat="1" applyFont="1" applyFill="1" applyBorder="1" applyAlignment="1">
      <alignment horizontal="center" vertical="center" wrapText="1"/>
    </xf>
    <xf numFmtId="0" fontId="6" fillId="0" borderId="3" xfId="16" applyFont="1" applyFill="1" applyBorder="1" applyAlignment="1">
      <alignment horizontal="center" vertical="center" wrapText="1"/>
    </xf>
    <xf numFmtId="57" fontId="6" fillId="0" borderId="2" xfId="0" applyNumberFormat="1" applyFont="1" applyFill="1" applyBorder="1" applyAlignment="1">
      <alignment horizontal="center" vertical="center" wrapText="1"/>
    </xf>
    <xf numFmtId="57" fontId="6" fillId="0" borderId="4" xfId="0" applyNumberFormat="1" applyFont="1" applyFill="1" applyBorder="1" applyAlignment="1">
      <alignment horizontal="center" vertical="center" wrapText="1"/>
    </xf>
    <xf numFmtId="0" fontId="3" fillId="0" borderId="1" xfId="0" applyFont="1" applyFill="1" applyBorder="1" applyAlignment="1">
      <alignment horizontal="left" vertical="center"/>
    </xf>
    <xf numFmtId="0" fontId="3" fillId="0" borderId="1" xfId="0" applyFont="1" applyFill="1" applyBorder="1" applyAlignment="1">
      <alignment vertical="center" wrapText="1"/>
    </xf>
    <xf numFmtId="57" fontId="39" fillId="0" borderId="2" xfId="0" applyNumberFormat="1" applyFont="1" applyFill="1" applyBorder="1" applyAlignment="1">
      <alignment horizontal="center" vertical="center" wrapText="1"/>
    </xf>
    <xf numFmtId="57" fontId="39" fillId="3" borderId="2" xfId="0" applyNumberFormat="1" applyFont="1" applyFill="1" applyBorder="1" applyAlignment="1">
      <alignment horizontal="center" vertical="center" wrapText="1"/>
    </xf>
    <xf numFmtId="0" fontId="6" fillId="3" borderId="3" xfId="16" applyFont="1" applyFill="1" applyBorder="1" applyAlignment="1">
      <alignment horizontal="center" vertical="center" wrapText="1"/>
    </xf>
    <xf numFmtId="57" fontId="39" fillId="3" borderId="15" xfId="0" applyNumberFormat="1" applyFont="1" applyFill="1" applyBorder="1" applyAlignment="1">
      <alignment horizontal="center" vertical="center" wrapText="1"/>
    </xf>
    <xf numFmtId="0" fontId="95" fillId="3" borderId="3" xfId="0" applyFont="1" applyFill="1" applyBorder="1" applyAlignment="1">
      <alignment horizontal="center" vertical="center"/>
    </xf>
    <xf numFmtId="0" fontId="6" fillId="3" borderId="12" xfId="0" applyFont="1" applyFill="1" applyBorder="1" applyAlignment="1">
      <alignment horizontal="center" vertical="center"/>
    </xf>
    <xf numFmtId="57" fontId="39" fillId="3" borderId="21" xfId="0" applyNumberFormat="1" applyFont="1" applyFill="1" applyBorder="1" applyAlignment="1">
      <alignment horizontal="center" vertical="center" wrapText="1"/>
    </xf>
    <xf numFmtId="57" fontId="39" fillId="3" borderId="24" xfId="0" applyNumberFormat="1" applyFont="1" applyFill="1" applyBorder="1" applyAlignment="1">
      <alignment horizontal="center" vertical="center" wrapText="1"/>
    </xf>
    <xf numFmtId="0" fontId="8" fillId="0" borderId="9" xfId="0" applyFont="1" applyBorder="1" applyAlignment="1">
      <alignment vertical="center" wrapText="1"/>
    </xf>
    <xf numFmtId="0" fontId="1" fillId="0" borderId="7" xfId="0" applyFont="1" applyBorder="1" applyAlignment="1">
      <alignment vertical="center" wrapText="1"/>
    </xf>
    <xf numFmtId="49" fontId="1" fillId="0" borderId="3" xfId="0" applyNumberFormat="1" applyFont="1" applyBorder="1" applyAlignment="1">
      <alignment horizontal="center" vertical="center" wrapText="1"/>
    </xf>
    <xf numFmtId="0" fontId="8" fillId="0" borderId="3" xfId="0" applyFont="1" applyBorder="1" applyAlignment="1">
      <alignment horizontal="left" vertical="center" wrapText="1"/>
    </xf>
    <xf numFmtId="0" fontId="24" fillId="0" borderId="7" xfId="0" applyFont="1" applyBorder="1" applyAlignment="1">
      <alignment vertical="center" wrapText="1"/>
    </xf>
    <xf numFmtId="0" fontId="29" fillId="0" borderId="3" xfId="0" applyFont="1" applyFill="1" applyBorder="1" applyAlignment="1">
      <alignment horizontal="center" vertical="center"/>
    </xf>
    <xf numFmtId="0" fontId="6" fillId="0" borderId="7" xfId="0" applyFont="1" applyFill="1" applyBorder="1" applyAlignment="1">
      <alignment horizontal="left" vertical="center"/>
    </xf>
    <xf numFmtId="0" fontId="6" fillId="0" borderId="8" xfId="0" applyFont="1" applyFill="1" applyBorder="1" applyAlignment="1">
      <alignment horizontal="left" vertical="center" wrapText="1"/>
    </xf>
    <xf numFmtId="0" fontId="35" fillId="0" borderId="3" xfId="0" applyFont="1" applyBorder="1" applyAlignment="1">
      <alignment horizontal="center" vertical="center" wrapText="1"/>
    </xf>
    <xf numFmtId="0" fontId="4" fillId="0" borderId="7" xfId="0" applyFont="1" applyBorder="1" applyAlignment="1">
      <alignment horizontal="center" vertical="center" wrapText="1"/>
    </xf>
    <xf numFmtId="0" fontId="40" fillId="0" borderId="7" xfId="0" applyFont="1" applyFill="1" applyBorder="1" applyAlignment="1">
      <alignment horizontal="left" vertical="center"/>
    </xf>
    <xf numFmtId="0" fontId="41" fillId="0" borderId="7" xfId="0" applyFont="1" applyFill="1" applyBorder="1" applyAlignment="1">
      <alignment horizontal="left" vertical="center"/>
    </xf>
    <xf numFmtId="0" fontId="40" fillId="3" borderId="7" xfId="0" applyFont="1" applyFill="1" applyBorder="1" applyAlignment="1">
      <alignment horizontal="left" vertical="center"/>
    </xf>
    <xf numFmtId="0" fontId="6" fillId="3" borderId="16" xfId="0" applyFont="1" applyFill="1" applyBorder="1" applyAlignment="1">
      <alignment horizontal="left" vertical="center"/>
    </xf>
    <xf numFmtId="0" fontId="40" fillId="3" borderId="25" xfId="0" applyFont="1" applyFill="1" applyBorder="1" applyAlignment="1">
      <alignment horizontal="left" vertical="center"/>
    </xf>
    <xf numFmtId="0" fontId="40" fillId="3" borderId="13" xfId="0" applyFont="1" applyFill="1" applyBorder="1" applyAlignment="1">
      <alignment horizontal="left" vertical="center"/>
    </xf>
    <xf numFmtId="0" fontId="40" fillId="3" borderId="3" xfId="0" applyFont="1" applyFill="1" applyBorder="1" applyAlignment="1">
      <alignment horizontal="left" vertical="center"/>
    </xf>
    <xf numFmtId="57" fontId="39" fillId="3" borderId="29" xfId="0" applyNumberFormat="1" applyFont="1" applyFill="1" applyBorder="1" applyAlignment="1">
      <alignment horizontal="center" vertical="center" wrapText="1"/>
    </xf>
    <xf numFmtId="0" fontId="6" fillId="3" borderId="11" xfId="0" applyFont="1" applyFill="1" applyBorder="1" applyAlignment="1">
      <alignment horizontal="center" vertical="center"/>
    </xf>
    <xf numFmtId="0" fontId="6" fillId="3" borderId="17" xfId="16" applyFont="1" applyFill="1" applyBorder="1" applyAlignment="1">
      <alignment horizontal="center" vertical="center" wrapText="1"/>
    </xf>
    <xf numFmtId="0" fontId="6" fillId="3" borderId="11" xfId="13" applyFont="1" applyFill="1" applyBorder="1" applyAlignment="1">
      <alignment horizontal="center" vertical="center" wrapText="1"/>
    </xf>
    <xf numFmtId="57" fontId="39" fillId="3" borderId="3" xfId="0" applyNumberFormat="1" applyFont="1" applyFill="1" applyBorder="1" applyAlignment="1">
      <alignment horizontal="center" vertical="center" wrapText="1"/>
    </xf>
    <xf numFmtId="0" fontId="6" fillId="3" borderId="14" xfId="13" applyFont="1" applyFill="1" applyBorder="1" applyAlignment="1">
      <alignment horizontal="center" vertical="center" wrapText="1"/>
    </xf>
    <xf numFmtId="57" fontId="39" fillId="3" borderId="12" xfId="0" applyNumberFormat="1" applyFont="1" applyFill="1" applyBorder="1" applyAlignment="1">
      <alignment horizontal="center" vertical="center" wrapText="1"/>
    </xf>
    <xf numFmtId="0" fontId="6" fillId="3" borderId="28" xfId="0" applyFont="1" applyFill="1" applyBorder="1" applyAlignment="1">
      <alignment horizontal="center" vertical="center"/>
    </xf>
    <xf numFmtId="0" fontId="6" fillId="3" borderId="24" xfId="13" applyFont="1" applyFill="1" applyBorder="1" applyAlignment="1">
      <alignment horizontal="center" vertical="center" wrapText="1"/>
    </xf>
    <xf numFmtId="0" fontId="6" fillId="3" borderId="12" xfId="16" applyFont="1" applyFill="1" applyBorder="1" applyAlignment="1">
      <alignment horizontal="center" vertical="center" wrapText="1"/>
    </xf>
    <xf numFmtId="0" fontId="6" fillId="3" borderId="3" xfId="0" applyFont="1" applyFill="1" applyBorder="1" applyAlignment="1">
      <alignment horizontal="left" vertical="center"/>
    </xf>
    <xf numFmtId="0" fontId="0" fillId="3" borderId="17" xfId="0" applyFont="1" applyFill="1" applyBorder="1" applyAlignment="1">
      <alignment horizontal="left" vertical="center"/>
    </xf>
    <xf numFmtId="0" fontId="6" fillId="3" borderId="30" xfId="0" applyFont="1" applyFill="1" applyBorder="1" applyAlignment="1">
      <alignment horizontal="center" vertical="center"/>
    </xf>
    <xf numFmtId="0" fontId="6" fillId="3" borderId="14" xfId="0" applyFont="1" applyFill="1" applyBorder="1" applyAlignment="1">
      <alignment horizontal="left" vertical="center"/>
    </xf>
    <xf numFmtId="0" fontId="6" fillId="3" borderId="24" xfId="0" applyFont="1" applyFill="1" applyBorder="1" applyAlignment="1">
      <alignment horizontal="left" vertical="center"/>
    </xf>
    <xf numFmtId="0" fontId="6" fillId="3" borderId="12" xfId="0" applyFont="1" applyFill="1" applyBorder="1" applyAlignment="1">
      <alignment horizontal="left" vertical="center"/>
    </xf>
    <xf numFmtId="0" fontId="40" fillId="3" borderId="12" xfId="0" applyFont="1" applyFill="1" applyBorder="1" applyAlignment="1">
      <alignment horizontal="left" vertical="center"/>
    </xf>
    <xf numFmtId="0" fontId="6" fillId="3" borderId="28" xfId="13" applyFont="1" applyFill="1" applyBorder="1" applyAlignment="1">
      <alignment horizontal="center" vertical="center" wrapText="1"/>
    </xf>
    <xf numFmtId="0" fontId="3" fillId="2" borderId="22" xfId="0" applyFont="1" applyFill="1" applyBorder="1" applyAlignment="1">
      <alignment vertical="center" wrapText="1"/>
    </xf>
    <xf numFmtId="0" fontId="3" fillId="2" borderId="12" xfId="0" applyFont="1" applyFill="1" applyBorder="1" applyAlignment="1">
      <alignment horizontal="left" vertical="center"/>
    </xf>
    <xf numFmtId="31" fontId="3" fillId="2" borderId="12" xfId="0" applyNumberFormat="1" applyFont="1" applyFill="1" applyBorder="1" applyAlignment="1">
      <alignment vertical="center" wrapText="1"/>
    </xf>
    <xf numFmtId="177" fontId="6" fillId="3" borderId="17" xfId="16" applyNumberFormat="1" applyFont="1" applyFill="1" applyBorder="1" applyAlignment="1">
      <alignment horizontal="center" vertical="center" wrapText="1"/>
    </xf>
    <xf numFmtId="176" fontId="6" fillId="3" borderId="17" xfId="0" applyNumberFormat="1"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0" borderId="7" xfId="0" applyFont="1" applyFill="1" applyBorder="1" applyAlignment="1">
      <alignment horizontal="center" vertical="center" wrapText="1"/>
    </xf>
    <xf numFmtId="0" fontId="1" fillId="0" borderId="16" xfId="17" applyFont="1" applyFill="1" applyBorder="1" applyAlignment="1">
      <alignment horizontal="center" vertical="center" wrapText="1"/>
    </xf>
    <xf numFmtId="0" fontId="6" fillId="3" borderId="17" xfId="13" applyNumberFormat="1" applyFont="1" applyFill="1" applyBorder="1" applyAlignment="1">
      <alignment horizontal="center" vertical="center" wrapText="1"/>
    </xf>
    <xf numFmtId="0" fontId="6" fillId="3" borderId="17" xfId="16" applyNumberFormat="1" applyFont="1" applyFill="1" applyBorder="1" applyAlignment="1">
      <alignment horizontal="left" vertical="center" wrapText="1"/>
    </xf>
    <xf numFmtId="176" fontId="6" fillId="3" borderId="17" xfId="13" applyNumberFormat="1" applyFont="1" applyFill="1" applyBorder="1" applyAlignment="1">
      <alignment horizontal="center" vertical="center" wrapText="1"/>
    </xf>
    <xf numFmtId="0" fontId="6" fillId="3" borderId="3" xfId="16" applyNumberFormat="1" applyFont="1" applyFill="1" applyBorder="1" applyAlignment="1">
      <alignment horizontal="left" vertical="center" wrapText="1"/>
    </xf>
    <xf numFmtId="0" fontId="91" fillId="3" borderId="3" xfId="16" applyNumberFormat="1" applyFont="1" applyFill="1" applyBorder="1" applyAlignment="1">
      <alignment horizontal="left" vertical="center" wrapText="1"/>
    </xf>
    <xf numFmtId="0" fontId="3" fillId="2" borderId="12" xfId="0" applyFont="1" applyFill="1" applyBorder="1" applyAlignment="1">
      <alignment vertical="center" wrapText="1"/>
    </xf>
    <xf numFmtId="31" fontId="3" fillId="2" borderId="12" xfId="0" applyNumberFormat="1" applyFont="1" applyFill="1" applyBorder="1" applyAlignment="1">
      <alignment horizontal="center" vertical="center" wrapText="1"/>
    </xf>
    <xf numFmtId="9" fontId="1" fillId="0" borderId="3" xfId="0" applyNumberFormat="1" applyFont="1" applyFill="1" applyBorder="1" applyAlignment="1">
      <alignment horizontal="center" vertical="center" wrapText="1"/>
    </xf>
    <xf numFmtId="0" fontId="6" fillId="10" borderId="3" xfId="0" applyFont="1" applyFill="1" applyBorder="1" applyAlignment="1">
      <alignment horizontal="center" vertical="center" wrapText="1"/>
    </xf>
    <xf numFmtId="0" fontId="6" fillId="8" borderId="3" xfId="0" applyFont="1" applyFill="1" applyBorder="1" applyAlignment="1">
      <alignment horizontal="center" vertical="center"/>
    </xf>
    <xf numFmtId="0" fontId="0" fillId="10" borderId="0" xfId="0" applyFill="1">
      <alignment vertical="center"/>
    </xf>
    <xf numFmtId="0" fontId="1" fillId="0" borderId="1" xfId="0" applyFont="1" applyFill="1" applyBorder="1" applyAlignment="1">
      <alignment horizontal="center" vertical="center"/>
    </xf>
    <xf numFmtId="0" fontId="3" fillId="0" borderId="1" xfId="0" applyFont="1" applyFill="1" applyBorder="1" applyAlignment="1">
      <alignment vertical="center"/>
    </xf>
    <xf numFmtId="57" fontId="39" fillId="0" borderId="4" xfId="0" applyNumberFormat="1" applyFont="1" applyFill="1" applyBorder="1" applyAlignment="1">
      <alignment horizontal="center" vertical="center" wrapText="1"/>
    </xf>
    <xf numFmtId="0" fontId="3" fillId="0" borderId="12" xfId="0" applyFont="1" applyFill="1" applyBorder="1" applyAlignment="1">
      <alignment horizontal="left" vertical="center"/>
    </xf>
    <xf numFmtId="0" fontId="3" fillId="0" borderId="12" xfId="0" applyFont="1" applyFill="1" applyBorder="1" applyAlignment="1">
      <alignment vertical="center"/>
    </xf>
    <xf numFmtId="0" fontId="3" fillId="0" borderId="3" xfId="13" applyFont="1" applyBorder="1" applyAlignment="1">
      <alignment horizontal="center" vertical="center" wrapText="1"/>
    </xf>
    <xf numFmtId="0" fontId="6" fillId="11" borderId="3" xfId="16" applyFont="1" applyFill="1" applyBorder="1" applyAlignment="1">
      <alignment horizontal="center" vertical="center" wrapText="1"/>
    </xf>
    <xf numFmtId="57" fontId="39" fillId="3" borderId="31" xfId="0" applyNumberFormat="1" applyFont="1" applyFill="1" applyBorder="1" applyAlignment="1">
      <alignment horizontal="center" vertical="center" wrapText="1"/>
    </xf>
    <xf numFmtId="57" fontId="39" fillId="10" borderId="3" xfId="0" applyNumberFormat="1" applyFont="1" applyFill="1" applyBorder="1" applyAlignment="1">
      <alignment horizontal="center" vertical="center" wrapText="1"/>
    </xf>
    <xf numFmtId="0" fontId="6" fillId="10" borderId="3" xfId="0" applyFont="1" applyFill="1" applyBorder="1" applyAlignment="1">
      <alignment horizontal="center" vertical="center"/>
    </xf>
    <xf numFmtId="0" fontId="6" fillId="10" borderId="12" xfId="13" applyFont="1" applyFill="1" applyBorder="1" applyAlignment="1">
      <alignment horizontal="center" vertical="center" wrapText="1"/>
    </xf>
    <xf numFmtId="0" fontId="6" fillId="10" borderId="12" xfId="0" applyFont="1" applyFill="1" applyBorder="1" applyAlignment="1">
      <alignment horizontal="center" vertical="center"/>
    </xf>
    <xf numFmtId="0" fontId="0" fillId="10" borderId="17" xfId="0" applyFill="1" applyBorder="1">
      <alignment vertical="center"/>
    </xf>
    <xf numFmtId="0" fontId="40" fillId="0" borderId="8" xfId="0" applyFont="1" applyFill="1" applyBorder="1" applyAlignment="1">
      <alignment horizontal="left" vertical="center"/>
    </xf>
    <xf numFmtId="0" fontId="42" fillId="0" borderId="9" xfId="0" applyFont="1" applyBorder="1" applyAlignment="1">
      <alignment horizontal="left" vertical="center" wrapText="1"/>
    </xf>
    <xf numFmtId="14" fontId="40" fillId="0" borderId="7" xfId="0" applyNumberFormat="1" applyFont="1" applyFill="1" applyBorder="1" applyAlignment="1">
      <alignment horizontal="left" vertical="center"/>
    </xf>
    <xf numFmtId="182" fontId="6" fillId="3" borderId="12" xfId="0" applyNumberFormat="1" applyFont="1" applyFill="1" applyBorder="1" applyAlignment="1">
      <alignment horizontal="center" vertical="center"/>
    </xf>
    <xf numFmtId="0" fontId="1" fillId="0" borderId="12" xfId="0" applyFont="1" applyBorder="1" applyAlignment="1">
      <alignment horizontal="center" vertical="center"/>
    </xf>
    <xf numFmtId="0" fontId="42" fillId="0" borderId="25" xfId="0" applyFont="1" applyBorder="1" applyAlignment="1">
      <alignment horizontal="left" vertical="center" wrapText="1"/>
    </xf>
    <xf numFmtId="0" fontId="29" fillId="3" borderId="11" xfId="0" applyFont="1" applyFill="1" applyBorder="1" applyAlignment="1">
      <alignment horizontal="center" vertical="center"/>
    </xf>
    <xf numFmtId="0" fontId="29" fillId="10" borderId="3" xfId="0" applyFont="1" applyFill="1" applyBorder="1" applyAlignment="1">
      <alignment horizontal="center" vertical="center"/>
    </xf>
    <xf numFmtId="0" fontId="40" fillId="10" borderId="32" xfId="0" applyFont="1" applyFill="1" applyBorder="1" applyAlignment="1">
      <alignment horizontal="left" vertical="center"/>
    </xf>
    <xf numFmtId="0" fontId="29" fillId="10" borderId="12" xfId="0" applyFont="1" applyFill="1" applyBorder="1" applyAlignment="1">
      <alignment horizontal="center" vertical="center"/>
    </xf>
    <xf numFmtId="0" fontId="40" fillId="10" borderId="3" xfId="0" applyFont="1" applyFill="1" applyBorder="1" applyAlignment="1">
      <alignment horizontal="left" vertical="center"/>
    </xf>
    <xf numFmtId="0" fontId="0" fillId="10" borderId="17" xfId="0" applyFill="1" applyBorder="1">
      <alignment vertical="center"/>
    </xf>
    <xf numFmtId="0" fontId="91" fillId="10" borderId="3" xfId="0" applyFont="1" applyFill="1" applyBorder="1" applyAlignment="1">
      <alignment horizontal="center" vertical="center"/>
    </xf>
    <xf numFmtId="0" fontId="6" fillId="10" borderId="3" xfId="0" applyFont="1" applyFill="1" applyBorder="1" applyAlignment="1">
      <alignment horizontal="center" vertical="center"/>
    </xf>
    <xf numFmtId="0" fontId="91" fillId="10" borderId="16" xfId="0" applyFont="1" applyFill="1" applyBorder="1" applyAlignment="1">
      <alignment horizontal="center" vertical="center"/>
    </xf>
    <xf numFmtId="0" fontId="0" fillId="10" borderId="14" xfId="0" applyFill="1" applyBorder="1">
      <alignment vertical="center"/>
    </xf>
    <xf numFmtId="0" fontId="0" fillId="10" borderId="3" xfId="0" applyFill="1" applyBorder="1">
      <alignment vertical="center"/>
    </xf>
    <xf numFmtId="57" fontId="39" fillId="10" borderId="17" xfId="0" applyNumberFormat="1" applyFont="1" applyFill="1" applyBorder="1" applyAlignment="1">
      <alignment horizontal="center" vertical="center" wrapText="1"/>
    </xf>
    <xf numFmtId="0" fontId="6" fillId="10" borderId="17" xfId="0" applyFont="1" applyFill="1" applyBorder="1" applyAlignment="1">
      <alignment horizontal="center" vertical="center"/>
    </xf>
    <xf numFmtId="0" fontId="91" fillId="10" borderId="19" xfId="0" applyFont="1" applyFill="1" applyBorder="1" applyAlignment="1">
      <alignment horizontal="center" vertical="center"/>
    </xf>
    <xf numFmtId="0" fontId="0" fillId="10" borderId="33" xfId="0" applyFill="1" applyBorder="1">
      <alignment vertical="center"/>
    </xf>
    <xf numFmtId="0" fontId="0" fillId="10" borderId="17" xfId="0" applyFill="1" applyBorder="1">
      <alignment vertical="center"/>
    </xf>
    <xf numFmtId="57" fontId="39" fillId="10" borderId="3" xfId="0" applyNumberFormat="1" applyFont="1" applyFill="1" applyBorder="1" applyAlignment="1">
      <alignment horizontal="center" vertical="center" wrapText="1"/>
    </xf>
    <xf numFmtId="0" fontId="0" fillId="10" borderId="3" xfId="0" applyFill="1" applyBorder="1">
      <alignment vertical="center"/>
    </xf>
    <xf numFmtId="57" fontId="39" fillId="8" borderId="3" xfId="0" applyNumberFormat="1" applyFont="1" applyFill="1" applyBorder="1" applyAlignment="1">
      <alignment horizontal="center" vertical="center" wrapText="1"/>
    </xf>
    <xf numFmtId="0" fontId="6" fillId="8" borderId="3" xfId="0" applyFont="1" applyFill="1" applyBorder="1" applyAlignment="1">
      <alignment horizontal="center" vertical="center"/>
    </xf>
    <xf numFmtId="0" fontId="6" fillId="10" borderId="3" xfId="16" applyFont="1" applyFill="1" applyBorder="1" applyAlignment="1">
      <alignment horizontal="center" vertical="center" wrapText="1"/>
    </xf>
    <xf numFmtId="0" fontId="29" fillId="10" borderId="17" xfId="0" applyFont="1" applyFill="1" applyBorder="1" applyAlignment="1">
      <alignment horizontal="center" vertical="center"/>
    </xf>
    <xf numFmtId="0" fontId="6" fillId="10" borderId="17" xfId="0" applyFont="1" applyFill="1" applyBorder="1" applyAlignment="1">
      <alignment horizontal="center" vertical="center"/>
    </xf>
    <xf numFmtId="0" fontId="29" fillId="10" borderId="3" xfId="0" applyFont="1" applyFill="1" applyBorder="1" applyAlignment="1">
      <alignment horizontal="center" vertical="center"/>
    </xf>
    <xf numFmtId="0" fontId="6" fillId="10" borderId="3" xfId="13" applyFont="1" applyFill="1" applyBorder="1" applyAlignment="1">
      <alignment horizontal="center" vertical="center" wrapText="1"/>
    </xf>
    <xf numFmtId="0" fontId="6" fillId="0" borderId="6" xfId="0" applyFont="1" applyBorder="1" applyAlignment="1">
      <alignment vertical="center"/>
    </xf>
    <xf numFmtId="0" fontId="6" fillId="0" borderId="1" xfId="0" applyFont="1" applyBorder="1" applyAlignment="1">
      <alignment vertical="center"/>
    </xf>
    <xf numFmtId="0" fontId="1" fillId="0" borderId="2" xfId="13" applyFont="1" applyBorder="1" applyAlignment="1">
      <alignment horizontal="center" vertical="center"/>
    </xf>
    <xf numFmtId="57" fontId="40" fillId="0" borderId="2" xfId="0" applyNumberFormat="1" applyFont="1" applyFill="1" applyBorder="1" applyAlignment="1">
      <alignment horizontal="center" vertical="center" wrapText="1"/>
    </xf>
    <xf numFmtId="0" fontId="40" fillId="0" borderId="3" xfId="0" applyFont="1" applyFill="1" applyBorder="1" applyAlignment="1">
      <alignment horizontal="center" vertical="center"/>
    </xf>
    <xf numFmtId="0" fontId="40" fillId="0" borderId="3" xfId="0" applyNumberFormat="1" applyFont="1" applyFill="1" applyBorder="1" applyAlignment="1">
      <alignment horizontal="center" vertical="center"/>
    </xf>
    <xf numFmtId="0" fontId="41" fillId="0" borderId="3" xfId="0" applyFont="1" applyFill="1" applyBorder="1" applyAlignment="1">
      <alignment horizontal="center" vertical="center"/>
    </xf>
    <xf numFmtId="57" fontId="43" fillId="0" borderId="2" xfId="0" applyNumberFormat="1" applyFont="1" applyFill="1" applyBorder="1" applyAlignment="1">
      <alignment horizontal="center" vertical="center" wrapText="1"/>
    </xf>
    <xf numFmtId="0" fontId="43" fillId="2" borderId="3" xfId="0" applyFont="1" applyFill="1" applyBorder="1" applyAlignment="1">
      <alignment horizontal="center" vertical="center"/>
    </xf>
    <xf numFmtId="0" fontId="8" fillId="0" borderId="7" xfId="0" applyFont="1" applyBorder="1" applyAlignment="1">
      <alignment horizontal="left" vertical="center" wrapText="1"/>
    </xf>
    <xf numFmtId="0" fontId="1" fillId="0" borderId="7" xfId="13" applyFont="1" applyBorder="1" applyAlignment="1">
      <alignment horizontal="center" vertical="center"/>
    </xf>
    <xf numFmtId="0" fontId="40" fillId="0" borderId="3" xfId="0" applyFont="1" applyFill="1" applyBorder="1" applyAlignment="1">
      <alignment horizontal="center" vertical="center" wrapText="1"/>
    </xf>
    <xf numFmtId="0" fontId="44" fillId="0" borderId="7" xfId="0" applyFont="1" applyFill="1" applyBorder="1" applyAlignment="1">
      <alignment vertical="center" wrapText="1"/>
    </xf>
    <xf numFmtId="0" fontId="40" fillId="0" borderId="7" xfId="0" applyFont="1" applyFill="1" applyBorder="1" applyAlignment="1">
      <alignment vertical="center"/>
    </xf>
    <xf numFmtId="0" fontId="41" fillId="2" borderId="3" xfId="0" applyFont="1" applyFill="1" applyBorder="1" applyAlignment="1">
      <alignment horizontal="center" vertical="center"/>
    </xf>
    <xf numFmtId="0" fontId="40" fillId="0" borderId="7" xfId="0" applyFont="1" applyFill="1" applyBorder="1" applyAlignment="1">
      <alignment vertical="center" wrapText="1"/>
    </xf>
    <xf numFmtId="0" fontId="40" fillId="2" borderId="3" xfId="0" applyFont="1" applyFill="1" applyBorder="1" applyAlignment="1">
      <alignment horizontal="center" vertical="center"/>
    </xf>
    <xf numFmtId="0" fontId="43" fillId="0" borderId="3" xfId="0" applyFont="1" applyFill="1" applyBorder="1" applyAlignment="1">
      <alignment horizontal="center" vertical="center"/>
    </xf>
    <xf numFmtId="0" fontId="40" fillId="2" borderId="7" xfId="0" applyFont="1" applyFill="1" applyBorder="1" applyAlignment="1">
      <alignment vertical="center"/>
    </xf>
    <xf numFmtId="0" fontId="41" fillId="2" borderId="7" xfId="0" applyFont="1" applyFill="1" applyBorder="1" applyAlignment="1">
      <alignment vertical="center"/>
    </xf>
    <xf numFmtId="0" fontId="41" fillId="0" borderId="7" xfId="0" applyFont="1" applyFill="1" applyBorder="1" applyAlignment="1">
      <alignment vertical="center"/>
    </xf>
    <xf numFmtId="57" fontId="41" fillId="0" borderId="2" xfId="0" applyNumberFormat="1" applyFont="1" applyFill="1" applyBorder="1" applyAlignment="1">
      <alignment horizontal="center" vertical="center" wrapText="1"/>
    </xf>
    <xf numFmtId="57" fontId="40" fillId="3" borderId="2" xfId="0" applyNumberFormat="1" applyFont="1" applyFill="1" applyBorder="1" applyAlignment="1">
      <alignment horizontal="center" vertical="center" wrapText="1"/>
    </xf>
    <xf numFmtId="0" fontId="40" fillId="3" borderId="3" xfId="0" applyFont="1" applyFill="1" applyBorder="1" applyAlignment="1">
      <alignment horizontal="center" vertical="center"/>
    </xf>
    <xf numFmtId="57" fontId="40" fillId="3" borderId="15" xfId="0" applyNumberFormat="1" applyFont="1" applyFill="1" applyBorder="1" applyAlignment="1">
      <alignment horizontal="center" vertical="center" wrapText="1"/>
    </xf>
    <xf numFmtId="0" fontId="7" fillId="3" borderId="3" xfId="0" applyNumberFormat="1" applyFont="1" applyFill="1" applyBorder="1" applyAlignment="1">
      <alignment horizontal="center" vertical="center"/>
    </xf>
    <xf numFmtId="0" fontId="40" fillId="3" borderId="12" xfId="0" applyFont="1" applyFill="1" applyBorder="1" applyAlignment="1">
      <alignment horizontal="center" vertical="center"/>
    </xf>
    <xf numFmtId="0" fontId="7" fillId="3" borderId="12" xfId="0" applyNumberFormat="1" applyFont="1" applyFill="1" applyBorder="1" applyAlignment="1">
      <alignment horizontal="center" vertical="center"/>
    </xf>
    <xf numFmtId="0" fontId="40" fillId="3" borderId="3" xfId="0" applyFont="1" applyFill="1" applyBorder="1" applyAlignment="1">
      <alignment horizontal="center" vertical="center" wrapText="1"/>
    </xf>
    <xf numFmtId="0" fontId="40" fillId="3" borderId="18" xfId="0" applyFont="1" applyFill="1" applyBorder="1" applyAlignment="1">
      <alignment vertical="center"/>
    </xf>
    <xf numFmtId="0" fontId="40" fillId="3" borderId="7" xfId="0" applyFont="1" applyFill="1" applyBorder="1" applyAlignment="1">
      <alignment vertical="center"/>
    </xf>
    <xf numFmtId="0" fontId="6" fillId="3" borderId="7" xfId="0" applyFont="1" applyFill="1" applyBorder="1" applyAlignment="1">
      <alignment vertical="center"/>
    </xf>
    <xf numFmtId="0" fontId="6" fillId="3" borderId="25" xfId="0" applyFont="1" applyFill="1" applyBorder="1" applyAlignment="1">
      <alignment vertical="center"/>
    </xf>
    <xf numFmtId="0" fontId="24" fillId="0" borderId="3" xfId="0" applyFont="1" applyBorder="1" applyAlignment="1">
      <alignment horizontal="center" vertical="center" wrapText="1"/>
    </xf>
    <xf numFmtId="176" fontId="6" fillId="0" borderId="3" xfId="16" applyNumberFormat="1" applyFont="1" applyFill="1" applyBorder="1" applyAlignment="1">
      <alignment horizontal="center" vertical="center" wrapText="1"/>
    </xf>
    <xf numFmtId="57" fontId="29" fillId="0" borderId="22" xfId="0" applyNumberFormat="1" applyFont="1" applyFill="1" applyBorder="1" applyAlignment="1">
      <alignment horizontal="center" vertical="center" wrapText="1"/>
    </xf>
    <xf numFmtId="0" fontId="6" fillId="4" borderId="12" xfId="0" applyFont="1" applyFill="1" applyBorder="1" applyAlignment="1">
      <alignment horizontal="center" vertical="center"/>
    </xf>
    <xf numFmtId="57" fontId="29" fillId="0" borderId="10" xfId="0" applyNumberFormat="1" applyFont="1" applyFill="1" applyBorder="1" applyAlignment="1">
      <alignment horizontal="center" vertical="center" wrapText="1"/>
    </xf>
    <xf numFmtId="0" fontId="6" fillId="0" borderId="17" xfId="16" applyFont="1" applyFill="1" applyBorder="1" applyAlignment="1">
      <alignment horizontal="center" vertical="center" wrapText="1"/>
    </xf>
    <xf numFmtId="176" fontId="6" fillId="0" borderId="17" xfId="16" applyNumberFormat="1" applyFont="1" applyFill="1" applyBorder="1" applyAlignment="1">
      <alignment horizontal="center" vertical="center" wrapText="1"/>
    </xf>
    <xf numFmtId="0" fontId="6" fillId="0" borderId="17" xfId="13" applyFont="1" applyFill="1" applyBorder="1" applyAlignment="1">
      <alignment horizontal="center" vertical="center" wrapText="1"/>
    </xf>
    <xf numFmtId="0" fontId="6" fillId="0" borderId="17" xfId="0" applyFont="1" applyFill="1" applyBorder="1" applyAlignment="1">
      <alignment horizontal="center" vertical="center"/>
    </xf>
    <xf numFmtId="0" fontId="6" fillId="0" borderId="17" xfId="13" applyNumberFormat="1" applyFont="1" applyFill="1" applyBorder="1" applyAlignment="1">
      <alignment horizontal="center" vertical="center" wrapText="1"/>
    </xf>
    <xf numFmtId="57" fontId="29" fillId="0" borderId="29" xfId="0" applyNumberFormat="1" applyFont="1" applyFill="1" applyBorder="1" applyAlignment="1">
      <alignment horizontal="center" vertical="center" wrapText="1"/>
    </xf>
    <xf numFmtId="57" fontId="29" fillId="0" borderId="3" xfId="0" applyNumberFormat="1" applyFont="1" applyFill="1" applyBorder="1" applyAlignment="1">
      <alignment horizontal="center" vertical="center" wrapText="1"/>
    </xf>
    <xf numFmtId="0" fontId="1" fillId="0" borderId="7" xfId="0" applyFont="1" applyBorder="1" applyAlignment="1">
      <alignment vertical="center"/>
    </xf>
    <xf numFmtId="0" fontId="1" fillId="0" borderId="7" xfId="16" applyFont="1" applyBorder="1" applyAlignment="1">
      <alignment vertical="center"/>
    </xf>
    <xf numFmtId="0" fontId="6" fillId="0" borderId="7" xfId="0" applyFont="1" applyFill="1" applyBorder="1" applyAlignment="1">
      <alignment vertical="center"/>
    </xf>
    <xf numFmtId="0" fontId="6" fillId="0" borderId="7" xfId="0" applyFont="1" applyFill="1" applyBorder="1" applyAlignment="1">
      <alignment vertical="center" wrapText="1"/>
    </xf>
    <xf numFmtId="0" fontId="6" fillId="0" borderId="25" xfId="0" applyFont="1" applyFill="1" applyBorder="1" applyAlignment="1">
      <alignment vertical="center"/>
    </xf>
    <xf numFmtId="0" fontId="6" fillId="0" borderId="13" xfId="0" applyFont="1" applyFill="1" applyBorder="1" applyAlignment="1">
      <alignment vertical="center"/>
    </xf>
    <xf numFmtId="0" fontId="29" fillId="0" borderId="17" xfId="0" applyFont="1" applyFill="1" applyBorder="1" applyAlignment="1">
      <alignment horizontal="center" vertical="center"/>
    </xf>
    <xf numFmtId="0" fontId="6" fillId="0" borderId="32" xfId="0" applyFont="1" applyFill="1" applyBorder="1" applyAlignment="1">
      <alignment vertical="center"/>
    </xf>
    <xf numFmtId="0" fontId="6" fillId="0" borderId="3" xfId="0" applyFont="1" applyFill="1" applyBorder="1" applyAlignment="1">
      <alignment vertical="center"/>
    </xf>
    <xf numFmtId="0" fontId="6" fillId="0" borderId="12" xfId="13" applyFont="1" applyFill="1" applyBorder="1" applyAlignment="1">
      <alignment horizontal="center" vertical="center" wrapText="1"/>
    </xf>
    <xf numFmtId="0" fontId="3" fillId="0" borderId="12" xfId="0" applyFont="1" applyFill="1" applyBorder="1" applyAlignment="1">
      <alignment horizontal="center" vertical="center"/>
    </xf>
    <xf numFmtId="0" fontId="1" fillId="0" borderId="17" xfId="13" applyNumberFormat="1" applyFont="1" applyBorder="1" applyAlignment="1">
      <alignment horizontal="center" vertical="center" wrapText="1"/>
    </xf>
    <xf numFmtId="0" fontId="0" fillId="3" borderId="3" xfId="0" applyFont="1" applyFill="1" applyBorder="1" applyAlignment="1">
      <alignment horizontal="center" vertical="center"/>
    </xf>
    <xf numFmtId="57" fontId="39" fillId="3" borderId="34" xfId="0" applyNumberFormat="1" applyFont="1" applyFill="1" applyBorder="1" applyAlignment="1">
      <alignment horizontal="center" vertical="center" wrapText="1"/>
    </xf>
    <xf numFmtId="0" fontId="6" fillId="3" borderId="11" xfId="16" applyFont="1" applyFill="1" applyBorder="1" applyAlignment="1">
      <alignment horizontal="center" vertical="center" wrapText="1"/>
    </xf>
    <xf numFmtId="0" fontId="0" fillId="3" borderId="0" xfId="0" applyFont="1" applyFill="1" applyBorder="1" applyAlignment="1">
      <alignment horizontal="center" vertical="center"/>
    </xf>
    <xf numFmtId="0" fontId="8" fillId="0" borderId="25" xfId="0" applyFont="1" applyBorder="1" applyAlignment="1">
      <alignment horizontal="left" vertical="center" wrapText="1"/>
    </xf>
    <xf numFmtId="0" fontId="0" fillId="3" borderId="30" xfId="0" applyFont="1" applyFill="1" applyBorder="1" applyAlignment="1">
      <alignment horizontal="center" vertical="center"/>
    </xf>
    <xf numFmtId="0" fontId="0" fillId="3" borderId="35" xfId="0" applyFont="1" applyFill="1" applyBorder="1" applyAlignment="1">
      <alignment horizontal="center" vertical="center"/>
    </xf>
    <xf numFmtId="0" fontId="22" fillId="3" borderId="7" xfId="0" applyFont="1" applyFill="1" applyBorder="1" applyAlignment="1">
      <alignment horizontal="left" vertical="center" wrapText="1"/>
    </xf>
    <xf numFmtId="0" fontId="29" fillId="3" borderId="16" xfId="0" applyFont="1" applyFill="1" applyBorder="1" applyAlignment="1">
      <alignment horizontal="center" vertical="center"/>
    </xf>
    <xf numFmtId="0" fontId="0" fillId="3" borderId="16" xfId="0" applyFont="1" applyFill="1" applyBorder="1" applyAlignment="1">
      <alignment horizontal="center" vertical="center"/>
    </xf>
    <xf numFmtId="0" fontId="22" fillId="3" borderId="36" xfId="0" applyFont="1" applyFill="1" applyBorder="1" applyAlignment="1">
      <alignment horizontal="left" vertical="center" wrapText="1"/>
    </xf>
    <xf numFmtId="0" fontId="22" fillId="3" borderId="14" xfId="0" applyFont="1" applyFill="1" applyBorder="1" applyAlignment="1">
      <alignment horizontal="left" vertical="center" wrapText="1"/>
    </xf>
    <xf numFmtId="0" fontId="0" fillId="3" borderId="12" xfId="0" applyFont="1" applyFill="1" applyBorder="1" applyAlignment="1">
      <alignment horizontal="center" vertical="center"/>
    </xf>
    <xf numFmtId="0" fontId="22" fillId="3" borderId="3" xfId="0" applyFont="1" applyFill="1" applyBorder="1" applyAlignment="1">
      <alignment horizontal="left" vertical="center" wrapText="1"/>
    </xf>
    <xf numFmtId="0" fontId="4" fillId="0" borderId="3" xfId="14" applyFont="1" applyBorder="1" applyAlignment="1">
      <alignment horizontal="center" vertical="center" wrapText="1"/>
    </xf>
    <xf numFmtId="0" fontId="1" fillId="3" borderId="2" xfId="16" applyFont="1" applyFill="1" applyBorder="1" applyAlignment="1">
      <alignment horizontal="center" vertical="center"/>
    </xf>
    <xf numFmtId="0" fontId="1" fillId="3" borderId="3" xfId="13"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3" xfId="13" applyNumberFormat="1" applyFont="1" applyFill="1" applyBorder="1" applyAlignment="1">
      <alignment horizontal="center" vertical="center" wrapText="1"/>
    </xf>
    <xf numFmtId="57" fontId="3" fillId="3" borderId="22" xfId="16" applyNumberFormat="1" applyFont="1" applyFill="1" applyBorder="1" applyAlignment="1">
      <alignment horizontal="center" vertical="center" wrapText="1"/>
    </xf>
    <xf numFmtId="0" fontId="3" fillId="3" borderId="12" xfId="13"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2" xfId="13" applyNumberFormat="1" applyFont="1" applyFill="1" applyBorder="1" applyAlignment="1">
      <alignment horizontal="center" vertical="center" wrapText="1"/>
    </xf>
    <xf numFmtId="57" fontId="3" fillId="3" borderId="24" xfId="16" applyNumberFormat="1" applyFont="1" applyFill="1" applyBorder="1" applyAlignment="1">
      <alignment horizontal="center" vertical="center" wrapText="1"/>
    </xf>
    <xf numFmtId="57" fontId="3" fillId="3" borderId="24" xfId="16" applyNumberFormat="1" applyFont="1" applyFill="1" applyBorder="1" applyAlignment="1">
      <alignment horizontal="center" vertical="center"/>
    </xf>
    <xf numFmtId="176" fontId="6" fillId="10" borderId="3" xfId="0" applyNumberFormat="1" applyFont="1" applyFill="1" applyBorder="1" applyAlignment="1">
      <alignment horizontal="center" vertical="center" wrapText="1"/>
    </xf>
    <xf numFmtId="57" fontId="3" fillId="3" borderId="3" xfId="16" applyNumberFormat="1" applyFont="1" applyFill="1" applyBorder="1" applyAlignment="1">
      <alignment horizontal="center" vertical="center" wrapText="1"/>
    </xf>
    <xf numFmtId="0" fontId="1" fillId="0" borderId="12" xfId="0" applyFont="1" applyBorder="1" applyAlignment="1">
      <alignment horizontal="center" vertical="center" wrapText="1"/>
    </xf>
    <xf numFmtId="0" fontId="8" fillId="0" borderId="7" xfId="14" applyFont="1" applyBorder="1" applyAlignment="1">
      <alignment vertical="center" wrapText="1"/>
    </xf>
    <xf numFmtId="0" fontId="1" fillId="3" borderId="7" xfId="16" applyFont="1" applyFill="1" applyBorder="1" applyAlignment="1">
      <alignment horizontal="center" vertical="center"/>
    </xf>
    <xf numFmtId="0" fontId="3" fillId="3" borderId="25" xfId="16" applyFont="1" applyFill="1" applyBorder="1" applyAlignment="1">
      <alignment horizontal="center" vertical="center"/>
    </xf>
    <xf numFmtId="0" fontId="3" fillId="3" borderId="3" xfId="16" applyFont="1" applyFill="1" applyBorder="1" applyAlignment="1">
      <alignment horizontal="center" vertical="center"/>
    </xf>
    <xf numFmtId="57" fontId="3" fillId="3" borderId="3" xfId="16" applyNumberFormat="1" applyFont="1" applyFill="1" applyBorder="1" applyAlignment="1">
      <alignment horizontal="center" vertical="center"/>
    </xf>
    <xf numFmtId="0" fontId="1" fillId="0" borderId="22" xfId="0" applyFont="1" applyBorder="1" applyAlignment="1">
      <alignment horizontal="center" vertical="center"/>
    </xf>
    <xf numFmtId="0" fontId="6" fillId="2" borderId="3" xfId="0" applyFont="1" applyFill="1" applyBorder="1" applyAlignment="1">
      <alignment horizontal="center" vertical="center"/>
    </xf>
    <xf numFmtId="57" fontId="39" fillId="3" borderId="20" xfId="0" applyNumberFormat="1" applyFont="1" applyFill="1" applyBorder="1" applyAlignment="1">
      <alignment horizontal="center" vertical="center" wrapText="1"/>
    </xf>
    <xf numFmtId="0" fontId="12" fillId="3" borderId="12" xfId="0" applyFont="1" applyFill="1" applyBorder="1" applyAlignment="1">
      <alignment horizontal="center" vertical="center"/>
    </xf>
    <xf numFmtId="0" fontId="6" fillId="3" borderId="14" xfId="0" applyFont="1" applyFill="1" applyBorder="1" applyAlignment="1">
      <alignment horizontal="center" vertical="center"/>
    </xf>
    <xf numFmtId="0" fontId="6" fillId="3" borderId="16" xfId="16" applyFont="1" applyFill="1" applyBorder="1" applyAlignment="1">
      <alignment horizontal="center" vertical="center" wrapText="1"/>
    </xf>
    <xf numFmtId="0" fontId="1" fillId="0" borderId="24" xfId="0" applyFont="1" applyBorder="1" applyAlignment="1">
      <alignment horizontal="center" vertical="center"/>
    </xf>
    <xf numFmtId="0" fontId="1" fillId="0" borderId="24" xfId="0" applyFont="1" applyBorder="1" applyAlignment="1">
      <alignment horizontal="center" vertical="center" wrapText="1"/>
    </xf>
    <xf numFmtId="0" fontId="0" fillId="0" borderId="12" xfId="0" applyFont="1" applyBorder="1" applyAlignment="1">
      <alignment horizontal="center" vertical="center" wrapText="1"/>
    </xf>
    <xf numFmtId="0" fontId="1" fillId="0" borderId="25" xfId="0" applyFont="1" applyBorder="1" applyAlignment="1">
      <alignment vertical="center" wrapText="1"/>
    </xf>
    <xf numFmtId="0" fontId="22" fillId="0" borderId="7" xfId="0" applyFont="1" applyFill="1" applyBorder="1" applyAlignment="1">
      <alignment horizontal="left" vertical="center" wrapText="1"/>
    </xf>
    <xf numFmtId="0" fontId="3" fillId="0" borderId="7" xfId="0" applyFont="1" applyFill="1" applyBorder="1" applyAlignment="1">
      <alignment horizontal="left" vertical="center"/>
    </xf>
    <xf numFmtId="0" fontId="3" fillId="3" borderId="7" xfId="0" applyFont="1" applyFill="1" applyBorder="1" applyAlignment="1">
      <alignment horizontal="left" vertical="center"/>
    </xf>
    <xf numFmtId="0" fontId="3" fillId="3" borderId="18" xfId="0" applyFont="1" applyFill="1" applyBorder="1" applyAlignment="1">
      <alignment horizontal="left" vertical="center"/>
    </xf>
    <xf numFmtId="0" fontId="3" fillId="3" borderId="25" xfId="0" applyFont="1" applyFill="1" applyBorder="1" applyAlignment="1">
      <alignment horizontal="left" vertical="center"/>
    </xf>
    <xf numFmtId="183" fontId="3" fillId="3" borderId="25" xfId="0" applyNumberFormat="1" applyFont="1" applyFill="1" applyBorder="1" applyAlignment="1">
      <alignment horizontal="left" vertical="center"/>
    </xf>
    <xf numFmtId="0" fontId="3" fillId="3" borderId="3" xfId="0" applyFont="1" applyFill="1" applyBorder="1" applyAlignment="1">
      <alignment horizontal="left" vertical="center"/>
    </xf>
    <xf numFmtId="57" fontId="5" fillId="10" borderId="3" xfId="0" applyNumberFormat="1" applyFont="1" applyFill="1" applyBorder="1" applyAlignment="1">
      <alignment vertical="center" wrapText="1"/>
    </xf>
    <xf numFmtId="57" fontId="8" fillId="10" borderId="3" xfId="0" applyNumberFormat="1" applyFont="1" applyFill="1" applyBorder="1" applyAlignment="1">
      <alignment vertical="center" wrapText="1"/>
    </xf>
    <xf numFmtId="0" fontId="6" fillId="8" borderId="3" xfId="16" applyFont="1" applyFill="1" applyBorder="1" applyAlignment="1">
      <alignment horizontal="center" vertical="center" wrapText="1"/>
    </xf>
    <xf numFmtId="176" fontId="3" fillId="3" borderId="3" xfId="0" applyNumberFormat="1" applyFont="1" applyFill="1" applyBorder="1" applyAlignment="1">
      <alignment horizontal="left" vertical="center" wrapText="1"/>
    </xf>
    <xf numFmtId="0" fontId="0" fillId="13" borderId="0" xfId="0" applyFill="1">
      <alignment vertical="center"/>
    </xf>
    <xf numFmtId="176" fontId="22" fillId="3" borderId="3" xfId="0" applyNumberFormat="1" applyFont="1" applyFill="1" applyBorder="1" applyAlignment="1">
      <alignment horizontal="left" vertical="center" wrapText="1"/>
    </xf>
    <xf numFmtId="176" fontId="3" fillId="3" borderId="17" xfId="0" applyNumberFormat="1" applyFont="1" applyFill="1" applyBorder="1" applyAlignment="1">
      <alignment horizontal="left" vertical="center" wrapText="1"/>
    </xf>
    <xf numFmtId="176" fontId="3" fillId="3" borderId="3" xfId="0" applyNumberFormat="1" applyFont="1" applyFill="1" applyBorder="1" applyAlignment="1">
      <alignment vertical="center" wrapText="1"/>
    </xf>
    <xf numFmtId="176" fontId="3" fillId="3" borderId="12" xfId="0" applyNumberFormat="1" applyFont="1" applyFill="1" applyBorder="1" applyAlignment="1">
      <alignment horizontal="left" vertical="center" wrapText="1"/>
    </xf>
    <xf numFmtId="0" fontId="3" fillId="2" borderId="3" xfId="0" applyFont="1" applyFill="1" applyBorder="1" applyAlignment="1">
      <alignment horizontal="center" vertical="center"/>
    </xf>
    <xf numFmtId="0" fontId="3" fillId="2" borderId="3" xfId="0" applyNumberFormat="1" applyFont="1" applyFill="1" applyBorder="1" applyAlignment="1">
      <alignment vertical="center" wrapText="1"/>
    </xf>
    <xf numFmtId="57" fontId="6" fillId="3" borderId="15" xfId="16" applyNumberFormat="1" applyFont="1" applyFill="1" applyBorder="1" applyAlignment="1">
      <alignment horizontal="center" vertical="center" wrapText="1"/>
    </xf>
    <xf numFmtId="57" fontId="6" fillId="3" borderId="31" xfId="16" applyNumberFormat="1" applyFont="1" applyFill="1" applyBorder="1" applyAlignment="1">
      <alignment horizontal="center" vertical="center" wrapText="1"/>
    </xf>
    <xf numFmtId="57" fontId="6" fillId="3" borderId="33" xfId="16" applyNumberFormat="1" applyFont="1" applyFill="1" applyBorder="1" applyAlignment="1">
      <alignment horizontal="center" vertical="center" wrapText="1"/>
    </xf>
    <xf numFmtId="0" fontId="6" fillId="3" borderId="14" xfId="0" applyFont="1" applyFill="1" applyBorder="1" applyAlignment="1">
      <alignment horizontal="center" vertical="center" wrapText="1"/>
    </xf>
    <xf numFmtId="0" fontId="8" fillId="2" borderId="25" xfId="0" applyFont="1" applyFill="1" applyBorder="1" applyAlignment="1">
      <alignment vertical="center" wrapText="1"/>
    </xf>
    <xf numFmtId="0" fontId="6" fillId="3" borderId="7" xfId="16" applyFont="1" applyFill="1" applyBorder="1" applyAlignment="1">
      <alignment horizontal="center" vertical="center" wrapText="1"/>
    </xf>
    <xf numFmtId="0" fontId="6" fillId="3" borderId="7" xfId="0" applyNumberFormat="1" applyFont="1" applyFill="1" applyBorder="1" applyAlignment="1">
      <alignment horizontal="center" vertical="center" wrapText="1"/>
    </xf>
    <xf numFmtId="0" fontId="5" fillId="2" borderId="1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6" fillId="8" borderId="17" xfId="13" applyFont="1" applyFill="1" applyBorder="1" applyAlignment="1">
      <alignment horizontal="center" vertical="center" wrapText="1"/>
    </xf>
    <xf numFmtId="57" fontId="91" fillId="3" borderId="33" xfId="16" applyNumberFormat="1" applyFont="1" applyFill="1" applyBorder="1" applyAlignment="1">
      <alignment horizontal="center" vertical="center" wrapText="1"/>
    </xf>
    <xf numFmtId="0" fontId="91" fillId="3" borderId="17" xfId="13" applyFont="1" applyFill="1" applyBorder="1" applyAlignment="1">
      <alignment horizontal="center" vertical="center" wrapText="1"/>
    </xf>
    <xf numFmtId="0" fontId="8" fillId="2" borderId="13" xfId="0" applyFont="1" applyFill="1" applyBorder="1" applyAlignment="1">
      <alignment vertical="center" wrapText="1"/>
    </xf>
    <xf numFmtId="0" fontId="1" fillId="2" borderId="16" xfId="0" applyFont="1" applyFill="1" applyBorder="1" applyAlignment="1">
      <alignment horizontal="center" vertical="center"/>
    </xf>
    <xf numFmtId="0" fontId="1" fillId="0" borderId="25" xfId="0" applyFont="1" applyFill="1" applyBorder="1" applyAlignment="1">
      <alignment horizontal="center" vertical="center" wrapText="1"/>
    </xf>
    <xf numFmtId="0" fontId="6" fillId="3" borderId="16" xfId="0" applyNumberFormat="1" applyFont="1" applyFill="1" applyBorder="1" applyAlignment="1">
      <alignment horizontal="center" vertical="center" wrapText="1"/>
    </xf>
    <xf numFmtId="57" fontId="6" fillId="8" borderId="33" xfId="16" applyNumberFormat="1" applyFont="1" applyFill="1" applyBorder="1" applyAlignment="1">
      <alignment horizontal="center" vertical="center" wrapText="1"/>
    </xf>
    <xf numFmtId="57" fontId="6" fillId="3" borderId="7" xfId="0" applyNumberFormat="1" applyFont="1" applyFill="1" applyBorder="1" applyAlignment="1">
      <alignment horizontal="center" vertical="center" wrapText="1"/>
    </xf>
    <xf numFmtId="0" fontId="1" fillId="2" borderId="3" xfId="0" applyFont="1" applyFill="1" applyBorder="1" applyAlignment="1">
      <alignment vertical="center"/>
    </xf>
    <xf numFmtId="0" fontId="6" fillId="3" borderId="16" xfId="0" applyFont="1" applyFill="1" applyBorder="1" applyAlignment="1">
      <alignment horizontal="center" vertical="center" wrapText="1"/>
    </xf>
    <xf numFmtId="0" fontId="6" fillId="3" borderId="27" xfId="0" applyNumberFormat="1" applyFont="1" applyFill="1" applyBorder="1" applyAlignment="1">
      <alignment horizontal="center" vertical="center" wrapText="1"/>
    </xf>
    <xf numFmtId="0" fontId="6" fillId="3" borderId="19" xfId="0" applyFont="1" applyFill="1" applyBorder="1" applyAlignment="1">
      <alignment horizontal="center" vertical="center" wrapText="1"/>
    </xf>
    <xf numFmtId="0" fontId="6" fillId="3" borderId="37" xfId="0" applyNumberFormat="1" applyFont="1" applyFill="1" applyBorder="1" applyAlignment="1">
      <alignment horizontal="center" vertical="center" wrapText="1"/>
    </xf>
    <xf numFmtId="0" fontId="12" fillId="3" borderId="3" xfId="13" applyFont="1" applyFill="1" applyBorder="1" applyAlignment="1">
      <alignment horizontal="center" vertical="center" wrapText="1"/>
    </xf>
    <xf numFmtId="0" fontId="29" fillId="3" borderId="3" xfId="0" applyFont="1" applyFill="1" applyBorder="1" applyAlignment="1">
      <alignment horizontal="center" vertical="center" wrapText="1"/>
    </xf>
    <xf numFmtId="0" fontId="0" fillId="3" borderId="3" xfId="0" applyFill="1" applyBorder="1" applyAlignment="1">
      <alignment horizontal="center" vertical="center" wrapText="1"/>
    </xf>
    <xf numFmtId="57" fontId="6" fillId="3" borderId="17" xfId="0" applyNumberFormat="1" applyFont="1" applyFill="1" applyBorder="1" applyAlignment="1">
      <alignment horizontal="center" vertical="center" wrapText="1"/>
    </xf>
    <xf numFmtId="0" fontId="91" fillId="8" borderId="12" xfId="0" applyFont="1" applyFill="1" applyBorder="1" applyAlignment="1">
      <alignment horizontal="center" vertical="center" wrapText="1"/>
    </xf>
    <xf numFmtId="0" fontId="36" fillId="3" borderId="12" xfId="0" applyFont="1" applyFill="1" applyBorder="1" applyAlignment="1">
      <alignment horizontal="center" vertical="center" wrapText="1"/>
    </xf>
    <xf numFmtId="0" fontId="46" fillId="3" borderId="17" xfId="0" applyFont="1" applyFill="1" applyBorder="1" applyAlignment="1">
      <alignment horizontal="center" vertical="center" wrapText="1"/>
    </xf>
    <xf numFmtId="0" fontId="0" fillId="3" borderId="17" xfId="0" applyFill="1" applyBorder="1" applyAlignment="1">
      <alignment horizontal="center" vertical="center" wrapText="1"/>
    </xf>
    <xf numFmtId="0" fontId="94" fillId="3" borderId="3" xfId="0" applyFont="1" applyFill="1" applyBorder="1" applyAlignment="1">
      <alignment horizontal="center" vertical="center" wrapText="1"/>
    </xf>
    <xf numFmtId="180" fontId="29" fillId="3" borderId="3" xfId="18" applyNumberFormat="1" applyFont="1" applyFill="1" applyBorder="1" applyAlignment="1">
      <alignment horizontal="center" vertical="center"/>
    </xf>
    <xf numFmtId="180" fontId="91" fillId="3" borderId="3" xfId="18" applyNumberFormat="1" applyFont="1" applyFill="1" applyBorder="1" applyAlignment="1">
      <alignment horizontal="center" vertical="center"/>
    </xf>
    <xf numFmtId="180" fontId="29" fillId="11" borderId="3" xfId="19" applyNumberFormat="1" applyFont="1" applyFill="1" applyBorder="1" applyAlignment="1">
      <alignment horizontal="center" vertical="center"/>
    </xf>
    <xf numFmtId="0" fontId="6" fillId="11" borderId="3" xfId="0" applyFont="1" applyFill="1" applyBorder="1" applyAlignment="1">
      <alignment horizontal="center" vertical="center" wrapText="1"/>
    </xf>
    <xf numFmtId="0" fontId="36" fillId="11" borderId="3" xfId="0" applyFont="1" applyFill="1" applyBorder="1" applyAlignment="1">
      <alignment horizontal="center" vertical="center" wrapText="1"/>
    </xf>
    <xf numFmtId="180" fontId="6" fillId="11" borderId="3" xfId="19" applyNumberFormat="1" applyFont="1" applyFill="1" applyBorder="1" applyAlignment="1">
      <alignment horizontal="center" vertical="center"/>
    </xf>
    <xf numFmtId="180" fontId="29" fillId="8" borderId="3" xfId="19" applyNumberFormat="1" applyFont="1" applyFill="1" applyBorder="1" applyAlignment="1">
      <alignment horizontal="center" vertical="center"/>
    </xf>
    <xf numFmtId="0" fontId="12" fillId="3" borderId="7" xfId="16" applyFont="1" applyFill="1" applyBorder="1" applyAlignment="1">
      <alignment horizontal="center" vertical="center" wrapText="1"/>
    </xf>
    <xf numFmtId="0" fontId="0" fillId="3" borderId="7" xfId="0" applyFill="1" applyBorder="1" applyAlignment="1">
      <alignment horizontal="center" vertical="center" wrapText="1"/>
    </xf>
    <xf numFmtId="0" fontId="5" fillId="2" borderId="1" xfId="0" applyFont="1" applyFill="1" applyBorder="1" applyAlignment="1">
      <alignment vertical="center" wrapText="1"/>
    </xf>
    <xf numFmtId="0" fontId="1" fillId="2" borderId="26" xfId="0" applyFont="1" applyFill="1" applyBorder="1" applyAlignment="1">
      <alignment vertical="center"/>
    </xf>
    <xf numFmtId="0" fontId="1" fillId="2" borderId="30" xfId="0" applyFont="1" applyFill="1" applyBorder="1" applyAlignment="1">
      <alignment vertical="center"/>
    </xf>
    <xf numFmtId="0" fontId="1" fillId="2" borderId="14" xfId="0" applyFont="1" applyFill="1" applyBorder="1" applyAlignment="1">
      <alignment vertical="center"/>
    </xf>
    <xf numFmtId="0" fontId="4" fillId="2" borderId="16" xfId="0" applyFont="1" applyFill="1" applyBorder="1" applyAlignment="1">
      <alignment vertical="center" wrapText="1"/>
    </xf>
    <xf numFmtId="0" fontId="4" fillId="2" borderId="30" xfId="0" applyFont="1" applyFill="1" applyBorder="1" applyAlignment="1">
      <alignment vertical="center" wrapText="1"/>
    </xf>
    <xf numFmtId="0" fontId="29" fillId="0" borderId="3" xfId="13" applyFont="1" applyFill="1" applyBorder="1" applyAlignment="1">
      <alignment horizontal="center" vertical="center" wrapText="1"/>
    </xf>
    <xf numFmtId="177" fontId="6" fillId="0" borderId="22" xfId="16" applyNumberFormat="1" applyFont="1" applyFill="1" applyBorder="1" applyAlignment="1">
      <alignment horizontal="center" vertical="center" wrapText="1"/>
    </xf>
    <xf numFmtId="177" fontId="6" fillId="0" borderId="22" xfId="16" applyNumberFormat="1" applyFont="1" applyFill="1" applyBorder="1" applyAlignment="1">
      <alignment horizontal="center" vertical="center"/>
    </xf>
    <xf numFmtId="177" fontId="6" fillId="3" borderId="22" xfId="16" applyNumberFormat="1" applyFont="1" applyFill="1" applyBorder="1" applyAlignment="1">
      <alignment horizontal="center" vertical="center"/>
    </xf>
    <xf numFmtId="0" fontId="29" fillId="3" borderId="3" xfId="13" applyFont="1" applyFill="1" applyBorder="1" applyAlignment="1">
      <alignment horizontal="center" vertical="center" wrapText="1"/>
    </xf>
    <xf numFmtId="177" fontId="6" fillId="3" borderId="3" xfId="16" applyNumberFormat="1" applyFont="1" applyFill="1" applyBorder="1" applyAlignment="1">
      <alignment horizontal="center" vertical="center"/>
    </xf>
    <xf numFmtId="0" fontId="6" fillId="0" borderId="0" xfId="0" applyFont="1" applyAlignment="1">
      <alignment horizontal="center" vertical="center"/>
    </xf>
    <xf numFmtId="0" fontId="12" fillId="0" borderId="7" xfId="16" applyFont="1" applyFill="1" applyBorder="1" applyAlignment="1">
      <alignment horizontal="left" vertical="center" wrapText="1"/>
    </xf>
    <xf numFmtId="0" fontId="12" fillId="0" borderId="25" xfId="16" applyFont="1" applyFill="1" applyBorder="1" applyAlignment="1">
      <alignment horizontal="left" vertical="center" wrapText="1"/>
    </xf>
    <xf numFmtId="0" fontId="12" fillId="3" borderId="25" xfId="16" applyFont="1" applyFill="1" applyBorder="1" applyAlignment="1">
      <alignment horizontal="left" vertical="center" wrapText="1"/>
    </xf>
    <xf numFmtId="0" fontId="12" fillId="3" borderId="3" xfId="16" applyFont="1" applyFill="1" applyBorder="1" applyAlignment="1">
      <alignment horizontal="left" vertical="center" wrapText="1"/>
    </xf>
    <xf numFmtId="0" fontId="12" fillId="3" borderId="3" xfId="16" applyFont="1" applyFill="1" applyBorder="1" applyAlignment="1">
      <alignment horizontal="center" vertical="center" wrapText="1"/>
    </xf>
    <xf numFmtId="0" fontId="12" fillId="0" borderId="12" xfId="13" applyFont="1" applyFill="1" applyBorder="1" applyAlignment="1">
      <alignment horizontal="center" vertical="center" wrapText="1"/>
    </xf>
    <xf numFmtId="0" fontId="1" fillId="0" borderId="31" xfId="16" applyFont="1" applyBorder="1" applyAlignment="1">
      <alignment horizontal="center" vertical="center"/>
    </xf>
    <xf numFmtId="57" fontId="6" fillId="3" borderId="38" xfId="0" applyNumberFormat="1" applyFont="1" applyFill="1" applyBorder="1" applyAlignment="1">
      <alignment horizontal="center" vertical="center" wrapText="1"/>
    </xf>
    <xf numFmtId="57" fontId="6" fillId="3" borderId="30" xfId="0" applyNumberFormat="1" applyFont="1" applyFill="1" applyBorder="1" applyAlignment="1">
      <alignment horizontal="center" vertical="center" wrapText="1"/>
    </xf>
    <xf numFmtId="0" fontId="9" fillId="2" borderId="25" xfId="0" applyFont="1" applyFill="1" applyBorder="1" applyAlignment="1">
      <alignment vertical="center" wrapText="1"/>
    </xf>
    <xf numFmtId="0" fontId="6" fillId="0" borderId="25" xfId="16" applyFont="1" applyFill="1" applyBorder="1" applyAlignment="1">
      <alignment horizontal="left" vertical="center" wrapText="1"/>
    </xf>
    <xf numFmtId="0" fontId="29" fillId="0" borderId="25" xfId="16" applyFont="1" applyFill="1" applyBorder="1" applyAlignment="1">
      <alignment horizontal="left" vertical="center" wrapText="1"/>
    </xf>
    <xf numFmtId="0" fontId="95" fillId="3" borderId="25" xfId="16" applyFont="1" applyFill="1" applyBorder="1" applyAlignment="1">
      <alignment horizontal="left" vertical="center" wrapText="1"/>
    </xf>
    <xf numFmtId="0" fontId="1" fillId="2" borderId="17" xfId="0" applyFont="1" applyFill="1" applyBorder="1" applyAlignment="1">
      <alignment vertical="center"/>
    </xf>
    <xf numFmtId="0" fontId="1" fillId="2" borderId="12" xfId="0" applyFont="1" applyFill="1" applyBorder="1" applyAlignment="1">
      <alignment vertical="center"/>
    </xf>
    <xf numFmtId="0" fontId="1" fillId="0" borderId="39" xfId="16" applyFont="1" applyBorder="1" applyAlignment="1">
      <alignment horizontal="center" vertical="center"/>
    </xf>
    <xf numFmtId="0" fontId="6" fillId="3" borderId="25" xfId="0" applyNumberFormat="1" applyFont="1" applyFill="1" applyBorder="1" applyAlignment="1">
      <alignment horizontal="center" vertical="center" wrapText="1"/>
    </xf>
    <xf numFmtId="0" fontId="6" fillId="3" borderId="28" xfId="0" applyNumberFormat="1" applyFont="1" applyFill="1" applyBorder="1" applyAlignment="1">
      <alignment horizontal="center" vertical="center" wrapText="1"/>
    </xf>
    <xf numFmtId="0" fontId="15" fillId="2" borderId="2" xfId="0" applyFont="1" applyFill="1" applyBorder="1" applyAlignment="1">
      <alignment horizontal="center" vertical="center"/>
    </xf>
    <xf numFmtId="0" fontId="45" fillId="2" borderId="3" xfId="0" applyFont="1" applyFill="1" applyBorder="1" applyAlignment="1">
      <alignment horizontal="center" vertical="center" wrapText="1"/>
    </xf>
    <xf numFmtId="182" fontId="6" fillId="0" borderId="3" xfId="13" applyNumberFormat="1" applyFont="1" applyFill="1" applyBorder="1" applyAlignment="1">
      <alignment horizontal="center" vertical="center" wrapText="1"/>
    </xf>
    <xf numFmtId="182" fontId="6" fillId="0" borderId="3" xfId="0" applyNumberFormat="1" applyFont="1" applyFill="1" applyBorder="1" applyAlignment="1">
      <alignment horizontal="center" vertical="center" wrapText="1"/>
    </xf>
    <xf numFmtId="182" fontId="6" fillId="0" borderId="12" xfId="13" applyNumberFormat="1" applyFont="1" applyFill="1" applyBorder="1" applyAlignment="1">
      <alignment horizontal="center" vertical="center" wrapText="1"/>
    </xf>
    <xf numFmtId="182" fontId="6" fillId="3" borderId="3" xfId="13" applyNumberFormat="1" applyFont="1" applyFill="1" applyBorder="1" applyAlignment="1">
      <alignment horizontal="center" vertical="center" wrapText="1"/>
    </xf>
    <xf numFmtId="182" fontId="6" fillId="3" borderId="12" xfId="13" applyNumberFormat="1" applyFont="1" applyFill="1" applyBorder="1" applyAlignment="1">
      <alignment horizontal="center" vertical="center" wrapText="1"/>
    </xf>
    <xf numFmtId="182" fontId="6" fillId="3" borderId="3" xfId="0" applyNumberFormat="1" applyFont="1" applyFill="1" applyBorder="1" applyAlignment="1">
      <alignment horizontal="center" vertical="center" wrapText="1"/>
    </xf>
    <xf numFmtId="182" fontId="6" fillId="3" borderId="12" xfId="0" applyNumberFormat="1" applyFont="1" applyFill="1" applyBorder="1" applyAlignment="1">
      <alignment horizontal="center" vertical="center" wrapText="1"/>
    </xf>
    <xf numFmtId="182" fontId="91" fillId="3" borderId="12" xfId="13" applyNumberFormat="1" applyFont="1" applyFill="1" applyBorder="1" applyAlignment="1">
      <alignment horizontal="center" vertical="center" wrapText="1"/>
    </xf>
    <xf numFmtId="0" fontId="0" fillId="0" borderId="0" xfId="0" applyAlignment="1">
      <alignment vertical="center" wrapText="1"/>
    </xf>
    <xf numFmtId="0" fontId="47" fillId="0" borderId="0" xfId="0" applyFont="1" applyBorder="1" applyAlignment="1">
      <alignment horizontal="center" vertical="center"/>
    </xf>
    <xf numFmtId="0" fontId="9" fillId="0" borderId="0" xfId="0" applyFont="1" applyBorder="1" applyAlignment="1">
      <alignment horizontal="center" vertical="center"/>
    </xf>
    <xf numFmtId="0" fontId="10" fillId="0" borderId="0" xfId="0" applyFont="1" applyBorder="1" applyAlignment="1">
      <alignment horizontal="center" vertical="center"/>
    </xf>
    <xf numFmtId="0" fontId="10" fillId="0" borderId="0" xfId="0" applyFont="1" applyFill="1" applyBorder="1" applyAlignment="1">
      <alignment horizontal="center" vertical="center"/>
    </xf>
    <xf numFmtId="0" fontId="10" fillId="3" borderId="0" xfId="0" applyFont="1" applyFill="1" applyBorder="1" applyAlignment="1">
      <alignment horizontal="center" vertical="center"/>
    </xf>
    <xf numFmtId="0" fontId="12" fillId="3" borderId="25" xfId="16" applyNumberFormat="1" applyFont="1" applyFill="1" applyBorder="1" applyAlignment="1">
      <alignment horizontal="left" vertical="center" wrapText="1"/>
    </xf>
    <xf numFmtId="0" fontId="12" fillId="3" borderId="13" xfId="16" applyNumberFormat="1" applyFont="1" applyFill="1" applyBorder="1" applyAlignment="1">
      <alignment horizontal="left" vertical="center" wrapText="1"/>
    </xf>
    <xf numFmtId="182" fontId="6" fillId="3" borderId="16" xfId="13" applyNumberFormat="1" applyFont="1" applyFill="1" applyBorder="1" applyAlignment="1">
      <alignment horizontal="center" vertical="center" wrapText="1"/>
    </xf>
    <xf numFmtId="0" fontId="12" fillId="3" borderId="3" xfId="16" applyNumberFormat="1" applyFont="1" applyFill="1" applyBorder="1" applyAlignment="1">
      <alignment horizontal="left" vertical="center" wrapText="1"/>
    </xf>
    <xf numFmtId="0" fontId="6" fillId="3" borderId="3" xfId="16" applyFont="1" applyFill="1" applyBorder="1" applyAlignment="1">
      <alignment horizontal="center" vertical="center"/>
    </xf>
    <xf numFmtId="182" fontId="6" fillId="3" borderId="28" xfId="13" applyNumberFormat="1" applyFont="1" applyFill="1" applyBorder="1" applyAlignment="1">
      <alignment horizontal="center" vertical="center" wrapText="1"/>
    </xf>
    <xf numFmtId="0" fontId="9" fillId="2" borderId="16" xfId="0" applyFont="1" applyFill="1" applyBorder="1" applyAlignment="1">
      <alignment vertical="center" wrapText="1"/>
    </xf>
    <xf numFmtId="0" fontId="9" fillId="2" borderId="30" xfId="0" applyFont="1" applyFill="1" applyBorder="1" applyAlignment="1">
      <alignment vertical="center" wrapText="1"/>
    </xf>
    <xf numFmtId="57" fontId="6" fillId="0" borderId="22" xfId="16" applyNumberFormat="1" applyFont="1" applyBorder="1" applyAlignment="1">
      <alignment horizontal="center" vertical="center"/>
    </xf>
    <xf numFmtId="0" fontId="6" fillId="0" borderId="12" xfId="13" applyFont="1" applyBorder="1" applyAlignment="1">
      <alignment horizontal="center" vertical="center" wrapText="1"/>
    </xf>
    <xf numFmtId="0" fontId="6" fillId="0" borderId="12" xfId="13" applyNumberFormat="1" applyFont="1" applyBorder="1" applyAlignment="1">
      <alignment horizontal="center" vertical="center" wrapText="1"/>
    </xf>
    <xf numFmtId="57" fontId="6" fillId="3" borderId="22" xfId="16" applyNumberFormat="1" applyFont="1" applyFill="1" applyBorder="1" applyAlignment="1">
      <alignment horizontal="center" vertical="center"/>
    </xf>
    <xf numFmtId="0" fontId="6" fillId="3" borderId="12" xfId="13" applyNumberFormat="1" applyFont="1" applyFill="1" applyBorder="1" applyAlignment="1">
      <alignment horizontal="center" vertical="center" wrapText="1"/>
    </xf>
    <xf numFmtId="57" fontId="6" fillId="3" borderId="2" xfId="16" applyNumberFormat="1" applyFont="1" applyFill="1" applyBorder="1" applyAlignment="1">
      <alignment horizontal="center" vertical="center"/>
    </xf>
    <xf numFmtId="0" fontId="6" fillId="3" borderId="33" xfId="13" applyFont="1" applyFill="1" applyBorder="1" applyAlignment="1">
      <alignment horizontal="center" vertical="center" wrapText="1"/>
    </xf>
    <xf numFmtId="0" fontId="6" fillId="3" borderId="24" xfId="0" applyFont="1" applyFill="1" applyBorder="1" applyAlignment="1">
      <alignment horizontal="center" vertical="center" wrapText="1"/>
    </xf>
    <xf numFmtId="57" fontId="6" fillId="3" borderId="3" xfId="16" applyNumberFormat="1" applyFont="1" applyFill="1" applyBorder="1" applyAlignment="1">
      <alignment horizontal="center" vertical="center"/>
    </xf>
    <xf numFmtId="0" fontId="6" fillId="0" borderId="25" xfId="16" applyFont="1" applyBorder="1" applyAlignment="1">
      <alignment horizontal="center" vertical="center"/>
    </xf>
    <xf numFmtId="0" fontId="6" fillId="3" borderId="25" xfId="16" applyFont="1" applyFill="1" applyBorder="1" applyAlignment="1">
      <alignment horizontal="center" vertical="center"/>
    </xf>
    <xf numFmtId="0" fontId="6" fillId="3" borderId="7" xfId="16" applyFont="1" applyFill="1" applyBorder="1" applyAlignment="1">
      <alignment horizontal="center" vertical="center"/>
    </xf>
    <xf numFmtId="0" fontId="6" fillId="3" borderId="28" xfId="16" applyFont="1" applyFill="1" applyBorder="1" applyAlignment="1">
      <alignment horizontal="center" vertical="center"/>
    </xf>
    <xf numFmtId="0" fontId="6" fillId="0" borderId="25" xfId="16" applyFont="1" applyBorder="1" applyAlignment="1">
      <alignment horizontal="left" vertical="center"/>
    </xf>
    <xf numFmtId="0" fontId="8" fillId="0" borderId="0" xfId="0" applyFont="1">
      <alignment vertical="center"/>
    </xf>
    <xf numFmtId="57" fontId="5" fillId="0" borderId="2" xfId="0" applyNumberFormat="1" applyFont="1" applyBorder="1" applyAlignment="1">
      <alignment horizontal="center" vertical="center" wrapText="1"/>
    </xf>
    <xf numFmtId="0" fontId="5" fillId="0" borderId="3" xfId="0" applyFont="1" applyBorder="1" applyAlignment="1">
      <alignment horizontal="center" vertical="center"/>
    </xf>
    <xf numFmtId="182" fontId="5" fillId="0" borderId="3" xfId="0" applyNumberFormat="1" applyFont="1" applyBorder="1" applyAlignment="1">
      <alignment horizontal="center" vertical="center"/>
    </xf>
    <xf numFmtId="0" fontId="5" fillId="0" borderId="3" xfId="13"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3" xfId="13" applyNumberFormat="1" applyFont="1" applyFill="1" applyBorder="1" applyAlignment="1">
      <alignment horizontal="center" vertical="center" wrapText="1"/>
    </xf>
    <xf numFmtId="182" fontId="17" fillId="0" borderId="3" xfId="0" applyNumberFormat="1" applyFont="1" applyBorder="1" applyAlignment="1">
      <alignment horizontal="center" vertical="center"/>
    </xf>
    <xf numFmtId="177" fontId="5" fillId="0" borderId="2" xfId="16" applyNumberFormat="1" applyFont="1" applyFill="1" applyBorder="1" applyAlignment="1">
      <alignment horizontal="center" vertical="center" wrapText="1"/>
    </xf>
    <xf numFmtId="0" fontId="17" fillId="0" borderId="3" xfId="13" applyFont="1" applyFill="1" applyBorder="1" applyAlignment="1">
      <alignment horizontal="center" vertical="center" wrapText="1"/>
    </xf>
    <xf numFmtId="177" fontId="5" fillId="3" borderId="2" xfId="16" applyNumberFormat="1" applyFont="1" applyFill="1" applyBorder="1" applyAlignment="1">
      <alignment horizontal="center" vertical="center" wrapText="1"/>
    </xf>
    <xf numFmtId="0" fontId="5" fillId="3" borderId="3" xfId="13"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3" xfId="13" applyNumberFormat="1" applyFont="1" applyFill="1" applyBorder="1" applyAlignment="1">
      <alignment horizontal="center" vertical="center" wrapText="1"/>
    </xf>
    <xf numFmtId="177" fontId="5" fillId="3" borderId="15" xfId="16" applyNumberFormat="1" applyFont="1" applyFill="1" applyBorder="1" applyAlignment="1">
      <alignment horizontal="center" vertical="center" wrapText="1"/>
    </xf>
    <xf numFmtId="0" fontId="5" fillId="3" borderId="12" xfId="13" applyFont="1" applyFill="1" applyBorder="1" applyAlignment="1">
      <alignment horizontal="center" vertical="center" wrapText="1"/>
    </xf>
    <xf numFmtId="177" fontId="5" fillId="3" borderId="21" xfId="16" applyNumberFormat="1" applyFont="1" applyFill="1" applyBorder="1" applyAlignment="1">
      <alignment horizontal="center" vertical="center" wrapText="1"/>
    </xf>
    <xf numFmtId="177" fontId="5" fillId="3" borderId="24" xfId="16"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0" fillId="0" borderId="0" xfId="0" applyFont="1" applyAlignment="1">
      <alignment horizontal="left"/>
    </xf>
    <xf numFmtId="0" fontId="5" fillId="0" borderId="7" xfId="16" applyFont="1" applyFill="1" applyBorder="1" applyAlignment="1">
      <alignment horizontal="left" vertical="center" wrapText="1"/>
    </xf>
    <xf numFmtId="0" fontId="5" fillId="0" borderId="0" xfId="0" applyFont="1" applyFill="1" applyBorder="1" applyAlignment="1">
      <alignment horizontal="center" vertical="center"/>
    </xf>
    <xf numFmtId="58" fontId="5"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17" fillId="0" borderId="7" xfId="16" applyFont="1" applyFill="1" applyBorder="1" applyAlignment="1">
      <alignment horizontal="left" vertical="center" wrapText="1"/>
    </xf>
    <xf numFmtId="0" fontId="5" fillId="0" borderId="7" xfId="0" applyFont="1" applyFill="1" applyBorder="1" applyAlignment="1">
      <alignment horizontal="center" vertical="center"/>
    </xf>
    <xf numFmtId="0" fontId="17" fillId="3" borderId="7" xfId="16" applyFont="1" applyFill="1" applyBorder="1" applyAlignment="1">
      <alignment horizontal="left" vertical="center" wrapText="1"/>
    </xf>
    <xf numFmtId="0" fontId="5" fillId="3" borderId="0" xfId="0" applyFont="1" applyFill="1" applyBorder="1" applyAlignment="1">
      <alignment horizontal="center" vertical="center"/>
    </xf>
    <xf numFmtId="0" fontId="17" fillId="3" borderId="25" xfId="16" applyFont="1" applyFill="1" applyBorder="1" applyAlignment="1">
      <alignment horizontal="left" vertical="center" wrapText="1"/>
    </xf>
    <xf numFmtId="0" fontId="17" fillId="3" borderId="3" xfId="16" applyFont="1" applyFill="1" applyBorder="1" applyAlignment="1">
      <alignment horizontal="left" vertical="center" wrapText="1"/>
    </xf>
    <xf numFmtId="57" fontId="6" fillId="0" borderId="2" xfId="0" applyNumberFormat="1" applyFont="1" applyBorder="1" applyAlignment="1">
      <alignment horizontal="center" vertical="center" wrapText="1"/>
    </xf>
    <xf numFmtId="0" fontId="6" fillId="0" borderId="3" xfId="0" applyFont="1" applyBorder="1" applyAlignment="1">
      <alignment horizontal="center" vertical="center"/>
    </xf>
    <xf numFmtId="182" fontId="6" fillId="0" borderId="3" xfId="0" applyNumberFormat="1" applyFont="1" applyBorder="1" applyAlignment="1">
      <alignment horizontal="center" vertical="center"/>
    </xf>
    <xf numFmtId="182" fontId="6" fillId="0" borderId="3" xfId="0" applyNumberFormat="1" applyFont="1" applyFill="1" applyBorder="1" applyAlignment="1">
      <alignment horizontal="center" vertical="center"/>
    </xf>
    <xf numFmtId="182" fontId="12" fillId="0" borderId="3" xfId="0" applyNumberFormat="1" applyFont="1" applyBorder="1" applyAlignment="1">
      <alignment horizontal="center" vertical="center"/>
    </xf>
    <xf numFmtId="0" fontId="12" fillId="3" borderId="12" xfId="13" applyFont="1" applyFill="1" applyBorder="1" applyAlignment="1">
      <alignment horizontal="center" vertical="center" wrapText="1"/>
    </xf>
    <xf numFmtId="177" fontId="6" fillId="3" borderId="29" xfId="16" applyNumberFormat="1" applyFont="1" applyFill="1" applyBorder="1" applyAlignment="1">
      <alignment horizontal="center" vertical="center" wrapText="1"/>
    </xf>
    <xf numFmtId="0" fontId="6" fillId="10" borderId="14" xfId="0" applyFont="1" applyFill="1" applyBorder="1" applyAlignment="1">
      <alignment horizontal="center" vertical="center"/>
    </xf>
    <xf numFmtId="0" fontId="9" fillId="0" borderId="0" xfId="0" applyFont="1" applyFill="1" applyBorder="1" applyAlignment="1">
      <alignment horizontal="center" vertical="center"/>
    </xf>
    <xf numFmtId="58" fontId="10" fillId="0" borderId="0" xfId="0" applyNumberFormat="1" applyFont="1" applyFill="1" applyBorder="1" applyAlignment="1">
      <alignment horizontal="center" vertical="center"/>
    </xf>
    <xf numFmtId="0" fontId="8" fillId="0" borderId="3" xfId="0" applyFont="1" applyBorder="1" applyAlignment="1">
      <alignment horizontal="center"/>
    </xf>
    <xf numFmtId="0" fontId="12" fillId="3" borderId="7" xfId="16" applyFont="1" applyFill="1" applyBorder="1" applyAlignment="1">
      <alignment horizontal="left" vertical="center" wrapText="1"/>
    </xf>
    <xf numFmtId="0" fontId="8" fillId="0" borderId="3" xfId="0" applyFont="1" applyFill="1" applyBorder="1" applyAlignment="1">
      <alignment horizontal="center" vertical="center"/>
    </xf>
    <xf numFmtId="0" fontId="9" fillId="0" borderId="3" xfId="0" applyFont="1" applyFill="1" applyBorder="1" applyAlignment="1">
      <alignment horizontal="center" vertical="center"/>
    </xf>
    <xf numFmtId="0" fontId="10" fillId="0" borderId="3" xfId="0" applyFont="1" applyFill="1" applyBorder="1" applyAlignment="1">
      <alignment horizontal="center" vertical="center"/>
    </xf>
    <xf numFmtId="0" fontId="6" fillId="3" borderId="0" xfId="0" applyFont="1" applyFill="1" applyBorder="1" applyAlignment="1">
      <alignment horizontal="center" vertical="center"/>
    </xf>
    <xf numFmtId="0" fontId="13" fillId="3" borderId="7" xfId="16" applyFont="1" applyFill="1" applyBorder="1" applyAlignment="1">
      <alignment horizontal="left" vertical="center" wrapText="1"/>
    </xf>
    <xf numFmtId="0" fontId="12" fillId="3" borderId="13" xfId="16" applyFont="1" applyFill="1" applyBorder="1" applyAlignment="1">
      <alignment horizontal="left" vertical="center" wrapText="1"/>
    </xf>
    <xf numFmtId="0" fontId="10" fillId="5" borderId="0" xfId="0" applyFont="1" applyFill="1" applyBorder="1" applyAlignment="1">
      <alignment horizontal="center" vertical="center"/>
    </xf>
    <xf numFmtId="0" fontId="29" fillId="3" borderId="12" xfId="13" applyFont="1" applyFill="1" applyBorder="1" applyAlignment="1">
      <alignment horizontal="center" vertical="center" wrapText="1"/>
    </xf>
    <xf numFmtId="0" fontId="12" fillId="3" borderId="12" xfId="16" applyFont="1" applyFill="1" applyBorder="1" applyAlignment="1">
      <alignment horizontal="left" vertical="center" wrapText="1"/>
    </xf>
    <xf numFmtId="0" fontId="13" fillId="0" borderId="0" xfId="0" applyFont="1" applyFill="1" applyBorder="1" applyAlignment="1">
      <alignment horizontal="center" vertical="center"/>
    </xf>
    <xf numFmtId="49" fontId="8" fillId="0" borderId="3" xfId="0" applyNumberFormat="1" applyFont="1" applyFill="1" applyBorder="1" applyAlignment="1">
      <alignment horizontal="center" vertical="center"/>
    </xf>
    <xf numFmtId="0" fontId="11" fillId="0" borderId="3" xfId="0" applyFont="1" applyFill="1" applyBorder="1" applyAlignment="1">
      <alignment horizontal="center" vertical="center"/>
    </xf>
    <xf numFmtId="49" fontId="9" fillId="0" borderId="3" xfId="0" applyNumberFormat="1" applyFont="1" applyFill="1" applyBorder="1" applyAlignment="1">
      <alignment horizontal="center" vertical="center"/>
    </xf>
    <xf numFmtId="0" fontId="48" fillId="0" borderId="17" xfId="0" applyFont="1" applyFill="1" applyBorder="1" applyAlignment="1">
      <alignment horizontal="center" vertical="center"/>
    </xf>
    <xf numFmtId="0" fontId="9" fillId="0" borderId="11" xfId="0" applyFont="1" applyFill="1" applyBorder="1" applyAlignment="1">
      <alignment horizontal="center" vertical="center"/>
    </xf>
    <xf numFmtId="0" fontId="10" fillId="0" borderId="12" xfId="0" applyFont="1" applyFill="1" applyBorder="1" applyAlignment="1">
      <alignment horizontal="center" vertical="center"/>
    </xf>
    <xf numFmtId="0" fontId="10" fillId="3" borderId="0" xfId="0" applyFont="1" applyFill="1" applyAlignment="1">
      <alignment horizontal="center" vertical="center"/>
    </xf>
    <xf numFmtId="0" fontId="6" fillId="10" borderId="12" xfId="13" applyFont="1" applyFill="1" applyBorder="1" applyAlignment="1">
      <alignment horizontal="center" vertical="center" wrapText="1"/>
    </xf>
    <xf numFmtId="57" fontId="91" fillId="3" borderId="3" xfId="16" applyNumberFormat="1" applyFont="1" applyFill="1" applyBorder="1" applyAlignment="1">
      <alignment horizontal="center" vertical="center"/>
    </xf>
    <xf numFmtId="0" fontId="91" fillId="3" borderId="12" xfId="13" applyFont="1" applyFill="1" applyBorder="1" applyAlignment="1">
      <alignment horizontal="center" vertical="center" wrapText="1"/>
    </xf>
    <xf numFmtId="58" fontId="10" fillId="3" borderId="0" xfId="0" applyNumberFormat="1" applyFont="1" applyFill="1" applyBorder="1" applyAlignment="1">
      <alignment horizontal="center" vertical="center"/>
    </xf>
    <xf numFmtId="0" fontId="6" fillId="3" borderId="25" xfId="16" applyFont="1" applyFill="1" applyBorder="1" applyAlignment="1">
      <alignment horizontal="left" vertical="center"/>
    </xf>
    <xf numFmtId="0" fontId="6" fillId="3" borderId="3" xfId="16" applyNumberFormat="1" applyFont="1" applyFill="1" applyBorder="1" applyAlignment="1">
      <alignment horizontal="center" vertical="center" wrapText="1"/>
    </xf>
    <xf numFmtId="0" fontId="6" fillId="14" borderId="3" xfId="13" applyFont="1" applyFill="1" applyBorder="1" applyAlignment="1">
      <alignment horizontal="center" vertical="center" wrapText="1"/>
    </xf>
    <xf numFmtId="31" fontId="3" fillId="2" borderId="12" xfId="0" applyNumberFormat="1" applyFont="1" applyFill="1" applyBorder="1" applyAlignment="1">
      <alignment vertical="center"/>
    </xf>
    <xf numFmtId="31" fontId="3" fillId="2" borderId="28" xfId="0" applyNumberFormat="1" applyFont="1" applyFill="1" applyBorder="1" applyAlignment="1">
      <alignment vertical="center" wrapText="1"/>
    </xf>
    <xf numFmtId="31" fontId="3" fillId="2" borderId="3" xfId="0" applyNumberFormat="1" applyFont="1" applyFill="1" applyBorder="1" applyAlignment="1">
      <alignment vertical="center" wrapText="1"/>
    </xf>
    <xf numFmtId="31" fontId="8" fillId="2" borderId="24" xfId="0" applyNumberFormat="1" applyFont="1" applyFill="1" applyBorder="1" applyAlignment="1">
      <alignment vertical="center" wrapText="1"/>
    </xf>
    <xf numFmtId="0" fontId="1" fillId="2" borderId="40" xfId="0" applyNumberFormat="1" applyFont="1" applyFill="1" applyBorder="1" applyAlignment="1">
      <alignment horizontal="center" vertical="center"/>
    </xf>
    <xf numFmtId="0" fontId="4" fillId="2" borderId="35" xfId="0" applyFont="1" applyFill="1" applyBorder="1" applyAlignment="1">
      <alignment horizontal="center" vertical="center" wrapText="1"/>
    </xf>
    <xf numFmtId="0" fontId="1" fillId="0" borderId="15" xfId="16" applyNumberFormat="1" applyFont="1" applyBorder="1" applyAlignment="1">
      <alignment horizontal="center" vertical="center"/>
    </xf>
    <xf numFmtId="0" fontId="1" fillId="0" borderId="12" xfId="13" applyFont="1" applyBorder="1" applyAlignment="1">
      <alignment horizontal="center" vertical="center" wrapText="1"/>
    </xf>
    <xf numFmtId="0" fontId="4" fillId="2" borderId="33"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9" fillId="2" borderId="17" xfId="0" applyFont="1" applyFill="1" applyBorder="1" applyAlignment="1">
      <alignment vertical="center" wrapText="1"/>
    </xf>
    <xf numFmtId="0" fontId="9" fillId="2" borderId="18" xfId="0" applyFont="1" applyFill="1" applyBorder="1" applyAlignment="1">
      <alignment vertical="center" wrapText="1"/>
    </xf>
    <xf numFmtId="9" fontId="0" fillId="0" borderId="0" xfId="1" applyFont="1">
      <alignment vertical="center"/>
    </xf>
    <xf numFmtId="0" fontId="3" fillId="3" borderId="3" xfId="16" applyFont="1" applyFill="1" applyBorder="1" applyAlignment="1">
      <alignment horizontal="center" vertical="center" wrapText="1"/>
    </xf>
    <xf numFmtId="0" fontId="0" fillId="11" borderId="0" xfId="0" applyFill="1">
      <alignment vertical="center"/>
    </xf>
    <xf numFmtId="0" fontId="4" fillId="2" borderId="35" xfId="0" applyFont="1" applyFill="1" applyBorder="1" applyAlignment="1">
      <alignment vertical="center" wrapText="1"/>
    </xf>
    <xf numFmtId="57" fontId="3" fillId="11" borderId="15" xfId="16" applyNumberFormat="1" applyFont="1" applyFill="1" applyBorder="1" applyAlignment="1">
      <alignment horizontal="center" vertical="center"/>
    </xf>
    <xf numFmtId="0" fontId="3" fillId="11" borderId="3" xfId="0" applyFont="1" applyFill="1" applyBorder="1" applyAlignment="1">
      <alignment horizontal="center" vertical="center" wrapText="1"/>
    </xf>
    <xf numFmtId="0" fontId="3" fillId="11" borderId="3" xfId="13" applyNumberFormat="1" applyFont="1" applyFill="1" applyBorder="1" applyAlignment="1">
      <alignment horizontal="center" vertical="center" wrapText="1"/>
    </xf>
    <xf numFmtId="57" fontId="93" fillId="11" borderId="15" xfId="16" applyNumberFormat="1" applyFont="1" applyFill="1" applyBorder="1" applyAlignment="1">
      <alignment horizontal="center" vertical="center"/>
    </xf>
    <xf numFmtId="57" fontId="93" fillId="3" borderId="15" xfId="16" applyNumberFormat="1" applyFont="1" applyFill="1" applyBorder="1" applyAlignment="1">
      <alignment horizontal="center" vertical="center"/>
    </xf>
    <xf numFmtId="0" fontId="4" fillId="2" borderId="33" xfId="0" applyFont="1" applyFill="1" applyBorder="1" applyAlignment="1">
      <alignment vertical="center" wrapText="1"/>
    </xf>
    <xf numFmtId="0" fontId="3" fillId="11" borderId="3" xfId="16" applyFont="1" applyFill="1" applyBorder="1" applyAlignment="1">
      <alignment horizontal="center" vertical="center"/>
    </xf>
    <xf numFmtId="0" fontId="3" fillId="11" borderId="3" xfId="16" applyFont="1" applyFill="1" applyBorder="1" applyAlignment="1">
      <alignment vertical="center"/>
    </xf>
    <xf numFmtId="0" fontId="3" fillId="3" borderId="3" xfId="16" applyFont="1" applyFill="1" applyBorder="1" applyAlignment="1">
      <alignment horizontal="left" vertical="center" wrapText="1"/>
    </xf>
    <xf numFmtId="176" fontId="3" fillId="3" borderId="3" xfId="0" applyNumberFormat="1" applyFont="1" applyFill="1" applyBorder="1" applyAlignment="1">
      <alignment horizontal="center" vertical="center" wrapText="1"/>
    </xf>
    <xf numFmtId="176" fontId="3" fillId="3" borderId="3" xfId="13" applyNumberFormat="1" applyFont="1" applyFill="1" applyBorder="1" applyAlignment="1">
      <alignment horizontal="center" vertical="center" wrapText="1"/>
    </xf>
    <xf numFmtId="0" fontId="50" fillId="0" borderId="0" xfId="11" applyFont="1" applyFill="1" applyBorder="1" applyAlignment="1"/>
    <xf numFmtId="0" fontId="1" fillId="0" borderId="11" xfId="0" applyFont="1" applyBorder="1" applyAlignment="1">
      <alignment horizontal="center" vertical="center"/>
    </xf>
    <xf numFmtId="0" fontId="1" fillId="0" borderId="11" xfId="17" applyFont="1" applyFill="1" applyBorder="1" applyAlignment="1">
      <alignment horizontal="center" vertical="center" wrapText="1"/>
    </xf>
    <xf numFmtId="0" fontId="1" fillId="0" borderId="13" xfId="17" applyFont="1" applyFill="1" applyBorder="1" applyAlignment="1">
      <alignment horizontal="center" vertical="center" wrapText="1"/>
    </xf>
    <xf numFmtId="0" fontId="1" fillId="0" borderId="12" xfId="13" applyFont="1" applyFill="1" applyBorder="1" applyAlignment="1">
      <alignment horizontal="center" vertical="center" wrapText="1"/>
    </xf>
    <xf numFmtId="0" fontId="1" fillId="0" borderId="12" xfId="16" applyFont="1" applyBorder="1" applyAlignment="1">
      <alignment horizontal="center" vertical="center"/>
    </xf>
    <xf numFmtId="0" fontId="8" fillId="8" borderId="17" xfId="0" applyFont="1" applyFill="1" applyBorder="1" applyAlignment="1">
      <alignment horizontal="center" vertical="center"/>
    </xf>
    <xf numFmtId="31" fontId="1" fillId="2" borderId="12" xfId="0" applyNumberFormat="1" applyFont="1" applyFill="1" applyBorder="1" applyAlignment="1">
      <alignment vertical="center"/>
    </xf>
    <xf numFmtId="0" fontId="4" fillId="2" borderId="17" xfId="0" applyFont="1" applyFill="1" applyBorder="1" applyAlignment="1">
      <alignment vertical="center" wrapText="1"/>
    </xf>
    <xf numFmtId="0" fontId="9" fillId="2" borderId="19" xfId="0" applyFont="1" applyFill="1" applyBorder="1" applyAlignment="1">
      <alignment vertical="center" wrapText="1"/>
    </xf>
    <xf numFmtId="0" fontId="96" fillId="3" borderId="3" xfId="16" applyFont="1" applyFill="1" applyBorder="1" applyAlignment="1">
      <alignment horizontal="center" vertical="center" wrapText="1"/>
    </xf>
    <xf numFmtId="31" fontId="8" fillId="2" borderId="3" xfId="0" applyNumberFormat="1" applyFont="1" applyFill="1" applyBorder="1" applyAlignment="1">
      <alignment vertical="center" wrapText="1"/>
    </xf>
    <xf numFmtId="0" fontId="1" fillId="0" borderId="38" xfId="16" applyNumberFormat="1" applyFont="1" applyBorder="1" applyAlignment="1">
      <alignment horizontal="center" vertical="center"/>
    </xf>
    <xf numFmtId="0" fontId="1" fillId="0" borderId="24" xfId="13" applyFont="1" applyBorder="1" applyAlignment="1">
      <alignment horizontal="center" vertical="center" wrapText="1"/>
    </xf>
    <xf numFmtId="0" fontId="1" fillId="0" borderId="12" xfId="0" applyFont="1" applyFill="1" applyBorder="1" applyAlignment="1">
      <alignment horizontal="center" vertical="center" wrapText="1"/>
    </xf>
    <xf numFmtId="0" fontId="1" fillId="0" borderId="12" xfId="13" applyNumberFormat="1" applyFont="1" applyBorder="1" applyAlignment="1">
      <alignment horizontal="center" vertical="center" wrapText="1"/>
    </xf>
    <xf numFmtId="57" fontId="3" fillId="3" borderId="38" xfId="16" applyNumberFormat="1" applyFont="1" applyFill="1" applyBorder="1" applyAlignment="1">
      <alignment horizontal="center" vertical="center"/>
    </xf>
    <xf numFmtId="0" fontId="3" fillId="3" borderId="14" xfId="13" applyFont="1" applyFill="1" applyBorder="1" applyAlignment="1">
      <alignment horizontal="center" vertical="center" wrapText="1"/>
    </xf>
    <xf numFmtId="0" fontId="6" fillId="10" borderId="3" xfId="9" applyFont="1" applyFill="1" applyBorder="1" applyAlignment="1">
      <alignment horizontal="center" vertical="center" wrapText="1"/>
    </xf>
    <xf numFmtId="176" fontId="6" fillId="10" borderId="3" xfId="12" applyNumberFormat="1" applyFont="1" applyFill="1" applyBorder="1" applyAlignment="1">
      <alignment horizontal="center" vertical="center" wrapText="1"/>
    </xf>
    <xf numFmtId="49" fontId="1" fillId="2" borderId="17" xfId="0" applyNumberFormat="1" applyFont="1" applyFill="1" applyBorder="1" applyAlignment="1">
      <alignment horizontal="center" vertical="center" wrapText="1"/>
    </xf>
    <xf numFmtId="0" fontId="1" fillId="0" borderId="17" xfId="0" applyFont="1" applyBorder="1" applyAlignment="1">
      <alignment horizontal="center" vertical="center"/>
    </xf>
    <xf numFmtId="0" fontId="9" fillId="2" borderId="33" xfId="0" applyFont="1" applyFill="1" applyBorder="1" applyAlignment="1">
      <alignment vertical="center" wrapText="1"/>
    </xf>
    <xf numFmtId="0" fontId="93" fillId="3" borderId="3" xfId="13" applyFont="1" applyFill="1" applyBorder="1" applyAlignment="1">
      <alignment horizontal="center" vertical="center" wrapText="1"/>
    </xf>
    <xf numFmtId="0" fontId="0" fillId="14" borderId="0" xfId="0" applyFill="1">
      <alignment vertical="center"/>
    </xf>
    <xf numFmtId="181" fontId="3" fillId="2" borderId="12" xfId="0" applyNumberFormat="1" applyFont="1" applyFill="1" applyBorder="1" applyAlignment="1">
      <alignment vertical="center"/>
    </xf>
    <xf numFmtId="31" fontId="3" fillId="2" borderId="41" xfId="0" applyNumberFormat="1" applyFont="1" applyFill="1" applyBorder="1" applyAlignment="1">
      <alignment vertical="center" wrapText="1"/>
    </xf>
    <xf numFmtId="0" fontId="4" fillId="2" borderId="24" xfId="0" applyFont="1" applyFill="1" applyBorder="1" applyAlignment="1">
      <alignment horizontal="left" vertical="center" wrapText="1"/>
    </xf>
    <xf numFmtId="0" fontId="4" fillId="2" borderId="12" xfId="0" applyFont="1" applyFill="1" applyBorder="1" applyAlignment="1">
      <alignment horizontal="left" vertical="center" wrapText="1"/>
    </xf>
    <xf numFmtId="0" fontId="1" fillId="0" borderId="21" xfId="16" applyNumberFormat="1" applyFont="1" applyBorder="1" applyAlignment="1">
      <alignment horizontal="center" vertical="center"/>
    </xf>
    <xf numFmtId="0" fontId="97" fillId="3" borderId="3" xfId="13" applyFont="1" applyFill="1" applyBorder="1" applyAlignment="1">
      <alignment horizontal="center" vertical="center" wrapText="1"/>
    </xf>
    <xf numFmtId="57" fontId="3" fillId="8" borderId="15" xfId="16" applyNumberFormat="1" applyFont="1" applyFill="1" applyBorder="1" applyAlignment="1">
      <alignment horizontal="center" vertical="center"/>
    </xf>
    <xf numFmtId="0" fontId="3" fillId="8" borderId="3" xfId="13" applyFont="1" applyFill="1" applyBorder="1" applyAlignment="1">
      <alignment horizontal="center" vertical="center" wrapText="1"/>
    </xf>
    <xf numFmtId="0" fontId="0" fillId="0" borderId="0" xfId="0" applyFill="1">
      <alignment vertical="center"/>
    </xf>
    <xf numFmtId="0" fontId="0" fillId="12" borderId="0" xfId="0" applyFill="1">
      <alignment vertical="center"/>
    </xf>
    <xf numFmtId="0" fontId="4" fillId="2" borderId="28" xfId="0" applyFont="1" applyFill="1" applyBorder="1" applyAlignment="1">
      <alignment horizontal="center" vertical="center" wrapText="1"/>
    </xf>
    <xf numFmtId="177" fontId="6" fillId="3" borderId="22" xfId="16" applyNumberFormat="1" applyFont="1" applyFill="1" applyBorder="1" applyAlignment="1">
      <alignment horizontal="center" vertical="center" wrapText="1"/>
    </xf>
    <xf numFmtId="0" fontId="6" fillId="3" borderId="14" xfId="13" applyNumberFormat="1" applyFont="1" applyFill="1" applyBorder="1" applyAlignment="1">
      <alignment horizontal="center" vertical="center" wrapText="1"/>
    </xf>
    <xf numFmtId="177" fontId="6" fillId="12" borderId="17" xfId="16" applyNumberFormat="1" applyFont="1" applyFill="1" applyBorder="1" applyAlignment="1">
      <alignment horizontal="center" vertical="center" wrapText="1"/>
    </xf>
    <xf numFmtId="0" fontId="6" fillId="12" borderId="17" xfId="13" applyFont="1" applyFill="1" applyBorder="1" applyAlignment="1">
      <alignment horizontal="center" vertical="center" wrapText="1"/>
    </xf>
    <xf numFmtId="0" fontId="6" fillId="10" borderId="30" xfId="13" applyNumberFormat="1" applyFont="1" applyFill="1" applyBorder="1" applyAlignment="1">
      <alignment horizontal="center" vertical="center" wrapText="1"/>
    </xf>
    <xf numFmtId="0" fontId="6" fillId="12" borderId="12" xfId="0" applyFont="1" applyFill="1" applyBorder="1" applyAlignment="1">
      <alignment horizontal="center" vertical="center"/>
    </xf>
    <xf numFmtId="0" fontId="6" fillId="12" borderId="3" xfId="13" applyFont="1" applyFill="1" applyBorder="1" applyAlignment="1">
      <alignment horizontal="center" vertical="center" wrapText="1"/>
    </xf>
    <xf numFmtId="0" fontId="6" fillId="12" borderId="3" xfId="0" applyFont="1" applyFill="1" applyBorder="1" applyAlignment="1">
      <alignment horizontal="center" vertical="center"/>
    </xf>
    <xf numFmtId="0" fontId="91" fillId="3" borderId="3" xfId="13" applyFont="1" applyFill="1" applyBorder="1" applyAlignment="1">
      <alignment horizontal="center" vertical="center" wrapText="1"/>
    </xf>
    <xf numFmtId="0" fontId="6" fillId="10" borderId="35" xfId="13" applyNumberFormat="1" applyFont="1" applyFill="1" applyBorder="1" applyAlignment="1">
      <alignment horizontal="center" vertical="center" wrapText="1"/>
    </xf>
    <xf numFmtId="0" fontId="95" fillId="3" borderId="3" xfId="13" applyFont="1" applyFill="1" applyBorder="1" applyAlignment="1">
      <alignment horizontal="center" vertical="center" wrapText="1"/>
    </xf>
    <xf numFmtId="0" fontId="6" fillId="3" borderId="16" xfId="13" applyNumberFormat="1" applyFont="1" applyFill="1" applyBorder="1" applyAlignment="1">
      <alignment horizontal="center" vertical="center" wrapText="1"/>
    </xf>
    <xf numFmtId="0" fontId="91" fillId="10" borderId="3" xfId="13" applyNumberFormat="1" applyFont="1" applyFill="1" applyBorder="1" applyAlignment="1">
      <alignment horizontal="center" vertical="center" wrapText="1"/>
    </xf>
    <xf numFmtId="177" fontId="6" fillId="12" borderId="3" xfId="16" applyNumberFormat="1" applyFont="1" applyFill="1" applyBorder="1" applyAlignment="1">
      <alignment horizontal="center" vertical="center" wrapText="1"/>
    </xf>
    <xf numFmtId="0" fontId="95" fillId="3" borderId="14" xfId="13" applyFont="1" applyFill="1" applyBorder="1" applyAlignment="1">
      <alignment horizontal="center" vertical="center" wrapText="1"/>
    </xf>
    <xf numFmtId="0" fontId="95" fillId="3" borderId="17" xfId="0" applyFont="1" applyFill="1" applyBorder="1" applyAlignment="1">
      <alignment horizontal="center" vertical="center" wrapText="1"/>
    </xf>
    <xf numFmtId="0" fontId="95" fillId="3" borderId="17" xfId="13" applyFont="1" applyFill="1" applyBorder="1" applyAlignment="1">
      <alignment horizontal="center" vertical="center" wrapText="1"/>
    </xf>
    <xf numFmtId="0" fontId="6" fillId="3" borderId="19" xfId="13" applyNumberFormat="1" applyFont="1" applyFill="1" applyBorder="1" applyAlignment="1">
      <alignment horizontal="center" vertical="center" wrapText="1"/>
    </xf>
    <xf numFmtId="0" fontId="6" fillId="10" borderId="17" xfId="13" applyNumberFormat="1" applyFont="1" applyFill="1" applyBorder="1" applyAlignment="1">
      <alignment horizontal="center" vertical="center" wrapText="1"/>
    </xf>
    <xf numFmtId="0" fontId="95" fillId="3" borderId="33" xfId="0" applyFont="1" applyFill="1" applyBorder="1" applyAlignment="1">
      <alignment horizontal="center" vertical="center" wrapText="1"/>
    </xf>
    <xf numFmtId="0" fontId="6" fillId="3" borderId="33" xfId="0" applyFont="1" applyFill="1" applyBorder="1" applyAlignment="1">
      <alignment horizontal="center" vertical="center" wrapText="1"/>
    </xf>
    <xf numFmtId="0" fontId="6" fillId="12" borderId="14" xfId="13" applyFont="1" applyFill="1" applyBorder="1" applyAlignment="1">
      <alignment horizontal="center" vertical="center" wrapText="1"/>
    </xf>
    <xf numFmtId="0" fontId="6" fillId="12" borderId="33" xfId="0" applyFont="1" applyFill="1" applyBorder="1" applyAlignment="1">
      <alignment horizontal="center" vertical="center" wrapText="1"/>
    </xf>
    <xf numFmtId="0" fontId="95" fillId="12" borderId="17" xfId="13" applyFont="1" applyFill="1" applyBorder="1" applyAlignment="1">
      <alignment horizontal="center" vertical="center" wrapText="1"/>
    </xf>
    <xf numFmtId="0" fontId="6" fillId="12" borderId="16" xfId="13" applyFont="1" applyFill="1" applyBorder="1" applyAlignment="1">
      <alignment horizontal="center" vertical="center" wrapText="1"/>
    </xf>
    <xf numFmtId="0" fontId="6" fillId="12" borderId="19" xfId="13" applyNumberFormat="1" applyFont="1" applyFill="1" applyBorder="1" applyAlignment="1">
      <alignment horizontal="center" vertical="center" wrapText="1"/>
    </xf>
    <xf numFmtId="0" fontId="6" fillId="12" borderId="3" xfId="13" applyNumberFormat="1" applyFont="1" applyFill="1" applyBorder="1" applyAlignment="1">
      <alignment horizontal="center" vertical="center" wrapText="1"/>
    </xf>
    <xf numFmtId="177" fontId="6" fillId="3" borderId="12" xfId="16" applyNumberFormat="1" applyFont="1" applyFill="1" applyBorder="1" applyAlignment="1">
      <alignment horizontal="center" vertical="center" wrapText="1"/>
    </xf>
    <xf numFmtId="0" fontId="6" fillId="10" borderId="24" xfId="13" applyNumberFormat="1" applyFont="1" applyFill="1" applyBorder="1" applyAlignment="1">
      <alignment horizontal="center" vertical="center" wrapText="1"/>
    </xf>
    <xf numFmtId="0" fontId="1" fillId="0" borderId="17" xfId="17" applyFont="1" applyFill="1" applyBorder="1" applyAlignment="1">
      <alignment horizontal="center" vertical="center" wrapText="1"/>
    </xf>
    <xf numFmtId="0" fontId="4" fillId="2" borderId="24" xfId="0" applyFont="1" applyFill="1" applyBorder="1" applyAlignment="1">
      <alignment horizontal="center" vertical="center" wrapText="1"/>
    </xf>
    <xf numFmtId="0" fontId="6" fillId="3" borderId="18" xfId="16" applyNumberFormat="1" applyFont="1" applyFill="1" applyBorder="1" applyAlignment="1">
      <alignment horizontal="left" vertical="center" wrapText="1"/>
    </xf>
    <xf numFmtId="0" fontId="6" fillId="3" borderId="7" xfId="16" applyNumberFormat="1" applyFont="1" applyFill="1" applyBorder="1" applyAlignment="1">
      <alignment horizontal="left" vertical="center" wrapText="1"/>
    </xf>
    <xf numFmtId="0" fontId="6" fillId="3" borderId="42" xfId="16" applyNumberFormat="1" applyFont="1" applyFill="1" applyBorder="1" applyAlignment="1">
      <alignment horizontal="left" vertical="center" wrapText="1"/>
    </xf>
    <xf numFmtId="0" fontId="6" fillId="10" borderId="16" xfId="13" applyFont="1" applyFill="1" applyBorder="1" applyAlignment="1">
      <alignment horizontal="center" vertical="center" wrapText="1"/>
    </xf>
    <xf numFmtId="0" fontId="6" fillId="12" borderId="3" xfId="0" applyFont="1" applyFill="1" applyBorder="1">
      <alignment vertical="center"/>
    </xf>
    <xf numFmtId="0" fontId="6" fillId="12" borderId="3" xfId="0" applyFont="1" applyFill="1" applyBorder="1">
      <alignment vertical="center"/>
    </xf>
    <xf numFmtId="0" fontId="6" fillId="12" borderId="0" xfId="0" applyNumberFormat="1" applyFont="1" applyFill="1" applyAlignment="1">
      <alignment vertical="center" wrapText="1"/>
    </xf>
    <xf numFmtId="0" fontId="6" fillId="12" borderId="3" xfId="16" applyNumberFormat="1" applyFont="1" applyFill="1" applyBorder="1" applyAlignment="1">
      <alignment horizontal="left" vertical="center" wrapText="1"/>
    </xf>
    <xf numFmtId="0" fontId="6" fillId="12" borderId="24" xfId="13" applyFont="1" applyFill="1" applyBorder="1" applyAlignment="1">
      <alignment horizontal="center" vertical="center" wrapText="1"/>
    </xf>
    <xf numFmtId="0" fontId="91" fillId="3" borderId="3" xfId="16" applyNumberFormat="1" applyFont="1" applyFill="1" applyBorder="1" applyAlignment="1">
      <alignment horizontal="left" vertical="center" wrapText="1"/>
    </xf>
    <xf numFmtId="10" fontId="0" fillId="0" borderId="0" xfId="0" applyNumberFormat="1">
      <alignment vertical="center"/>
    </xf>
    <xf numFmtId="0" fontId="95" fillId="3" borderId="12" xfId="13" applyFont="1" applyFill="1" applyBorder="1" applyAlignment="1">
      <alignment horizontal="center" vertical="center" wrapText="1"/>
    </xf>
    <xf numFmtId="0" fontId="95" fillId="3" borderId="28" xfId="13" applyFont="1" applyFill="1" applyBorder="1" applyAlignment="1">
      <alignment horizontal="center" vertical="center" wrapText="1"/>
    </xf>
    <xf numFmtId="177" fontId="6" fillId="10" borderId="3" xfId="16" applyNumberFormat="1" applyFont="1" applyFill="1" applyBorder="1" applyAlignment="1">
      <alignment horizontal="center" vertical="center" wrapText="1"/>
    </xf>
    <xf numFmtId="0" fontId="6" fillId="10" borderId="17" xfId="13" applyFont="1" applyFill="1" applyBorder="1" applyAlignment="1">
      <alignment horizontal="center" vertical="center" wrapText="1"/>
    </xf>
    <xf numFmtId="0" fontId="6" fillId="10" borderId="14" xfId="13" applyNumberFormat="1" applyFont="1" applyFill="1" applyBorder="1" applyAlignment="1">
      <alignment horizontal="center" vertical="center" wrapText="1"/>
    </xf>
    <xf numFmtId="0" fontId="8" fillId="0" borderId="14" xfId="0" applyFont="1" applyBorder="1" applyAlignment="1">
      <alignment horizontal="left" vertical="center" wrapText="1"/>
    </xf>
    <xf numFmtId="0" fontId="6" fillId="3" borderId="42" xfId="16" applyFont="1" applyFill="1" applyBorder="1" applyAlignment="1">
      <alignment horizontal="left" vertical="center" wrapText="1"/>
    </xf>
    <xf numFmtId="176" fontId="6" fillId="3" borderId="12" xfId="13" applyNumberFormat="1" applyFont="1" applyFill="1" applyBorder="1" applyAlignment="1">
      <alignment horizontal="center" vertical="center" wrapText="1"/>
    </xf>
    <xf numFmtId="0" fontId="95" fillId="3" borderId="42" xfId="16" applyFont="1" applyFill="1" applyBorder="1" applyAlignment="1">
      <alignment horizontal="left" vertical="center" wrapText="1"/>
    </xf>
    <xf numFmtId="0" fontId="6" fillId="3" borderId="36" xfId="16" applyFont="1" applyFill="1" applyBorder="1" applyAlignment="1">
      <alignment horizontal="left" vertical="center" wrapText="1"/>
    </xf>
    <xf numFmtId="0" fontId="6" fillId="10" borderId="3" xfId="16" applyFont="1" applyFill="1" applyBorder="1" applyAlignment="1">
      <alignment horizontal="left" vertical="center" wrapText="1"/>
    </xf>
    <xf numFmtId="0" fontId="15" fillId="0" borderId="0" xfId="0" applyFont="1" applyBorder="1" applyAlignment="1">
      <alignment horizontal="center" vertical="center"/>
    </xf>
    <xf numFmtId="0" fontId="6" fillId="0" borderId="12" xfId="13" applyNumberFormat="1" applyFont="1" applyFill="1" applyBorder="1" applyAlignment="1">
      <alignment horizontal="center" vertical="center" wrapText="1"/>
    </xf>
    <xf numFmtId="0" fontId="29" fillId="3" borderId="28" xfId="13" applyFont="1" applyFill="1" applyBorder="1" applyAlignment="1">
      <alignment horizontal="center" vertical="center" wrapText="1"/>
    </xf>
    <xf numFmtId="0" fontId="12" fillId="3" borderId="28" xfId="13" applyFont="1" applyFill="1" applyBorder="1" applyAlignment="1">
      <alignment horizontal="center" vertical="center" wrapText="1"/>
    </xf>
    <xf numFmtId="177" fontId="6" fillId="3" borderId="10" xfId="16" applyNumberFormat="1" applyFont="1" applyFill="1" applyBorder="1" applyAlignment="1">
      <alignment horizontal="center" vertical="center" wrapText="1"/>
    </xf>
    <xf numFmtId="0" fontId="6" fillId="3" borderId="32" xfId="13" applyFont="1" applyFill="1" applyBorder="1" applyAlignment="1">
      <alignment horizontal="center" vertical="center" wrapText="1"/>
    </xf>
    <xf numFmtId="0" fontId="6" fillId="3" borderId="33" xfId="13" applyNumberFormat="1" applyFont="1" applyFill="1" applyBorder="1" applyAlignment="1">
      <alignment horizontal="center" vertical="center" wrapText="1"/>
    </xf>
    <xf numFmtId="0" fontId="8" fillId="2" borderId="7" xfId="0" applyFont="1" applyFill="1" applyBorder="1" applyAlignment="1">
      <alignment vertical="center" wrapText="1"/>
    </xf>
    <xf numFmtId="0" fontId="6" fillId="3" borderId="17" xfId="16" applyFont="1" applyFill="1" applyBorder="1" applyAlignment="1">
      <alignment horizontal="left" vertical="center" wrapText="1"/>
    </xf>
    <xf numFmtId="0" fontId="0" fillId="0" borderId="0" xfId="0" applyFont="1">
      <alignment vertical="center"/>
    </xf>
    <xf numFmtId="0" fontId="1" fillId="2" borderId="2" xfId="0" applyFont="1" applyFill="1" applyBorder="1" applyAlignment="1">
      <alignment vertical="center"/>
    </xf>
    <xf numFmtId="0" fontId="6" fillId="8" borderId="3" xfId="13" applyNumberFormat="1" applyFont="1" applyFill="1" applyBorder="1" applyAlignment="1">
      <alignment horizontal="center" vertical="center" wrapText="1"/>
    </xf>
    <xf numFmtId="0" fontId="6" fillId="7" borderId="3" xfId="13" applyNumberFormat="1" applyFont="1" applyFill="1" applyBorder="1" applyAlignment="1">
      <alignment horizontal="center" vertical="center" wrapText="1"/>
    </xf>
    <xf numFmtId="177" fontId="6" fillId="8" borderId="3" xfId="16" applyNumberFormat="1" applyFont="1" applyFill="1" applyBorder="1" applyAlignment="1">
      <alignment horizontal="center" vertical="center" wrapText="1"/>
    </xf>
    <xf numFmtId="0" fontId="53" fillId="0" borderId="1" xfId="0" applyFont="1" applyBorder="1" applyAlignment="1">
      <alignment vertical="center"/>
    </xf>
    <xf numFmtId="0" fontId="29" fillId="0" borderId="3" xfId="0" applyFont="1" applyFill="1" applyBorder="1" applyAlignment="1">
      <alignment horizontal="center" vertical="center" wrapText="1"/>
    </xf>
    <xf numFmtId="177" fontId="6" fillId="3" borderId="20" xfId="0" applyNumberFormat="1" applyFont="1" applyFill="1" applyBorder="1" applyAlignment="1">
      <alignment horizontal="center" vertical="center" wrapText="1"/>
    </xf>
    <xf numFmtId="177" fontId="6" fillId="3" borderId="15" xfId="0" applyNumberFormat="1" applyFont="1" applyFill="1" applyBorder="1" applyAlignment="1">
      <alignment horizontal="center" vertical="center" wrapText="1"/>
    </xf>
    <xf numFmtId="177" fontId="6" fillId="3" borderId="21" xfId="0" applyNumberFormat="1" applyFont="1" applyFill="1" applyBorder="1" applyAlignment="1">
      <alignment horizontal="center" vertical="center" wrapText="1"/>
    </xf>
    <xf numFmtId="0" fontId="24" fillId="0" borderId="3" xfId="17" applyFont="1" applyFill="1" applyBorder="1" applyAlignment="1">
      <alignment horizontal="center" vertical="center" wrapText="1"/>
    </xf>
    <xf numFmtId="0" fontId="54" fillId="0" borderId="7" xfId="0" applyFont="1" applyBorder="1" applyAlignment="1">
      <alignment vertical="center" wrapText="1"/>
    </xf>
    <xf numFmtId="0" fontId="5" fillId="0" borderId="7" xfId="0" applyFont="1" applyFill="1" applyBorder="1" applyAlignment="1">
      <alignment horizontal="left" vertical="center" wrapText="1"/>
    </xf>
    <xf numFmtId="0" fontId="5" fillId="3" borderId="7" xfId="0" applyFont="1" applyFill="1" applyBorder="1" applyAlignment="1">
      <alignment horizontal="left" vertical="center" wrapText="1"/>
    </xf>
    <xf numFmtId="0" fontId="5" fillId="3" borderId="18" xfId="0" applyFont="1" applyFill="1" applyBorder="1" applyAlignment="1">
      <alignment horizontal="left" vertical="center" wrapText="1"/>
    </xf>
    <xf numFmtId="0" fontId="32" fillId="3" borderId="25"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0" fillId="0" borderId="0" xfId="0" applyAlignment="1">
      <alignment horizontal="center" vertical="center"/>
    </xf>
    <xf numFmtId="0" fontId="3" fillId="0" borderId="3" xfId="0" applyFont="1" applyBorder="1" applyAlignment="1">
      <alignment horizontal="center" vertical="center"/>
    </xf>
    <xf numFmtId="31" fontId="22" fillId="0" borderId="3" xfId="0" applyNumberFormat="1" applyFont="1" applyBorder="1" applyAlignment="1">
      <alignment horizontal="center" vertical="center"/>
    </xf>
    <xf numFmtId="9" fontId="1" fillId="0" borderId="3" xfId="0" applyNumberFormat="1" applyFont="1" applyBorder="1" applyAlignment="1">
      <alignment horizontal="center" vertical="center"/>
    </xf>
    <xf numFmtId="0" fontId="1" fillId="0" borderId="3" xfId="0" applyNumberFormat="1" applyFont="1" applyBorder="1" applyAlignment="1">
      <alignment horizontal="center" vertical="center" wrapText="1"/>
    </xf>
    <xf numFmtId="0" fontId="1" fillId="0" borderId="3" xfId="16" applyNumberFormat="1" applyFont="1" applyFill="1" applyBorder="1" applyAlignment="1">
      <alignment horizontal="center" vertical="center"/>
    </xf>
    <xf numFmtId="0" fontId="1" fillId="0" borderId="3" xfId="13" applyNumberFormat="1" applyFont="1" applyFill="1" applyBorder="1" applyAlignment="1">
      <alignment horizontal="center" vertical="center" wrapText="1"/>
    </xf>
    <xf numFmtId="0" fontId="1" fillId="0" borderId="3" xfId="0" applyNumberFormat="1" applyFont="1" applyFill="1" applyBorder="1" applyAlignment="1">
      <alignment horizontal="center" vertical="center" wrapText="1"/>
    </xf>
    <xf numFmtId="0" fontId="0" fillId="3" borderId="3" xfId="0" applyFont="1" applyFill="1" applyBorder="1">
      <alignment vertical="center"/>
    </xf>
    <xf numFmtId="0" fontId="1" fillId="0" borderId="30" xfId="17" applyFont="1" applyFill="1" applyBorder="1" applyAlignment="1">
      <alignment horizontal="center" vertical="center" wrapText="1"/>
    </xf>
    <xf numFmtId="0" fontId="1" fillId="0" borderId="16" xfId="17" applyFont="1" applyFill="1" applyBorder="1" applyAlignment="1">
      <alignment horizontal="center" vertical="center"/>
    </xf>
    <xf numFmtId="9" fontId="1" fillId="0" borderId="3" xfId="0" applyNumberFormat="1" applyFont="1" applyBorder="1" applyAlignment="1">
      <alignment horizontal="center" vertical="center" wrapText="1"/>
    </xf>
    <xf numFmtId="0" fontId="11" fillId="0" borderId="3" xfId="0" applyFont="1" applyBorder="1" applyAlignment="1">
      <alignment horizontal="center" vertical="center" wrapText="1"/>
    </xf>
    <xf numFmtId="0" fontId="0" fillId="3" borderId="3" xfId="0" applyFont="1" applyFill="1" applyBorder="1" applyAlignment="1">
      <alignment vertical="center" wrapText="1"/>
    </xf>
    <xf numFmtId="0" fontId="3" fillId="0" borderId="3" xfId="0" applyFont="1" applyBorder="1" applyAlignment="1">
      <alignment vertical="center"/>
    </xf>
    <xf numFmtId="31" fontId="22" fillId="0" borderId="3" xfId="0" applyNumberFormat="1" applyFont="1" applyBorder="1" applyAlignment="1">
      <alignment vertical="center"/>
    </xf>
    <xf numFmtId="0" fontId="0" fillId="0" borderId="3" xfId="0" applyFont="1" applyBorder="1" applyAlignment="1">
      <alignment vertical="center" wrapText="1"/>
    </xf>
    <xf numFmtId="0" fontId="55" fillId="0" borderId="3" xfId="0" applyFont="1" applyBorder="1" applyAlignment="1">
      <alignment vertical="center" wrapText="1"/>
    </xf>
    <xf numFmtId="0" fontId="1" fillId="0" borderId="16" xfId="17" applyFont="1" applyFill="1" applyBorder="1" applyAlignment="1">
      <alignment vertical="center"/>
    </xf>
    <xf numFmtId="0" fontId="1" fillId="0" borderId="12" xfId="17" applyFont="1" applyFill="1" applyBorder="1" applyAlignment="1">
      <alignment horizontal="center" vertical="center" wrapText="1"/>
    </xf>
    <xf numFmtId="0" fontId="1" fillId="0" borderId="3" xfId="0" applyFont="1" applyBorder="1" applyAlignment="1">
      <alignment vertical="center"/>
    </xf>
    <xf numFmtId="0" fontId="8" fillId="0" borderId="16" xfId="0" applyFont="1" applyBorder="1" applyAlignment="1">
      <alignment vertical="center" wrapText="1"/>
    </xf>
    <xf numFmtId="0" fontId="1" fillId="0" borderId="17" xfId="0" applyFont="1" applyBorder="1" applyAlignment="1">
      <alignment vertical="center" wrapText="1"/>
    </xf>
    <xf numFmtId="0" fontId="1" fillId="0" borderId="17" xfId="17" applyFont="1" applyFill="1" applyBorder="1" applyAlignment="1">
      <alignment horizontal="center" vertical="center"/>
    </xf>
    <xf numFmtId="0" fontId="1" fillId="0" borderId="17" xfId="0" applyFont="1" applyBorder="1" applyAlignment="1">
      <alignment horizontal="center" vertical="center" wrapText="1"/>
    </xf>
    <xf numFmtId="0" fontId="1" fillId="0" borderId="14" xfId="0" applyFont="1" applyBorder="1" applyAlignment="1">
      <alignment horizontal="center" vertical="center"/>
    </xf>
    <xf numFmtId="0" fontId="1" fillId="0" borderId="12" xfId="13" applyNumberFormat="1" applyFont="1" applyFill="1" applyBorder="1" applyAlignment="1">
      <alignment horizontal="center" vertical="center" wrapText="1"/>
    </xf>
    <xf numFmtId="0" fontId="1" fillId="0" borderId="16" xfId="0" applyFont="1" applyBorder="1" applyAlignment="1">
      <alignment horizontal="center" vertical="center" wrapText="1"/>
    </xf>
    <xf numFmtId="0" fontId="8" fillId="0" borderId="28" xfId="0" applyFont="1" applyBorder="1" applyAlignment="1">
      <alignment vertical="center" wrapText="1"/>
    </xf>
    <xf numFmtId="0" fontId="1" fillId="0" borderId="11" xfId="13" applyNumberFormat="1" applyFont="1" applyFill="1" applyBorder="1" applyAlignment="1">
      <alignment horizontal="center" vertical="center" wrapText="1"/>
    </xf>
    <xf numFmtId="0" fontId="1" fillId="0" borderId="12" xfId="0" applyNumberFormat="1" applyFont="1" applyFill="1" applyBorder="1" applyAlignment="1">
      <alignment horizontal="center" vertical="center" wrapText="1"/>
    </xf>
    <xf numFmtId="0" fontId="0" fillId="10" borderId="3" xfId="0" applyFont="1" applyFill="1" applyBorder="1">
      <alignment vertical="center"/>
    </xf>
    <xf numFmtId="0" fontId="0" fillId="3" borderId="3" xfId="0" applyFont="1" applyFill="1" applyBorder="1" applyAlignment="1">
      <alignment horizontal="center" vertical="center" wrapText="1"/>
    </xf>
    <xf numFmtId="0" fontId="91" fillId="3" borderId="3" xfId="0" applyNumberFormat="1" applyFont="1" applyFill="1" applyBorder="1" applyAlignment="1">
      <alignment horizontal="center" vertical="center" wrapText="1"/>
    </xf>
    <xf numFmtId="0" fontId="0" fillId="10" borderId="0" xfId="0" applyFont="1" applyFill="1">
      <alignment vertical="center"/>
    </xf>
    <xf numFmtId="14" fontId="0" fillId="0" borderId="3" xfId="0" applyNumberFormat="1" applyBorder="1" applyAlignment="1">
      <alignment vertical="center" wrapText="1"/>
    </xf>
    <xf numFmtId="57" fontId="6" fillId="10" borderId="3" xfId="0" applyNumberFormat="1" applyFont="1" applyFill="1" applyBorder="1" applyAlignment="1">
      <alignment horizontal="center" vertical="center"/>
    </xf>
    <xf numFmtId="0" fontId="1" fillId="0" borderId="12" xfId="0" applyFont="1" applyBorder="1" applyAlignment="1">
      <alignment vertical="center" wrapText="1"/>
    </xf>
    <xf numFmtId="0" fontId="3" fillId="0" borderId="22" xfId="0" applyFont="1" applyBorder="1" applyAlignment="1">
      <alignment vertical="center"/>
    </xf>
    <xf numFmtId="31" fontId="22" fillId="0" borderId="12" xfId="0" applyNumberFormat="1" applyFont="1" applyBorder="1" applyAlignment="1">
      <alignment vertical="center"/>
    </xf>
    <xf numFmtId="0" fontId="3" fillId="0" borderId="12" xfId="0" applyFont="1" applyBorder="1" applyAlignment="1">
      <alignment vertical="center"/>
    </xf>
    <xf numFmtId="0" fontId="1" fillId="0" borderId="14" xfId="0" applyFont="1" applyBorder="1" applyAlignment="1">
      <alignment vertical="center"/>
    </xf>
    <xf numFmtId="0" fontId="1" fillId="0" borderId="15" xfId="0" applyFont="1" applyBorder="1" applyAlignment="1">
      <alignment horizontal="center" vertical="center"/>
    </xf>
    <xf numFmtId="57" fontId="6" fillId="3" borderId="15" xfId="16" applyNumberFormat="1" applyFont="1" applyFill="1" applyBorder="1" applyAlignment="1">
      <alignment horizontal="center" vertical="center"/>
    </xf>
    <xf numFmtId="57" fontId="6" fillId="3" borderId="21" xfId="16" applyNumberFormat="1" applyFont="1" applyFill="1" applyBorder="1" applyAlignment="1">
      <alignment horizontal="center" vertical="center"/>
    </xf>
    <xf numFmtId="0" fontId="6" fillId="3" borderId="11" xfId="0" applyFont="1" applyFill="1" applyBorder="1" applyAlignment="1">
      <alignment horizontal="center" vertical="center" wrapText="1"/>
    </xf>
    <xf numFmtId="0" fontId="6" fillId="3" borderId="32" xfId="13" applyNumberFormat="1" applyFont="1" applyFill="1" applyBorder="1" applyAlignment="1">
      <alignment horizontal="center" vertical="center" wrapText="1"/>
    </xf>
    <xf numFmtId="0" fontId="60" fillId="0" borderId="3" xfId="0" applyFont="1" applyBorder="1" applyAlignment="1">
      <alignment wrapText="1"/>
    </xf>
    <xf numFmtId="0" fontId="60" fillId="0" borderId="3" xfId="0" applyFont="1" applyBorder="1" applyAlignment="1">
      <alignment horizontal="center" wrapText="1"/>
    </xf>
    <xf numFmtId="0" fontId="60" fillId="0" borderId="3" xfId="0" applyFont="1" applyBorder="1" applyAlignment="1">
      <alignment horizontal="center" vertical="center" wrapText="1"/>
    </xf>
    <xf numFmtId="0" fontId="0" fillId="0" borderId="13" xfId="0" applyBorder="1" applyAlignment="1"/>
    <xf numFmtId="0" fontId="0" fillId="0" borderId="0" xfId="0" applyFont="1" applyBorder="1" applyAlignment="1"/>
    <xf numFmtId="0" fontId="9" fillId="0" borderId="14" xfId="0" applyFont="1" applyBorder="1" applyAlignment="1">
      <alignment vertical="center" wrapText="1"/>
    </xf>
    <xf numFmtId="0" fontId="1" fillId="0" borderId="7" xfId="16" applyNumberFormat="1" applyFont="1" applyBorder="1" applyAlignment="1">
      <alignment horizontal="center" vertical="center"/>
    </xf>
    <xf numFmtId="0" fontId="6" fillId="3" borderId="7" xfId="16" applyNumberFormat="1" applyFont="1" applyFill="1" applyBorder="1" applyAlignment="1">
      <alignment horizontal="center" vertical="center"/>
    </xf>
    <xf numFmtId="0" fontId="6" fillId="3" borderId="0" xfId="0" applyFont="1" applyFill="1" applyBorder="1" applyAlignment="1"/>
    <xf numFmtId="0" fontId="6" fillId="3" borderId="27" xfId="16" applyNumberFormat="1" applyFont="1" applyFill="1" applyBorder="1" applyAlignment="1">
      <alignment horizontal="center" vertical="center" wrapText="1"/>
    </xf>
    <xf numFmtId="0" fontId="6" fillId="3" borderId="37" xfId="16" applyNumberFormat="1" applyFont="1" applyFill="1" applyBorder="1" applyAlignment="1">
      <alignment horizontal="center" vertical="center"/>
    </xf>
    <xf numFmtId="0" fontId="6" fillId="3" borderId="37" xfId="16" applyNumberFormat="1" applyFont="1" applyFill="1" applyBorder="1" applyAlignment="1">
      <alignment horizontal="center" vertical="center" wrapText="1"/>
    </xf>
    <xf numFmtId="57" fontId="6" fillId="3" borderId="3" xfId="16" applyNumberFormat="1" applyFont="1" applyFill="1" applyBorder="1" applyAlignment="1">
      <alignment horizontal="center" vertical="center" wrapText="1"/>
    </xf>
    <xf numFmtId="0" fontId="0" fillId="0" borderId="22" xfId="0" applyFont="1" applyBorder="1" applyAlignment="1">
      <alignment horizontal="left" vertical="center"/>
    </xf>
    <xf numFmtId="0" fontId="0" fillId="0" borderId="12" xfId="0" applyFont="1" applyBorder="1" applyAlignment="1">
      <alignment horizontal="center" vertical="center"/>
    </xf>
    <xf numFmtId="0" fontId="0" fillId="0" borderId="14" xfId="0" applyFont="1" applyBorder="1" applyAlignment="1">
      <alignment horizontal="center" vertical="center"/>
    </xf>
    <xf numFmtId="0" fontId="6" fillId="0" borderId="12" xfId="0" applyFont="1" applyBorder="1" applyAlignment="1">
      <alignment horizontal="center" vertical="center"/>
    </xf>
    <xf numFmtId="0" fontId="6" fillId="0" borderId="12" xfId="0" applyFont="1" applyBorder="1" applyAlignment="1">
      <alignment horizontal="center" vertical="center" wrapText="1"/>
    </xf>
    <xf numFmtId="0" fontId="7" fillId="0" borderId="3" xfId="0" applyFont="1" applyBorder="1" applyAlignment="1">
      <alignment horizontal="center" vertical="center" wrapText="1"/>
    </xf>
    <xf numFmtId="0" fontId="11" fillId="0" borderId="25" xfId="0" applyFont="1" applyBorder="1" applyAlignment="1">
      <alignment horizontal="center" vertical="center" wrapText="1"/>
    </xf>
    <xf numFmtId="0" fontId="21" fillId="0" borderId="3" xfId="0" applyFont="1" applyBorder="1" applyAlignment="1">
      <alignment horizontal="left" vertical="center" wrapText="1"/>
    </xf>
    <xf numFmtId="0" fontId="6" fillId="3" borderId="36" xfId="0" applyNumberFormat="1" applyFont="1" applyFill="1" applyBorder="1" applyAlignment="1">
      <alignment horizontal="center" vertical="center"/>
    </xf>
    <xf numFmtId="0" fontId="61" fillId="3" borderId="7" xfId="0" applyNumberFormat="1" applyFont="1" applyFill="1" applyBorder="1" applyAlignment="1">
      <alignment horizontal="center" vertical="center" wrapText="1"/>
    </xf>
    <xf numFmtId="0" fontId="6" fillId="3" borderId="25" xfId="0" applyNumberFormat="1" applyFont="1" applyFill="1" applyBorder="1" applyAlignment="1">
      <alignment horizontal="center" vertical="center"/>
    </xf>
    <xf numFmtId="0" fontId="98" fillId="0" borderId="3" xfId="0" applyFont="1" applyBorder="1" applyAlignment="1">
      <alignment horizontal="center" vertical="center" wrapText="1"/>
    </xf>
    <xf numFmtId="57" fontId="6" fillId="3" borderId="20" xfId="0" applyNumberFormat="1" applyFont="1" applyFill="1" applyBorder="1" applyAlignment="1">
      <alignment horizontal="center" vertical="center" wrapText="1"/>
    </xf>
    <xf numFmtId="0" fontId="3" fillId="3" borderId="3"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2"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25" xfId="0" applyFont="1" applyFill="1" applyBorder="1" applyAlignment="1">
      <alignment horizontal="center" vertical="center"/>
    </xf>
    <xf numFmtId="0" fontId="3" fillId="3" borderId="12" xfId="0" applyFont="1" applyFill="1" applyBorder="1" applyAlignment="1">
      <alignment horizontal="center" vertical="center"/>
    </xf>
    <xf numFmtId="0" fontId="3" fillId="3" borderId="25" xfId="0" applyFont="1" applyFill="1" applyBorder="1" applyAlignment="1">
      <alignment horizontal="center" vertical="center"/>
    </xf>
    <xf numFmtId="0" fontId="0" fillId="0" borderId="28" xfId="0" applyFont="1" applyBorder="1" applyAlignment="1">
      <alignment horizontal="center" vertical="center" wrapText="1"/>
    </xf>
    <xf numFmtId="0" fontId="1" fillId="0" borderId="2" xfId="0" applyFont="1" applyBorder="1" applyAlignment="1">
      <alignment vertical="center" wrapText="1"/>
    </xf>
    <xf numFmtId="57" fontId="6" fillId="3" borderId="2" xfId="0" applyNumberFormat="1" applyFont="1" applyFill="1" applyBorder="1" applyAlignment="1">
      <alignment horizontal="center" vertical="center" wrapText="1"/>
    </xf>
    <xf numFmtId="57" fontId="6" fillId="3" borderId="24" xfId="0" applyNumberFormat="1" applyFont="1" applyFill="1" applyBorder="1" applyAlignment="1">
      <alignment horizontal="center" vertical="center" wrapText="1"/>
    </xf>
    <xf numFmtId="0" fontId="0" fillId="0" borderId="43" xfId="0" applyFont="1" applyBorder="1" applyAlignment="1">
      <alignment horizontal="center" vertical="center"/>
    </xf>
    <xf numFmtId="0" fontId="0" fillId="0" borderId="28" xfId="0" applyFont="1" applyBorder="1" applyAlignment="1">
      <alignment horizontal="center" vertical="center"/>
    </xf>
    <xf numFmtId="0" fontId="1" fillId="0" borderId="12" xfId="0" applyFont="1" applyBorder="1" applyAlignment="1">
      <alignment horizontal="left" vertical="center"/>
    </xf>
    <xf numFmtId="0" fontId="21" fillId="0" borderId="12" xfId="0" applyFont="1" applyBorder="1" applyAlignment="1">
      <alignment horizontal="left" vertical="center" wrapText="1"/>
    </xf>
    <xf numFmtId="0" fontId="8" fillId="0" borderId="25" xfId="0" applyFont="1" applyBorder="1" applyAlignment="1">
      <alignment vertical="center" wrapText="1"/>
    </xf>
    <xf numFmtId="0" fontId="8" fillId="0" borderId="7" xfId="0" applyFont="1" applyBorder="1" applyAlignment="1">
      <alignment horizontal="center" vertical="center" wrapText="1"/>
    </xf>
    <xf numFmtId="0" fontId="5" fillId="3" borderId="28"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17" xfId="0" applyFont="1" applyFill="1" applyBorder="1" applyAlignment="1">
      <alignment horizontal="left" vertical="center" wrapText="1"/>
    </xf>
    <xf numFmtId="0" fontId="5" fillId="3" borderId="12" xfId="0" applyFont="1" applyFill="1" applyBorder="1" applyAlignment="1">
      <alignment horizontal="left" vertical="center" wrapText="1"/>
    </xf>
    <xf numFmtId="0" fontId="0" fillId="0" borderId="43" xfId="0" applyFont="1" applyBorder="1" applyAlignment="1">
      <alignment horizontal="center" vertical="center" wrapText="1"/>
    </xf>
    <xf numFmtId="0" fontId="8" fillId="0" borderId="17" xfId="0" applyFont="1" applyBorder="1" applyAlignment="1">
      <alignment horizontal="center" vertical="center" wrapText="1"/>
    </xf>
    <xf numFmtId="0" fontId="1" fillId="0" borderId="28" xfId="0" applyFont="1" applyBorder="1" applyAlignment="1">
      <alignment horizontal="center" vertical="center"/>
    </xf>
    <xf numFmtId="0" fontId="6" fillId="0" borderId="12" xfId="0" applyFont="1" applyBorder="1" applyAlignment="1">
      <alignment vertical="center"/>
    </xf>
    <xf numFmtId="0" fontId="6" fillId="3" borderId="25" xfId="0" applyFont="1" applyFill="1" applyBorder="1" applyAlignment="1">
      <alignment horizontal="center" vertical="center"/>
    </xf>
    <xf numFmtId="0" fontId="0" fillId="0" borderId="0" xfId="0" applyBorder="1">
      <alignment vertical="center"/>
    </xf>
    <xf numFmtId="0" fontId="0" fillId="10" borderId="0" xfId="0" applyFill="1" applyBorder="1">
      <alignment vertical="center"/>
    </xf>
    <xf numFmtId="57" fontId="6" fillId="0" borderId="22" xfId="0" applyNumberFormat="1" applyFont="1" applyFill="1" applyBorder="1" applyAlignment="1">
      <alignment horizontal="center" vertical="center" wrapText="1"/>
    </xf>
    <xf numFmtId="57" fontId="6" fillId="3" borderId="22" xfId="0" applyNumberFormat="1" applyFont="1" applyFill="1" applyBorder="1" applyAlignment="1">
      <alignment horizontal="center" vertical="center" wrapText="1"/>
    </xf>
    <xf numFmtId="57" fontId="29" fillId="3" borderId="22" xfId="0" applyNumberFormat="1" applyFont="1" applyFill="1" applyBorder="1" applyAlignment="1">
      <alignment horizontal="center" vertical="center" wrapText="1"/>
    </xf>
    <xf numFmtId="0" fontId="12" fillId="3" borderId="12"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95" fillId="10" borderId="12" xfId="0" applyFont="1" applyFill="1" applyBorder="1" applyAlignment="1">
      <alignment horizontal="center" vertical="center" wrapText="1"/>
    </xf>
    <xf numFmtId="57" fontId="6" fillId="3" borderId="10" xfId="0" applyNumberFormat="1" applyFont="1" applyFill="1" applyBorder="1" applyAlignment="1">
      <alignment horizontal="center" vertical="center" wrapText="1"/>
    </xf>
    <xf numFmtId="0" fontId="95" fillId="8" borderId="3" xfId="0" applyFont="1" applyFill="1" applyBorder="1" applyAlignment="1">
      <alignment horizontal="center" vertical="center" wrapText="1"/>
    </xf>
    <xf numFmtId="0" fontId="95" fillId="3" borderId="3" xfId="0" applyFont="1" applyFill="1" applyBorder="1" applyAlignment="1">
      <alignment horizontal="center" vertical="center" wrapText="1"/>
    </xf>
    <xf numFmtId="57" fontId="6" fillId="10" borderId="14" xfId="0" applyNumberFormat="1" applyFont="1" applyFill="1" applyBorder="1" applyAlignment="1">
      <alignment horizontal="center" vertical="center" wrapText="1"/>
    </xf>
    <xf numFmtId="0" fontId="6" fillId="10" borderId="3" xfId="0" applyFont="1" applyFill="1" applyBorder="1" applyAlignment="1">
      <alignment horizontal="center" vertical="center" wrapText="1"/>
    </xf>
    <xf numFmtId="57" fontId="91" fillId="3" borderId="14" xfId="0" applyNumberFormat="1" applyFont="1" applyFill="1" applyBorder="1" applyAlignment="1">
      <alignment horizontal="center" vertical="center" wrapText="1"/>
    </xf>
    <xf numFmtId="57" fontId="6" fillId="3" borderId="33" xfId="0" applyNumberFormat="1" applyFont="1" applyFill="1" applyBorder="1" applyAlignment="1">
      <alignment horizontal="center" vertical="center" wrapText="1"/>
    </xf>
    <xf numFmtId="0" fontId="6" fillId="8" borderId="3" xfId="0" applyFont="1" applyFill="1" applyBorder="1" applyAlignment="1">
      <alignment horizontal="center" vertical="center" wrapText="1"/>
    </xf>
    <xf numFmtId="57" fontId="6" fillId="8" borderId="3" xfId="0" applyNumberFormat="1" applyFont="1" applyFill="1" applyBorder="1" applyAlignment="1">
      <alignment horizontal="center" vertical="center" wrapText="1"/>
    </xf>
    <xf numFmtId="0" fontId="6" fillId="8" borderId="17" xfId="0" applyFont="1" applyFill="1" applyBorder="1" applyAlignment="1">
      <alignment horizontal="center" vertical="center" wrapText="1"/>
    </xf>
    <xf numFmtId="0" fontId="6" fillId="10" borderId="17" xfId="13" applyNumberFormat="1" applyFont="1" applyFill="1" applyBorder="1" applyAlignment="1">
      <alignment horizontal="center" vertical="center" wrapText="1"/>
    </xf>
    <xf numFmtId="0" fontId="5" fillId="0" borderId="25" xfId="0" applyFont="1" applyFill="1" applyBorder="1" applyAlignment="1">
      <alignment horizontal="left" vertical="center" wrapText="1"/>
    </xf>
    <xf numFmtId="0" fontId="5" fillId="0" borderId="28" xfId="0" applyFont="1" applyFill="1" applyBorder="1" applyAlignment="1">
      <alignment horizontal="left" vertical="center" wrapText="1"/>
    </xf>
    <xf numFmtId="0" fontId="91" fillId="3" borderId="12" xfId="0" applyFont="1" applyFill="1" applyBorder="1" applyAlignment="1">
      <alignment horizontal="center" vertical="center"/>
    </xf>
    <xf numFmtId="0" fontId="91" fillId="3" borderId="11" xfId="0" applyFont="1" applyFill="1" applyBorder="1" applyAlignment="1">
      <alignment horizontal="center" vertical="center"/>
    </xf>
    <xf numFmtId="0" fontId="5" fillId="3" borderId="13" xfId="0" applyFont="1" applyFill="1" applyBorder="1" applyAlignment="1">
      <alignment horizontal="left" vertical="center" wrapText="1"/>
    </xf>
    <xf numFmtId="0" fontId="5" fillId="10" borderId="3" xfId="0" applyFont="1" applyFill="1" applyBorder="1" applyAlignment="1">
      <alignment horizontal="left" vertical="center" wrapText="1"/>
    </xf>
    <xf numFmtId="0" fontId="6" fillId="8" borderId="12" xfId="0" applyFont="1" applyFill="1" applyBorder="1" applyAlignment="1">
      <alignment horizontal="center" vertical="center"/>
    </xf>
    <xf numFmtId="57" fontId="5" fillId="3" borderId="3" xfId="0" applyNumberFormat="1" applyFont="1" applyFill="1" applyBorder="1" applyAlignment="1">
      <alignment horizontal="left" vertical="center" wrapText="1"/>
    </xf>
    <xf numFmtId="0" fontId="92" fillId="3" borderId="3" xfId="0" applyFont="1" applyFill="1" applyBorder="1" applyAlignment="1">
      <alignment horizontal="left" vertical="center" wrapText="1"/>
    </xf>
    <xf numFmtId="0" fontId="6" fillId="10" borderId="3" xfId="13" applyNumberFormat="1" applyFont="1" applyFill="1" applyBorder="1" applyAlignment="1">
      <alignment horizontal="center" vertical="center" wrapText="1"/>
    </xf>
    <xf numFmtId="0" fontId="27" fillId="0" borderId="1" xfId="0" applyFont="1" applyBorder="1" applyAlignment="1">
      <alignment vertical="center" wrapText="1"/>
    </xf>
    <xf numFmtId="0" fontId="3" fillId="0" borderId="1" xfId="0" applyFont="1" applyBorder="1" applyAlignment="1">
      <alignment vertical="center" wrapText="1"/>
    </xf>
    <xf numFmtId="57" fontId="3" fillId="0" borderId="1" xfId="0" applyNumberFormat="1" applyFont="1" applyBorder="1" applyAlignment="1">
      <alignment horizontal="center" vertical="center"/>
    </xf>
    <xf numFmtId="0" fontId="1" fillId="0" borderId="43" xfId="0" applyFont="1" applyBorder="1" applyAlignment="1">
      <alignment horizontal="center" vertical="center"/>
    </xf>
    <xf numFmtId="0" fontId="24" fillId="0" borderId="2" xfId="0" applyFont="1" applyBorder="1" applyAlignment="1">
      <alignment horizontal="center" vertical="center"/>
    </xf>
    <xf numFmtId="0" fontId="1" fillId="0" borderId="11" xfId="0" applyFont="1" applyFill="1" applyBorder="1" applyAlignment="1">
      <alignment horizontal="center" vertical="center" wrapText="1"/>
    </xf>
    <xf numFmtId="0" fontId="1" fillId="0" borderId="28"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12" xfId="8" applyFont="1" applyBorder="1" applyAlignment="1">
      <alignment horizontal="center" vertical="center"/>
    </xf>
    <xf numFmtId="0" fontId="24" fillId="0" borderId="25" xfId="0" applyFont="1" applyBorder="1" applyAlignment="1">
      <alignment horizontal="center" vertical="center" wrapText="1"/>
    </xf>
    <xf numFmtId="0" fontId="4" fillId="0" borderId="3" xfId="17" applyFont="1" applyFill="1" applyBorder="1" applyAlignment="1">
      <alignment horizontal="center" vertical="center" wrapText="1"/>
    </xf>
    <xf numFmtId="0" fontId="24" fillId="0" borderId="7" xfId="14" applyFont="1" applyBorder="1" applyAlignment="1">
      <alignment vertical="center" wrapText="1"/>
    </xf>
    <xf numFmtId="0" fontId="1" fillId="0" borderId="11" xfId="13" applyFont="1" applyFill="1" applyBorder="1" applyAlignment="1">
      <alignment horizontal="center" vertical="center" wrapText="1"/>
    </xf>
    <xf numFmtId="0" fontId="63" fillId="0" borderId="0" xfId="0" applyFont="1" applyAlignment="1">
      <alignment horizontal="left" vertical="center" indent="15"/>
    </xf>
    <xf numFmtId="0" fontId="9" fillId="0" borderId="17" xfId="14" applyFont="1" applyBorder="1" applyAlignment="1">
      <alignment vertical="center" wrapText="1"/>
    </xf>
    <xf numFmtId="57" fontId="3" fillId="0" borderId="1" xfId="0" applyNumberFormat="1" applyFont="1" applyBorder="1" applyAlignment="1">
      <alignment vertical="center" wrapText="1"/>
    </xf>
    <xf numFmtId="179" fontId="6" fillId="3" borderId="3" xfId="0" applyNumberFormat="1" applyFont="1" applyFill="1" applyBorder="1" applyAlignment="1">
      <alignment horizontal="center" vertical="center" wrapText="1"/>
    </xf>
    <xf numFmtId="57" fontId="3" fillId="0" borderId="1" xfId="0" applyNumberFormat="1" applyFont="1" applyBorder="1" applyAlignment="1">
      <alignment vertical="center"/>
    </xf>
    <xf numFmtId="0" fontId="6" fillId="8" borderId="3" xfId="0" applyNumberFormat="1" applyFont="1" applyFill="1" applyBorder="1" applyAlignment="1">
      <alignment horizontal="center" vertical="center" wrapText="1"/>
    </xf>
    <xf numFmtId="0" fontId="11" fillId="0" borderId="0" xfId="0" applyNumberFormat="1" applyFont="1" applyBorder="1" applyAlignment="1">
      <alignment horizontal="center" vertical="center" wrapText="1"/>
    </xf>
    <xf numFmtId="0" fontId="11" fillId="0" borderId="24"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24" fillId="0" borderId="0" xfId="0" applyFont="1" applyBorder="1" applyAlignment="1">
      <alignment horizontal="center" vertical="center" wrapText="1"/>
    </xf>
    <xf numFmtId="0" fontId="24" fillId="0" borderId="41" xfId="0" applyFont="1" applyBorder="1" applyAlignment="1">
      <alignment horizontal="center" vertical="center" wrapText="1"/>
    </xf>
    <xf numFmtId="0" fontId="1" fillId="0" borderId="0" xfId="17" applyFont="1" applyFill="1" applyBorder="1" applyAlignment="1">
      <alignment horizontal="center" vertical="center" wrapText="1"/>
    </xf>
    <xf numFmtId="0" fontId="24" fillId="0" borderId="3" xfId="14" applyFont="1" applyBorder="1" applyAlignment="1">
      <alignment vertical="center" wrapText="1"/>
    </xf>
    <xf numFmtId="0" fontId="24" fillId="0" borderId="0" xfId="14" applyFont="1" applyBorder="1" applyAlignment="1">
      <alignment vertical="center" wrapText="1"/>
    </xf>
    <xf numFmtId="0" fontId="24" fillId="0" borderId="30" xfId="14" applyFont="1" applyBorder="1" applyAlignment="1">
      <alignment vertical="center" wrapText="1"/>
    </xf>
    <xf numFmtId="0" fontId="1" fillId="0" borderId="35" xfId="16" applyFont="1" applyBorder="1" applyAlignment="1">
      <alignment horizontal="center" vertical="center"/>
    </xf>
    <xf numFmtId="0" fontId="6" fillId="3" borderId="0" xfId="0" applyNumberFormat="1" applyFont="1" applyFill="1" applyBorder="1" applyAlignment="1">
      <alignment horizontal="center" vertical="center" wrapText="1"/>
    </xf>
    <xf numFmtId="0" fontId="6" fillId="3" borderId="30" xfId="0" applyNumberFormat="1" applyFont="1" applyFill="1" applyBorder="1" applyAlignment="1">
      <alignment horizontal="center" vertical="center" wrapText="1"/>
    </xf>
    <xf numFmtId="0" fontId="6" fillId="3" borderId="0" xfId="0" applyNumberFormat="1" applyFont="1" applyFill="1" applyAlignment="1">
      <alignment horizontal="center" vertical="center" wrapText="1"/>
    </xf>
    <xf numFmtId="57" fontId="6" fillId="8" borderId="15" xfId="0" applyNumberFormat="1" applyFont="1" applyFill="1" applyBorder="1" applyAlignment="1">
      <alignment horizontal="center" vertical="center" wrapText="1"/>
    </xf>
    <xf numFmtId="10" fontId="0" fillId="0" borderId="0" xfId="1" applyNumberFormat="1" applyFont="1">
      <alignment vertical="center"/>
    </xf>
    <xf numFmtId="0" fontId="0" fillId="9" borderId="0" xfId="0" applyFill="1">
      <alignment vertical="center"/>
    </xf>
    <xf numFmtId="0" fontId="1" fillId="0" borderId="16" xfId="0" applyFont="1" applyBorder="1" applyAlignment="1">
      <alignment vertical="center" wrapText="1"/>
    </xf>
    <xf numFmtId="57" fontId="6" fillId="9" borderId="15" xfId="0" applyNumberFormat="1" applyFont="1" applyFill="1" applyBorder="1" applyAlignment="1">
      <alignment horizontal="center" vertical="center" wrapText="1"/>
    </xf>
    <xf numFmtId="0" fontId="6" fillId="9" borderId="3" xfId="0" applyNumberFormat="1" applyFont="1" applyFill="1" applyBorder="1" applyAlignment="1">
      <alignment horizontal="center" vertical="center" wrapText="1"/>
    </xf>
    <xf numFmtId="0" fontId="91" fillId="9" borderId="3" xfId="0" applyNumberFormat="1" applyFont="1" applyFill="1" applyBorder="1" applyAlignment="1">
      <alignment horizontal="center" vertical="center" wrapText="1"/>
    </xf>
    <xf numFmtId="0" fontId="93" fillId="0" borderId="1" xfId="0" applyFont="1" applyBorder="1" applyAlignment="1">
      <alignment vertical="center" wrapText="1"/>
    </xf>
    <xf numFmtId="0" fontId="6" fillId="9" borderId="7" xfId="0" applyNumberFormat="1" applyFont="1" applyFill="1" applyBorder="1" applyAlignment="1">
      <alignment horizontal="center" vertical="center" wrapText="1"/>
    </xf>
    <xf numFmtId="176" fontId="6" fillId="8" borderId="3" xfId="0" applyNumberFormat="1" applyFont="1" applyFill="1" applyBorder="1" applyAlignment="1">
      <alignment horizontal="center" vertical="center" wrapText="1"/>
    </xf>
    <xf numFmtId="0" fontId="6" fillId="3" borderId="3" xfId="0" applyNumberFormat="1" applyFont="1" applyFill="1" applyBorder="1" applyAlignment="1">
      <alignment vertical="center" wrapText="1"/>
    </xf>
    <xf numFmtId="0" fontId="8" fillId="0" borderId="25" xfId="0" applyFont="1" applyBorder="1" applyAlignment="1">
      <alignment horizontal="center" vertical="center" wrapText="1"/>
    </xf>
    <xf numFmtId="0" fontId="1" fillId="0" borderId="17" xfId="17" applyFont="1" applyFill="1" applyBorder="1" applyAlignment="1">
      <alignment vertical="center"/>
    </xf>
    <xf numFmtId="0" fontId="4" fillId="0" borderId="17" xfId="17" applyFont="1" applyFill="1" applyBorder="1" applyAlignment="1">
      <alignment horizontal="center" vertical="center" wrapText="1"/>
    </xf>
    <xf numFmtId="0" fontId="5" fillId="3" borderId="25" xfId="0" applyNumberFormat="1" applyFont="1" applyFill="1" applyBorder="1" applyAlignment="1">
      <alignment horizontal="left" vertical="center" wrapText="1"/>
    </xf>
    <xf numFmtId="0" fontId="24" fillId="0" borderId="3" xfId="8" applyFont="1" applyBorder="1" applyAlignment="1">
      <alignment horizontal="center" vertical="center" wrapText="1"/>
    </xf>
    <xf numFmtId="177" fontId="9" fillId="8" borderId="2" xfId="0" applyNumberFormat="1" applyFont="1" applyFill="1" applyBorder="1" applyAlignment="1" applyProtection="1">
      <alignment horizontal="center" vertical="center" wrapText="1"/>
    </xf>
    <xf numFmtId="0" fontId="1" fillId="0" borderId="43" xfId="0" applyFont="1" applyBorder="1" applyAlignment="1">
      <alignment horizontal="center" vertical="center" wrapText="1"/>
    </xf>
    <xf numFmtId="0" fontId="6" fillId="11" borderId="3" xfId="0" applyNumberFormat="1" applyFont="1" applyFill="1" applyBorder="1" applyAlignment="1">
      <alignment horizontal="center" vertical="center" wrapText="1"/>
    </xf>
    <xf numFmtId="0" fontId="91" fillId="3" borderId="7" xfId="0" applyNumberFormat="1" applyFont="1" applyFill="1" applyBorder="1" applyAlignment="1">
      <alignment horizontal="center" vertical="center" wrapText="1"/>
    </xf>
    <xf numFmtId="0" fontId="3" fillId="0" borderId="12" xfId="0" applyFont="1" applyBorder="1" applyAlignment="1">
      <alignment horizontal="center" vertical="center"/>
    </xf>
    <xf numFmtId="0" fontId="1" fillId="0" borderId="16" xfId="0" applyNumberFormat="1" applyFont="1" applyBorder="1" applyAlignment="1">
      <alignment horizontal="center" vertical="center" wrapText="1"/>
    </xf>
    <xf numFmtId="9" fontId="1" fillId="0" borderId="12" xfId="0" applyNumberFormat="1" applyFont="1" applyBorder="1" applyAlignment="1">
      <alignment vertical="center" wrapText="1"/>
    </xf>
    <xf numFmtId="0" fontId="1" fillId="0" borderId="24" xfId="8" applyFont="1" applyBorder="1" applyAlignment="1">
      <alignment horizontal="center" vertical="center"/>
    </xf>
    <xf numFmtId="0" fontId="24" fillId="0" borderId="12" xfId="8" applyFont="1" applyBorder="1" applyAlignment="1">
      <alignment horizontal="center" vertical="center" wrapText="1"/>
    </xf>
    <xf numFmtId="0" fontId="1" fillId="0" borderId="12" xfId="17" applyFont="1" applyFill="1" applyBorder="1" applyAlignment="1">
      <alignment vertical="center"/>
    </xf>
    <xf numFmtId="0" fontId="4" fillId="0" borderId="12" xfId="17" applyFont="1" applyFill="1" applyBorder="1" applyAlignment="1">
      <alignment horizontal="center" vertical="center" wrapText="1"/>
    </xf>
    <xf numFmtId="0" fontId="1" fillId="0" borderId="25" xfId="0" applyFont="1" applyBorder="1" applyAlignment="1">
      <alignment horizontal="center" vertical="center" wrapText="1"/>
    </xf>
    <xf numFmtId="0" fontId="1" fillId="0" borderId="44" xfId="0" applyFont="1" applyBorder="1" applyAlignment="1">
      <alignment horizontal="center" vertical="center"/>
    </xf>
    <xf numFmtId="57" fontId="95" fillId="3" borderId="15" xfId="0" applyNumberFormat="1" applyFont="1" applyFill="1" applyBorder="1" applyAlignment="1">
      <alignment horizontal="center" vertical="center" wrapText="1"/>
    </xf>
    <xf numFmtId="0" fontId="95" fillId="3" borderId="3" xfId="0" applyNumberFormat="1" applyFont="1" applyFill="1" applyBorder="1" applyAlignment="1">
      <alignment horizontal="center" vertical="center" wrapText="1"/>
    </xf>
    <xf numFmtId="0" fontId="1" fillId="0" borderId="45" xfId="0" applyFont="1" applyBorder="1" applyAlignment="1">
      <alignment horizontal="center" vertical="center"/>
    </xf>
    <xf numFmtId="0" fontId="3" fillId="0" borderId="12" xfId="0" applyFont="1" applyBorder="1" applyAlignment="1">
      <alignment horizontal="center" vertical="center" wrapText="1"/>
    </xf>
    <xf numFmtId="0" fontId="1" fillId="0" borderId="41" xfId="0" applyFont="1" applyBorder="1" applyAlignment="1">
      <alignment horizontal="center" vertical="center"/>
    </xf>
    <xf numFmtId="9" fontId="1" fillId="0" borderId="3" xfId="0" applyNumberFormat="1" applyFont="1" applyBorder="1" applyAlignment="1">
      <alignment vertical="center" wrapText="1"/>
    </xf>
    <xf numFmtId="0" fontId="1" fillId="0" borderId="25" xfId="17" applyFont="1" applyFill="1" applyBorder="1" applyAlignment="1">
      <alignment horizontal="center" vertical="center" wrapText="1"/>
    </xf>
    <xf numFmtId="0" fontId="1" fillId="0" borderId="18" xfId="17" applyFont="1" applyFill="1" applyBorder="1" applyAlignment="1">
      <alignment horizontal="center" vertical="center" wrapText="1"/>
    </xf>
    <xf numFmtId="0" fontId="4" fillId="0" borderId="12" xfId="14" applyFont="1" applyBorder="1" applyAlignment="1">
      <alignment horizontal="left" vertical="center" wrapText="1"/>
    </xf>
    <xf numFmtId="0" fontId="24" fillId="0" borderId="25" xfId="14" applyFont="1" applyBorder="1" applyAlignment="1">
      <alignment vertical="center" wrapText="1"/>
    </xf>
    <xf numFmtId="0" fontId="4" fillId="0" borderId="3" xfId="14" applyFont="1" applyBorder="1" applyAlignment="1">
      <alignment vertical="center" wrapText="1"/>
    </xf>
    <xf numFmtId="0" fontId="3" fillId="0" borderId="1" xfId="0" applyNumberFormat="1" applyFont="1" applyBorder="1" applyAlignment="1">
      <alignment vertical="center" wrapText="1"/>
    </xf>
    <xf numFmtId="0" fontId="6" fillId="10" borderId="3" xfId="0" applyNumberFormat="1" applyFont="1" applyFill="1" applyBorder="1" applyAlignment="1">
      <alignment horizontal="center" vertical="center" wrapText="1"/>
    </xf>
    <xf numFmtId="0" fontId="4" fillId="0" borderId="3" xfId="17" applyFont="1" applyFill="1" applyBorder="1" applyAlignment="1">
      <alignment vertical="center" wrapText="1"/>
    </xf>
    <xf numFmtId="0" fontId="6" fillId="3" borderId="17" xfId="0" applyNumberFormat="1" applyFont="1" applyFill="1" applyBorder="1" applyAlignment="1">
      <alignment horizontal="center" vertical="center" wrapText="1"/>
    </xf>
    <xf numFmtId="0" fontId="6" fillId="3" borderId="12" xfId="0" applyNumberFormat="1" applyFont="1" applyFill="1" applyBorder="1" applyAlignment="1">
      <alignment horizontal="center" vertical="center" wrapText="1"/>
    </xf>
    <xf numFmtId="0" fontId="24" fillId="0" borderId="7" xfId="0" applyFont="1" applyBorder="1" applyAlignment="1">
      <alignment horizontal="center" vertical="center" wrapText="1"/>
    </xf>
    <xf numFmtId="0" fontId="6" fillId="3" borderId="18" xfId="0" applyNumberFormat="1" applyFont="1" applyFill="1" applyBorder="1" applyAlignment="1">
      <alignment horizontal="center" vertical="center" wrapText="1"/>
    </xf>
    <xf numFmtId="0" fontId="3" fillId="0" borderId="12" xfId="0" applyFont="1" applyBorder="1" applyAlignment="1">
      <alignment horizontal="left" vertical="center"/>
    </xf>
    <xf numFmtId="177" fontId="6" fillId="3" borderId="22" xfId="0" applyNumberFormat="1" applyFont="1" applyFill="1" applyBorder="1" applyAlignment="1">
      <alignment horizontal="center" vertical="center" wrapText="1"/>
    </xf>
    <xf numFmtId="0" fontId="17" fillId="3" borderId="7" xfId="0" applyFont="1" applyFill="1" applyBorder="1" applyAlignment="1">
      <alignment horizontal="left" vertical="center" wrapText="1"/>
    </xf>
    <xf numFmtId="0" fontId="5" fillId="3" borderId="36" xfId="0" applyFont="1" applyFill="1" applyBorder="1" applyAlignment="1">
      <alignment horizontal="left" vertical="center" wrapText="1"/>
    </xf>
    <xf numFmtId="0" fontId="10" fillId="3" borderId="3" xfId="0" applyFont="1" applyFill="1" applyBorder="1" applyAlignment="1">
      <alignment horizontal="center" vertical="center"/>
    </xf>
    <xf numFmtId="0" fontId="3" fillId="0" borderId="1" xfId="0" applyFont="1" applyBorder="1" applyAlignment="1">
      <alignment horizontal="left" vertical="center" wrapText="1"/>
    </xf>
    <xf numFmtId="177" fontId="6" fillId="0" borderId="15" xfId="0" applyNumberFormat="1" applyFont="1" applyFill="1" applyBorder="1" applyAlignment="1">
      <alignment horizontal="center" vertical="center" wrapText="1"/>
    </xf>
    <xf numFmtId="0" fontId="4" fillId="0" borderId="1" xfId="0" applyFont="1" applyBorder="1" applyAlignment="1">
      <alignment vertical="center" wrapText="1"/>
    </xf>
    <xf numFmtId="0" fontId="4" fillId="0" borderId="9" xfId="0" applyFont="1" applyBorder="1" applyAlignment="1">
      <alignment vertical="center" wrapText="1"/>
    </xf>
    <xf numFmtId="0" fontId="24" fillId="0" borderId="14" xfId="14" applyFont="1" applyBorder="1" applyAlignment="1">
      <alignment vertical="center" wrapText="1"/>
    </xf>
    <xf numFmtId="0" fontId="5" fillId="3" borderId="7" xfId="0" applyNumberFormat="1" applyFont="1" applyFill="1" applyBorder="1" applyAlignment="1">
      <alignment horizontal="left" vertical="center" wrapText="1"/>
    </xf>
    <xf numFmtId="0" fontId="5" fillId="3" borderId="3" xfId="0" applyNumberFormat="1" applyFont="1" applyFill="1" applyBorder="1" applyAlignment="1">
      <alignment horizontal="left" vertical="center" wrapText="1"/>
    </xf>
    <xf numFmtId="177" fontId="6" fillId="6" borderId="2" xfId="16" applyNumberFormat="1" applyFont="1" applyFill="1" applyBorder="1" applyAlignment="1">
      <alignment horizontal="center" vertical="center"/>
    </xf>
    <xf numFmtId="0" fontId="24" fillId="0" borderId="3" xfId="0" applyFont="1" applyBorder="1" applyAlignment="1">
      <alignment horizontal="center" vertical="center"/>
    </xf>
    <xf numFmtId="31" fontId="0" fillId="0" borderId="12" xfId="0" applyNumberFormat="1" applyFont="1" applyBorder="1" applyAlignment="1">
      <alignment vertical="center"/>
    </xf>
    <xf numFmtId="0" fontId="64" fillId="0" borderId="3" xfId="0" applyNumberFormat="1" applyFont="1" applyBorder="1" applyAlignment="1">
      <alignment horizontal="center" vertical="center" wrapText="1"/>
    </xf>
    <xf numFmtId="0" fontId="65" fillId="0" borderId="3" xfId="0" applyFont="1" applyBorder="1" applyAlignment="1">
      <alignment horizontal="center" vertical="center"/>
    </xf>
    <xf numFmtId="176" fontId="6" fillId="8" borderId="3" xfId="0" applyNumberFormat="1" applyFont="1" applyFill="1" applyBorder="1" applyAlignment="1">
      <alignment horizontal="center" vertical="center"/>
    </xf>
    <xf numFmtId="0" fontId="6" fillId="3" borderId="3" xfId="0" applyFont="1" applyFill="1" applyBorder="1" applyAlignment="1">
      <alignment horizontal="left" vertical="center" wrapText="1"/>
    </xf>
    <xf numFmtId="0" fontId="0" fillId="8" borderId="0" xfId="0" applyFill="1">
      <alignment vertical="center"/>
    </xf>
    <xf numFmtId="176" fontId="0" fillId="8" borderId="0" xfId="0" applyNumberFormat="1" applyFill="1">
      <alignment vertical="center"/>
    </xf>
    <xf numFmtId="0" fontId="0" fillId="15" borderId="0" xfId="0" applyFill="1">
      <alignment vertical="center"/>
    </xf>
    <xf numFmtId="0" fontId="99" fillId="0" borderId="0" xfId="0" applyFont="1">
      <alignment vertical="center"/>
    </xf>
    <xf numFmtId="0" fontId="65" fillId="0" borderId="3" xfId="0" applyFont="1" applyBorder="1" applyAlignment="1">
      <alignment vertical="center"/>
    </xf>
    <xf numFmtId="0" fontId="1" fillId="0" borderId="16" xfId="0" applyFont="1" applyBorder="1" applyAlignment="1">
      <alignment horizontal="left" vertical="center" wrapText="1"/>
    </xf>
    <xf numFmtId="0" fontId="1" fillId="0" borderId="30" xfId="0" applyFont="1" applyBorder="1" applyAlignment="1">
      <alignment horizontal="left" vertical="center" wrapText="1"/>
    </xf>
    <xf numFmtId="0" fontId="64" fillId="0" borderId="3" xfId="0" applyFont="1" applyBorder="1" applyAlignment="1">
      <alignment horizontal="center" vertical="center"/>
    </xf>
    <xf numFmtId="0" fontId="66" fillId="3" borderId="3" xfId="0" applyFont="1" applyFill="1" applyBorder="1" applyAlignment="1">
      <alignment horizontal="center" vertical="center"/>
    </xf>
    <xf numFmtId="0" fontId="1" fillId="0" borderId="14" xfId="0" applyFont="1" applyBorder="1" applyAlignment="1">
      <alignment horizontal="left" vertical="center" wrapText="1"/>
    </xf>
    <xf numFmtId="0" fontId="1" fillId="8" borderId="2" xfId="0" applyFont="1" applyFill="1" applyBorder="1" applyAlignment="1">
      <alignment horizontal="center" vertical="center"/>
    </xf>
    <xf numFmtId="0" fontId="1" fillId="8" borderId="3" xfId="0" applyFont="1" applyFill="1" applyBorder="1" applyAlignment="1">
      <alignment horizontal="center" vertical="center"/>
    </xf>
    <xf numFmtId="181" fontId="0" fillId="0" borderId="12" xfId="0" applyNumberFormat="1" applyFont="1" applyBorder="1" applyAlignment="1">
      <alignment horizontal="center" vertical="center"/>
    </xf>
    <xf numFmtId="57" fontId="6" fillId="13" borderId="3" xfId="0" applyNumberFormat="1" applyFont="1" applyFill="1" applyBorder="1" applyAlignment="1">
      <alignment horizontal="center" vertical="center" wrapText="1"/>
    </xf>
    <xf numFmtId="0" fontId="6" fillId="13" borderId="3" xfId="0" applyFont="1" applyFill="1" applyBorder="1" applyAlignment="1">
      <alignment horizontal="center" vertical="center"/>
    </xf>
    <xf numFmtId="57" fontId="6" fillId="13" borderId="3" xfId="0" applyNumberFormat="1" applyFont="1" applyFill="1" applyBorder="1" applyAlignment="1">
      <alignment horizontal="center" vertical="center"/>
    </xf>
    <xf numFmtId="57" fontId="95" fillId="3" borderId="3" xfId="0" applyNumberFormat="1" applyFont="1" applyFill="1" applyBorder="1" applyAlignment="1">
      <alignment horizontal="center" vertical="center"/>
    </xf>
    <xf numFmtId="0" fontId="6" fillId="15" borderId="3" xfId="0" applyFont="1" applyFill="1" applyBorder="1" applyAlignment="1">
      <alignment horizontal="center" vertical="center"/>
    </xf>
    <xf numFmtId="57" fontId="6" fillId="8" borderId="3" xfId="0" applyNumberFormat="1" applyFont="1" applyFill="1" applyBorder="1" applyAlignment="1">
      <alignment horizontal="center" vertical="center"/>
    </xf>
    <xf numFmtId="0" fontId="6" fillId="13" borderId="3" xfId="0" applyNumberFormat="1" applyFont="1" applyFill="1" applyBorder="1" applyAlignment="1">
      <alignment horizontal="center" vertical="center" wrapText="1"/>
    </xf>
    <xf numFmtId="0" fontId="0" fillId="0" borderId="17" xfId="0" applyFont="1" applyBorder="1" applyAlignment="1">
      <alignment horizontal="center" vertical="center" wrapText="1"/>
    </xf>
    <xf numFmtId="0" fontId="1" fillId="0" borderId="26" xfId="0" applyFont="1" applyBorder="1" applyAlignment="1">
      <alignment horizontal="center" vertical="center"/>
    </xf>
    <xf numFmtId="0" fontId="9" fillId="0" borderId="12" xfId="0" applyFont="1" applyBorder="1" applyAlignment="1">
      <alignment horizontal="center" vertical="center" wrapText="1"/>
    </xf>
    <xf numFmtId="57" fontId="3" fillId="3" borderId="38" xfId="0" applyNumberFormat="1" applyFont="1" applyFill="1" applyBorder="1" applyAlignment="1">
      <alignment horizontal="center" vertical="center"/>
    </xf>
    <xf numFmtId="0" fontId="3" fillId="3" borderId="3" xfId="0" applyNumberFormat="1" applyFont="1" applyFill="1" applyBorder="1" applyAlignment="1">
      <alignment horizontal="center" vertical="center"/>
    </xf>
    <xf numFmtId="0" fontId="22" fillId="3" borderId="3" xfId="0" applyFont="1" applyFill="1" applyBorder="1" applyAlignment="1">
      <alignment horizontal="center" vertical="center"/>
    </xf>
    <xf numFmtId="57" fontId="3" fillId="3" borderId="40" xfId="0" applyNumberFormat="1" applyFont="1" applyFill="1" applyBorder="1" applyAlignment="1">
      <alignment horizontal="center" vertical="center"/>
    </xf>
    <xf numFmtId="0" fontId="3" fillId="3" borderId="17" xfId="0" applyFont="1" applyFill="1" applyBorder="1" applyAlignment="1">
      <alignment horizontal="center" vertical="center"/>
    </xf>
    <xf numFmtId="57" fontId="3" fillId="3" borderId="3" xfId="0" applyNumberFormat="1" applyFont="1" applyFill="1" applyBorder="1" applyAlignment="1">
      <alignment horizontal="center" vertical="center"/>
    </xf>
    <xf numFmtId="0" fontId="8" fillId="0" borderId="12" xfId="0" applyFont="1" applyBorder="1" applyAlignment="1">
      <alignment horizontal="center" vertical="center" wrapText="1"/>
    </xf>
    <xf numFmtId="9" fontId="1" fillId="0" borderId="12" xfId="0" applyNumberFormat="1" applyFont="1" applyBorder="1" applyAlignment="1">
      <alignment horizontal="center" vertical="center"/>
    </xf>
    <xf numFmtId="0" fontId="3" fillId="3" borderId="3" xfId="0" applyNumberFormat="1" applyFont="1" applyFill="1" applyBorder="1" applyAlignment="1">
      <alignment horizontal="center" vertical="center" wrapText="1"/>
    </xf>
    <xf numFmtId="0" fontId="3" fillId="3" borderId="17" xfId="0" applyNumberFormat="1" applyFont="1" applyFill="1" applyBorder="1" applyAlignment="1">
      <alignment horizontal="center" vertical="center" wrapText="1"/>
    </xf>
    <xf numFmtId="0" fontId="65" fillId="0" borderId="17" xfId="0" applyFont="1" applyBorder="1" applyAlignment="1">
      <alignment horizontal="center" vertical="center"/>
    </xf>
    <xf numFmtId="57" fontId="3" fillId="3" borderId="15" xfId="0" applyNumberFormat="1" applyFont="1" applyFill="1" applyBorder="1" applyAlignment="1">
      <alignment horizontal="center" vertical="center"/>
    </xf>
    <xf numFmtId="0" fontId="3" fillId="3" borderId="16" xfId="0" applyNumberFormat="1" applyFont="1" applyFill="1" applyBorder="1" applyAlignment="1">
      <alignment horizontal="center" vertical="center"/>
    </xf>
    <xf numFmtId="0" fontId="3" fillId="3" borderId="17" xfId="0" applyNumberFormat="1" applyFont="1" applyFill="1" applyBorder="1" applyAlignment="1">
      <alignment horizontal="center" vertical="center"/>
    </xf>
    <xf numFmtId="0" fontId="3" fillId="3" borderId="19" xfId="0" applyNumberFormat="1" applyFont="1" applyFill="1" applyBorder="1" applyAlignment="1">
      <alignment horizontal="center" vertical="center"/>
    </xf>
    <xf numFmtId="0" fontId="3" fillId="3" borderId="14" xfId="0" applyNumberFormat="1" applyFont="1" applyFill="1" applyBorder="1" applyAlignment="1">
      <alignment horizontal="center" vertical="center"/>
    </xf>
    <xf numFmtId="0" fontId="3" fillId="3" borderId="33" xfId="0" applyNumberFormat="1" applyFont="1" applyFill="1" applyBorder="1" applyAlignment="1">
      <alignment horizontal="center" vertical="center"/>
    </xf>
    <xf numFmtId="57" fontId="6" fillId="10" borderId="21" xfId="0" applyNumberFormat="1" applyFont="1" applyFill="1" applyBorder="1" applyAlignment="1">
      <alignment horizontal="center" vertical="center"/>
    </xf>
    <xf numFmtId="0" fontId="6" fillId="10" borderId="12" xfId="0" applyFont="1" applyFill="1" applyBorder="1" applyAlignment="1">
      <alignment horizontal="center" vertical="center"/>
    </xf>
    <xf numFmtId="0" fontId="100" fillId="0" borderId="0" xfId="0" applyFont="1" applyBorder="1" applyAlignment="1">
      <alignment horizontal="center" wrapText="1"/>
    </xf>
    <xf numFmtId="0" fontId="0" fillId="0" borderId="0" xfId="0" applyBorder="1" applyAlignment="1">
      <alignment horizontal="center" vertical="center" wrapText="1"/>
    </xf>
    <xf numFmtId="0" fontId="17" fillId="3" borderId="25" xfId="0" applyFont="1" applyFill="1" applyBorder="1" applyAlignment="1">
      <alignment horizontal="center" vertical="center" wrapText="1"/>
    </xf>
    <xf numFmtId="0" fontId="91" fillId="3" borderId="3" xfId="0" applyFont="1" applyFill="1" applyBorder="1" applyAlignment="1">
      <alignment horizontal="left" vertical="center"/>
    </xf>
    <xf numFmtId="0" fontId="100" fillId="0" borderId="0" xfId="0" applyFont="1" applyBorder="1" applyAlignment="1">
      <alignment horizontal="center" wrapText="1"/>
    </xf>
    <xf numFmtId="177" fontId="5" fillId="3" borderId="2" xfId="0" applyNumberFormat="1" applyFont="1" applyFill="1" applyBorder="1" applyAlignment="1">
      <alignment horizontal="center" vertical="center" wrapText="1"/>
    </xf>
    <xf numFmtId="177" fontId="5" fillId="3" borderId="20" xfId="0" applyNumberFormat="1" applyFont="1" applyFill="1" applyBorder="1" applyAlignment="1">
      <alignment horizontal="center" vertical="center" wrapText="1"/>
    </xf>
    <xf numFmtId="177" fontId="5" fillId="3" borderId="15" xfId="0" applyNumberFormat="1" applyFont="1" applyFill="1" applyBorder="1" applyAlignment="1">
      <alignment horizontal="center" vertical="center" wrapText="1"/>
    </xf>
    <xf numFmtId="177" fontId="5" fillId="3" borderId="10" xfId="0" applyNumberFormat="1" applyFont="1" applyFill="1" applyBorder="1" applyAlignment="1">
      <alignment horizontal="center" vertical="center" wrapText="1"/>
    </xf>
    <xf numFmtId="177" fontId="5" fillId="3" borderId="3" xfId="0" applyNumberFormat="1" applyFont="1" applyFill="1" applyBorder="1" applyAlignment="1">
      <alignment horizontal="center" vertical="center" wrapText="1"/>
    </xf>
    <xf numFmtId="177" fontId="5" fillId="3" borderId="14" xfId="0" applyNumberFormat="1" applyFont="1" applyFill="1" applyBorder="1" applyAlignment="1">
      <alignment horizontal="center" vertical="center" wrapText="1"/>
    </xf>
    <xf numFmtId="177" fontId="5" fillId="8" borderId="3" xfId="0" applyNumberFormat="1" applyFont="1" applyFill="1" applyBorder="1" applyAlignment="1">
      <alignment horizontal="center" vertical="center" wrapText="1"/>
    </xf>
    <xf numFmtId="0" fontId="6" fillId="3" borderId="7" xfId="0" applyFont="1" applyFill="1" applyBorder="1" applyAlignment="1">
      <alignment horizontal="left" vertical="center" wrapText="1"/>
    </xf>
    <xf numFmtId="0" fontId="6" fillId="3" borderId="18" xfId="0" applyFont="1" applyFill="1" applyBorder="1" applyAlignment="1">
      <alignment horizontal="left" vertical="center" wrapText="1"/>
    </xf>
    <xf numFmtId="0" fontId="6" fillId="3" borderId="25" xfId="0" applyFont="1" applyFill="1" applyBorder="1" applyAlignment="1">
      <alignment horizontal="left" vertical="center" wrapText="1"/>
    </xf>
    <xf numFmtId="0" fontId="12" fillId="3" borderId="3" xfId="0" applyFont="1" applyFill="1" applyBorder="1" applyAlignment="1">
      <alignment horizontal="center" vertical="center"/>
    </xf>
    <xf numFmtId="0" fontId="29" fillId="3" borderId="25" xfId="0" applyFont="1" applyFill="1" applyBorder="1" applyAlignment="1">
      <alignment horizontal="left" vertical="center" wrapText="1"/>
    </xf>
    <xf numFmtId="0" fontId="29" fillId="3" borderId="13" xfId="0" applyFont="1" applyFill="1" applyBorder="1" applyAlignment="1">
      <alignment horizontal="left" vertical="center" wrapText="1"/>
    </xf>
    <xf numFmtId="57" fontId="12" fillId="3" borderId="3" xfId="0" applyNumberFormat="1" applyFont="1" applyFill="1" applyBorder="1" applyAlignment="1">
      <alignment horizontal="left" vertical="center" wrapText="1"/>
    </xf>
    <xf numFmtId="0" fontId="12" fillId="3" borderId="3" xfId="0" applyFont="1" applyFill="1" applyBorder="1" applyAlignment="1">
      <alignment horizontal="left" vertical="center" wrapText="1"/>
    </xf>
    <xf numFmtId="0" fontId="67" fillId="0" borderId="0" xfId="0" applyFont="1" applyBorder="1" applyAlignment="1">
      <alignment horizontal="center" vertical="center" wrapText="1"/>
    </xf>
    <xf numFmtId="0" fontId="101" fillId="0" borderId="0" xfId="0" applyFont="1">
      <alignment vertical="center"/>
    </xf>
    <xf numFmtId="0" fontId="0" fillId="0" borderId="0" xfId="0" applyAlignment="1">
      <alignment vertical="center"/>
    </xf>
    <xf numFmtId="0" fontId="98" fillId="0" borderId="2" xfId="0" applyFont="1" applyBorder="1" applyAlignment="1">
      <alignment horizontal="center" vertical="center"/>
    </xf>
    <xf numFmtId="0" fontId="6" fillId="0" borderId="3" xfId="0" applyFont="1" applyBorder="1" applyAlignment="1">
      <alignment horizontal="center" vertical="center" wrapText="1"/>
    </xf>
    <xf numFmtId="177" fontId="102" fillId="3" borderId="15" xfId="0" applyNumberFormat="1" applyFont="1" applyFill="1" applyBorder="1" applyAlignment="1">
      <alignment horizontal="center" vertical="center" wrapText="1"/>
    </xf>
    <xf numFmtId="0" fontId="95" fillId="3" borderId="12" xfId="0" applyFont="1" applyFill="1" applyBorder="1" applyAlignment="1">
      <alignment horizontal="center" vertical="center" wrapText="1"/>
    </xf>
    <xf numFmtId="0" fontId="95" fillId="3" borderId="12" xfId="0" applyFont="1" applyFill="1" applyBorder="1" applyAlignment="1">
      <alignment horizontal="center" vertical="center"/>
    </xf>
    <xf numFmtId="0" fontId="6" fillId="8" borderId="3" xfId="0" applyFont="1" applyFill="1" applyBorder="1" applyAlignment="1">
      <alignment horizontal="center" vertical="center" wrapText="1"/>
    </xf>
    <xf numFmtId="177" fontId="5" fillId="3" borderId="21" xfId="0" applyNumberFormat="1" applyFont="1" applyFill="1" applyBorder="1" applyAlignment="1">
      <alignment horizontal="center" vertical="center" wrapText="1"/>
    </xf>
    <xf numFmtId="0" fontId="29" fillId="3" borderId="3" xfId="9" applyFont="1" applyFill="1" applyBorder="1" applyAlignment="1">
      <alignment horizontal="center" vertical="center" wrapText="1"/>
    </xf>
    <xf numFmtId="182" fontId="12" fillId="3" borderId="16" xfId="0" applyNumberFormat="1" applyFont="1" applyFill="1" applyBorder="1" applyAlignment="1">
      <alignment horizontal="center" vertical="center"/>
    </xf>
    <xf numFmtId="182" fontId="12" fillId="3" borderId="19" xfId="0" applyNumberFormat="1" applyFont="1" applyFill="1" applyBorder="1" applyAlignment="1">
      <alignment horizontal="center" vertical="center"/>
    </xf>
    <xf numFmtId="177" fontId="5" fillId="3" borderId="12" xfId="0" applyNumberFormat="1" applyFont="1" applyFill="1" applyBorder="1" applyAlignment="1">
      <alignment horizontal="center" vertical="center" wrapText="1"/>
    </xf>
    <xf numFmtId="0" fontId="103" fillId="0" borderId="28" xfId="0" applyFont="1" applyBorder="1" applyAlignment="1">
      <alignment horizontal="center" vertical="center" wrapText="1"/>
    </xf>
    <xf numFmtId="0" fontId="103" fillId="0" borderId="24" xfId="0" applyFont="1" applyBorder="1" applyAlignment="1">
      <alignment horizontal="center" vertical="center" wrapText="1"/>
    </xf>
    <xf numFmtId="0" fontId="95" fillId="3" borderId="25" xfId="0" applyFont="1" applyFill="1" applyBorder="1" applyAlignment="1">
      <alignment horizontal="left" vertical="center" wrapText="1"/>
    </xf>
    <xf numFmtId="0" fontId="101" fillId="0" borderId="0" xfId="0" applyFont="1" applyAlignment="1">
      <alignment vertical="center"/>
    </xf>
    <xf numFmtId="181" fontId="8" fillId="0" borderId="3" xfId="0" applyNumberFormat="1" applyFont="1" applyFill="1" applyBorder="1" applyAlignment="1">
      <alignment horizontal="center" vertical="center" wrapText="1"/>
    </xf>
    <xf numFmtId="43" fontId="8" fillId="0" borderId="16" xfId="22" applyFont="1" applyBorder="1" applyAlignment="1">
      <alignment vertical="center"/>
    </xf>
    <xf numFmtId="181" fontId="8" fillId="0" borderId="17" xfId="0" applyNumberFormat="1" applyFont="1" applyFill="1" applyBorder="1" applyAlignment="1">
      <alignment horizontal="center" vertical="center"/>
    </xf>
    <xf numFmtId="43" fontId="8" fillId="0" borderId="19" xfId="22" applyFont="1" applyBorder="1" applyAlignment="1">
      <alignment vertical="center"/>
    </xf>
    <xf numFmtId="0" fontId="6" fillId="3" borderId="28" xfId="0" applyFont="1" applyFill="1" applyBorder="1" applyAlignment="1">
      <alignment horizontal="left" vertical="center" wrapText="1"/>
    </xf>
    <xf numFmtId="181" fontId="8" fillId="0" borderId="3" xfId="22" applyNumberFormat="1" applyFont="1" applyBorder="1" applyAlignment="1" applyProtection="1">
      <alignment horizontal="center" vertical="center"/>
    </xf>
    <xf numFmtId="43" fontId="8" fillId="0" borderId="3" xfId="22" applyFont="1" applyBorder="1" applyAlignment="1" applyProtection="1">
      <alignment horizontal="center" vertical="center"/>
    </xf>
    <xf numFmtId="181" fontId="8" fillId="0" borderId="3" xfId="0" applyNumberFormat="1" applyFont="1" applyFill="1" applyBorder="1" applyAlignment="1">
      <alignment horizontal="center" vertical="center"/>
    </xf>
    <xf numFmtId="43" fontId="8" fillId="0" borderId="3" xfId="22" applyFont="1" applyBorder="1" applyAlignment="1">
      <alignment horizontal="center" vertical="center"/>
    </xf>
    <xf numFmtId="181" fontId="8" fillId="0" borderId="12" xfId="0" applyNumberFormat="1" applyFont="1" applyFill="1" applyBorder="1" applyAlignment="1">
      <alignment horizontal="center" vertical="center"/>
    </xf>
    <xf numFmtId="43" fontId="8" fillId="0" borderId="28" xfId="22" applyFont="1" applyBorder="1" applyAlignment="1">
      <alignment horizontal="center" vertical="center"/>
    </xf>
    <xf numFmtId="0" fontId="6" fillId="10" borderId="3" xfId="0" applyFont="1" applyFill="1" applyBorder="1" applyAlignment="1">
      <alignment horizontal="left" vertical="center" wrapText="1"/>
    </xf>
    <xf numFmtId="0" fontId="1" fillId="0" borderId="2" xfId="0" applyFont="1" applyBorder="1" applyAlignment="1">
      <alignment horizontal="justify" vertical="center"/>
    </xf>
    <xf numFmtId="184" fontId="6" fillId="3" borderId="3" xfId="0" applyNumberFormat="1" applyFont="1" applyFill="1" applyBorder="1" applyAlignment="1">
      <alignment horizontal="center" vertical="center" wrapText="1"/>
    </xf>
    <xf numFmtId="184" fontId="29" fillId="3" borderId="3" xfId="0" applyNumberFormat="1" applyFont="1" applyFill="1" applyBorder="1" applyAlignment="1">
      <alignment horizontal="center" vertical="center" wrapText="1"/>
    </xf>
    <xf numFmtId="177" fontId="5" fillId="3" borderId="17" xfId="0" applyNumberFormat="1" applyFont="1" applyFill="1" applyBorder="1" applyAlignment="1">
      <alignment horizontal="center" vertical="center" wrapText="1"/>
    </xf>
    <xf numFmtId="176" fontId="1" fillId="0" borderId="3" xfId="0" applyNumberFormat="1" applyFont="1" applyBorder="1" applyAlignment="1">
      <alignment horizontal="center" vertical="center"/>
    </xf>
    <xf numFmtId="176" fontId="1" fillId="0" borderId="3" xfId="17" applyNumberFormat="1" applyFont="1" applyFill="1" applyBorder="1" applyAlignment="1">
      <alignment horizontal="center" vertical="center" wrapText="1"/>
    </xf>
    <xf numFmtId="176" fontId="9" fillId="0" borderId="3" xfId="0" applyNumberFormat="1" applyFont="1" applyBorder="1" applyAlignment="1">
      <alignment horizontal="left" vertical="center" wrapText="1"/>
    </xf>
    <xf numFmtId="0" fontId="9" fillId="0" borderId="7" xfId="0" applyFont="1" applyBorder="1" applyAlignment="1">
      <alignment horizontal="left" vertical="center" wrapText="1"/>
    </xf>
    <xf numFmtId="176" fontId="1" fillId="0" borderId="3" xfId="13" applyNumberFormat="1" applyFont="1" applyFill="1" applyBorder="1" applyAlignment="1">
      <alignment horizontal="center" vertical="center" wrapText="1"/>
    </xf>
    <xf numFmtId="176" fontId="6" fillId="0" borderId="3" xfId="0" applyNumberFormat="1" applyFont="1" applyFill="1" applyBorder="1" applyAlignment="1">
      <alignment horizontal="center" vertical="center"/>
    </xf>
    <xf numFmtId="0" fontId="12" fillId="3" borderId="7" xfId="0" applyFont="1" applyFill="1" applyBorder="1" applyAlignment="1">
      <alignment horizontal="left" vertical="center" wrapText="1"/>
    </xf>
    <xf numFmtId="0" fontId="12" fillId="3" borderId="25" xfId="0" applyFont="1" applyFill="1" applyBorder="1" applyAlignment="1">
      <alignment horizontal="left" vertical="center" wrapText="1"/>
    </xf>
    <xf numFmtId="176" fontId="6" fillId="3" borderId="17" xfId="0" applyNumberFormat="1" applyFont="1" applyFill="1" applyBorder="1" applyAlignment="1">
      <alignment horizontal="center" vertical="center"/>
    </xf>
    <xf numFmtId="0" fontId="12" fillId="3" borderId="17" xfId="0" applyFont="1" applyFill="1" applyBorder="1" applyAlignment="1">
      <alignment horizontal="left" vertical="center" wrapText="1"/>
    </xf>
    <xf numFmtId="177" fontId="5" fillId="3" borderId="31" xfId="0" applyNumberFormat="1" applyFont="1" applyFill="1" applyBorder="1" applyAlignment="1">
      <alignment horizontal="center" vertical="center" wrapText="1"/>
    </xf>
    <xf numFmtId="0" fontId="12" fillId="3" borderId="3" xfId="0" applyFont="1" applyFill="1" applyBorder="1" applyAlignment="1">
      <alignment horizontal="center" vertical="center" wrapText="1"/>
    </xf>
    <xf numFmtId="0" fontId="8" fillId="0" borderId="2" xfId="0" applyFont="1" applyBorder="1" applyAlignment="1">
      <alignment horizontal="center" vertical="center"/>
    </xf>
    <xf numFmtId="177" fontId="6" fillId="3" borderId="15" xfId="0" applyNumberFormat="1" applyFont="1" applyFill="1" applyBorder="1" applyAlignment="1">
      <alignment horizontal="center" vertical="center"/>
    </xf>
    <xf numFmtId="177" fontId="6" fillId="3" borderId="21" xfId="0" applyNumberFormat="1" applyFont="1" applyFill="1" applyBorder="1" applyAlignment="1">
      <alignment horizontal="center" vertical="center"/>
    </xf>
    <xf numFmtId="49" fontId="24" fillId="0" borderId="3" xfId="8" applyNumberFormat="1" applyFont="1" applyBorder="1" applyAlignment="1">
      <alignment horizontal="center" vertical="center" wrapText="1"/>
    </xf>
    <xf numFmtId="0" fontId="17" fillId="0" borderId="7" xfId="0" applyFont="1" applyFill="1" applyBorder="1" applyAlignment="1">
      <alignment horizontal="left" vertical="center" wrapText="1"/>
    </xf>
    <xf numFmtId="0" fontId="0" fillId="3" borderId="13" xfId="0" applyFill="1" applyBorder="1" applyAlignment="1"/>
    <xf numFmtId="0" fontId="17" fillId="3" borderId="25" xfId="0" applyFont="1" applyFill="1" applyBorder="1" applyAlignment="1">
      <alignment horizontal="left" vertical="center" wrapText="1"/>
    </xf>
    <xf numFmtId="0" fontId="8" fillId="0" borderId="3" xfId="14" applyFont="1" applyBorder="1" applyAlignment="1">
      <alignment vertical="center" wrapText="1"/>
    </xf>
    <xf numFmtId="177" fontId="6" fillId="0" borderId="15" xfId="0" applyNumberFormat="1" applyFont="1" applyFill="1" applyBorder="1" applyAlignment="1">
      <alignment horizontal="center" vertical="center"/>
    </xf>
    <xf numFmtId="0" fontId="32" fillId="0" borderId="7" xfId="0" applyFont="1" applyFill="1" applyBorder="1" applyAlignment="1">
      <alignment horizontal="left" vertical="center" wrapText="1"/>
    </xf>
    <xf numFmtId="0" fontId="9" fillId="0" borderId="25" xfId="0" applyFont="1" applyBorder="1" applyAlignment="1">
      <alignment vertical="center" wrapText="1"/>
    </xf>
    <xf numFmtId="0" fontId="1" fillId="0" borderId="7" xfId="17" applyFont="1" applyFill="1" applyBorder="1" applyAlignment="1">
      <alignment vertical="center"/>
    </xf>
    <xf numFmtId="0" fontId="5" fillId="0" borderId="8" xfId="0" applyFont="1" applyFill="1" applyBorder="1" applyAlignment="1">
      <alignment horizontal="left" vertical="center" wrapText="1"/>
    </xf>
    <xf numFmtId="177" fontId="2" fillId="0" borderId="2" xfId="0" applyNumberFormat="1" applyFont="1" applyFill="1" applyBorder="1" applyAlignment="1">
      <alignment horizontal="center" vertical="center" wrapText="1"/>
    </xf>
    <xf numFmtId="177" fontId="6" fillId="0" borderId="20" xfId="0" applyNumberFormat="1" applyFont="1" applyFill="1" applyBorder="1" applyAlignment="1">
      <alignment horizontal="center" vertical="center"/>
    </xf>
    <xf numFmtId="0" fontId="6" fillId="3" borderId="28" xfId="0" applyFont="1" applyFill="1" applyBorder="1" applyAlignment="1">
      <alignment horizontal="center" vertical="center" wrapText="1"/>
    </xf>
    <xf numFmtId="0" fontId="8" fillId="0" borderId="7" xfId="0" applyFont="1" applyBorder="1" applyAlignment="1">
      <alignment wrapText="1"/>
    </xf>
    <xf numFmtId="0" fontId="6" fillId="0" borderId="7" xfId="16" applyFont="1" applyFill="1" applyBorder="1" applyAlignment="1">
      <alignment horizontal="center" vertical="center"/>
    </xf>
    <xf numFmtId="0" fontId="12" fillId="0" borderId="7" xfId="0" applyFont="1" applyFill="1" applyBorder="1" applyAlignment="1">
      <alignment horizontal="left" vertical="center" wrapText="1"/>
    </xf>
    <xf numFmtId="0" fontId="6" fillId="0" borderId="3" xfId="0" applyFont="1" applyFill="1" applyBorder="1" applyAlignment="1">
      <alignment horizontal="left" vertical="center" wrapText="1"/>
    </xf>
    <xf numFmtId="0" fontId="6" fillId="3" borderId="42" xfId="0" applyFont="1" applyFill="1" applyBorder="1" applyAlignment="1">
      <alignment horizontal="left" vertical="center" wrapText="1"/>
    </xf>
    <xf numFmtId="177" fontId="6" fillId="2" borderId="2" xfId="0" applyNumberFormat="1" applyFont="1" applyFill="1" applyBorder="1" applyAlignment="1">
      <alignment horizontal="center" vertical="center"/>
    </xf>
    <xf numFmtId="0" fontId="6" fillId="2" borderId="3" xfId="0" applyFont="1" applyFill="1" applyBorder="1" applyAlignment="1">
      <alignment horizontal="center" vertical="center" wrapText="1"/>
    </xf>
    <xf numFmtId="177" fontId="6" fillId="8" borderId="2" xfId="0" applyNumberFormat="1" applyFont="1" applyFill="1" applyBorder="1" applyAlignment="1">
      <alignment horizontal="center" vertical="center"/>
    </xf>
    <xf numFmtId="0" fontId="29" fillId="2" borderId="3" xfId="0" applyFont="1" applyFill="1" applyBorder="1" applyAlignment="1">
      <alignment horizontal="center" vertical="center" wrapText="1"/>
    </xf>
    <xf numFmtId="0" fontId="6" fillId="14" borderId="3" xfId="0" applyFont="1" applyFill="1" applyBorder="1" applyAlignment="1">
      <alignment horizontal="center" vertical="center" wrapText="1"/>
    </xf>
    <xf numFmtId="0" fontId="29" fillId="16" borderId="3" xfId="0" applyFont="1" applyFill="1" applyBorder="1" applyAlignment="1">
      <alignment horizontal="center" vertical="center" wrapText="1"/>
    </xf>
    <xf numFmtId="0" fontId="29" fillId="8" borderId="3" xfId="0" applyFont="1" applyFill="1" applyBorder="1" applyAlignment="1">
      <alignment horizontal="center" vertical="center" wrapText="1"/>
    </xf>
    <xf numFmtId="177" fontId="6" fillId="9" borderId="15" xfId="0" applyNumberFormat="1" applyFont="1" applyFill="1" applyBorder="1" applyAlignment="1">
      <alignment horizontal="center" vertical="center"/>
    </xf>
    <xf numFmtId="0" fontId="29" fillId="9" borderId="3" xfId="0" applyFont="1" applyFill="1" applyBorder="1" applyAlignment="1">
      <alignment horizontal="center" vertical="center" wrapText="1"/>
    </xf>
    <xf numFmtId="0" fontId="29" fillId="3" borderId="12" xfId="0" applyFont="1" applyFill="1" applyBorder="1" applyAlignment="1">
      <alignment horizontal="center" vertical="center" wrapText="1"/>
    </xf>
    <xf numFmtId="0" fontId="8" fillId="0" borderId="0" xfId="0" applyFont="1" applyBorder="1" applyAlignment="1">
      <alignment wrapText="1"/>
    </xf>
    <xf numFmtId="0" fontId="6" fillId="0" borderId="0" xfId="0" applyFont="1" applyFill="1" applyBorder="1" applyAlignment="1"/>
    <xf numFmtId="0" fontId="5" fillId="8" borderId="7" xfId="0" applyFont="1" applyFill="1" applyBorder="1" applyAlignment="1">
      <alignment horizontal="left" vertical="center" wrapText="1"/>
    </xf>
    <xf numFmtId="0" fontId="6" fillId="8" borderId="0" xfId="0" applyFont="1" applyFill="1" applyBorder="1" applyAlignment="1"/>
    <xf numFmtId="0" fontId="8" fillId="0" borderId="6" xfId="0" applyFont="1" applyBorder="1" applyAlignment="1">
      <alignment vertical="center"/>
    </xf>
    <xf numFmtId="0" fontId="8" fillId="0" borderId="1" xfId="0" applyFont="1" applyBorder="1" applyAlignment="1">
      <alignment vertical="center"/>
    </xf>
    <xf numFmtId="0" fontId="0" fillId="0" borderId="2" xfId="0" applyFont="1" applyBorder="1" applyAlignment="1">
      <alignment horizontal="center" vertical="center"/>
    </xf>
    <xf numFmtId="0" fontId="1" fillId="0" borderId="1" xfId="0" applyFont="1" applyBorder="1" applyAlignment="1">
      <alignment horizontal="center" vertical="center" wrapText="1"/>
    </xf>
    <xf numFmtId="0" fontId="11" fillId="0" borderId="9" xfId="0" applyFont="1" applyBorder="1" applyAlignment="1">
      <alignment vertical="center" wrapText="1"/>
    </xf>
    <xf numFmtId="0" fontId="0" fillId="0" borderId="7" xfId="0" applyFont="1" applyBorder="1" applyAlignment="1">
      <alignment vertical="center" wrapText="1"/>
    </xf>
    <xf numFmtId="0" fontId="1" fillId="0" borderId="7" xfId="0" applyFont="1" applyBorder="1" applyAlignment="1">
      <alignment horizontal="center" vertical="center" wrapText="1"/>
    </xf>
    <xf numFmtId="44" fontId="8" fillId="0" borderId="7" xfId="21" applyFont="1" applyBorder="1" applyAlignment="1">
      <alignment horizontal="left" vertical="center" wrapText="1"/>
    </xf>
    <xf numFmtId="0" fontId="6" fillId="0" borderId="7" xfId="13" applyFont="1" applyFill="1" applyBorder="1" applyAlignment="1">
      <alignment horizontal="left" vertical="center"/>
    </xf>
    <xf numFmtId="0" fontId="6" fillId="0" borderId="25" xfId="13" applyFont="1" applyFill="1" applyBorder="1" applyAlignment="1">
      <alignment horizontal="left" vertical="center"/>
    </xf>
    <xf numFmtId="0" fontId="6" fillId="0" borderId="25" xfId="13" applyNumberFormat="1" applyFont="1" applyFill="1" applyBorder="1" applyAlignment="1">
      <alignment horizontal="left" vertical="center"/>
    </xf>
    <xf numFmtId="0" fontId="6" fillId="3" borderId="25" xfId="13" applyFont="1" applyFill="1" applyBorder="1" applyAlignment="1">
      <alignment horizontal="left" vertical="center"/>
    </xf>
    <xf numFmtId="0" fontId="29" fillId="3" borderId="25" xfId="13" applyFont="1" applyFill="1" applyBorder="1" applyAlignment="1">
      <alignment horizontal="left" vertical="center"/>
    </xf>
    <xf numFmtId="0" fontId="12" fillId="3" borderId="25" xfId="13" applyFont="1" applyFill="1" applyBorder="1" applyAlignment="1">
      <alignment horizontal="left" vertical="center"/>
    </xf>
    <xf numFmtId="0" fontId="12" fillId="8" borderId="25" xfId="13" applyFont="1" applyFill="1" applyBorder="1" applyAlignment="1">
      <alignment horizontal="left" vertical="center"/>
    </xf>
    <xf numFmtId="44" fontId="8" fillId="0" borderId="27" xfId="21" applyFont="1" applyBorder="1" applyAlignment="1">
      <alignment vertical="center" wrapText="1"/>
    </xf>
    <xf numFmtId="0" fontId="6" fillId="0" borderId="25" xfId="13" applyFont="1" applyFill="1" applyBorder="1" applyAlignment="1">
      <alignment horizontal="left" vertical="center" wrapText="1"/>
    </xf>
    <xf numFmtId="0" fontId="9" fillId="0" borderId="22" xfId="0" applyFont="1" applyBorder="1" applyAlignment="1">
      <alignment vertical="center"/>
    </xf>
    <xf numFmtId="31" fontId="9" fillId="0" borderId="12" xfId="0" applyNumberFormat="1" applyFont="1" applyBorder="1" applyAlignment="1">
      <alignment vertical="center"/>
    </xf>
    <xf numFmtId="0" fontId="9" fillId="0" borderId="12" xfId="0" applyFont="1" applyBorder="1" applyAlignment="1">
      <alignment horizontal="center" vertical="center"/>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2" xfId="16" applyFont="1" applyBorder="1" applyAlignment="1">
      <alignment horizontal="center" vertical="center"/>
    </xf>
    <xf numFmtId="0" fontId="9" fillId="0" borderId="3" xfId="13" applyFont="1" applyBorder="1" applyAlignment="1">
      <alignment horizontal="center" vertical="center" wrapText="1"/>
    </xf>
    <xf numFmtId="0" fontId="9" fillId="0" borderId="3" xfId="0" applyFont="1" applyFill="1" applyBorder="1" applyAlignment="1">
      <alignment horizontal="center" vertical="center" wrapText="1"/>
    </xf>
    <xf numFmtId="0" fontId="9" fillId="0" borderId="3" xfId="13" applyNumberFormat="1" applyFont="1" applyBorder="1" applyAlignment="1">
      <alignment horizontal="center" vertical="center" wrapText="1"/>
    </xf>
    <xf numFmtId="57" fontId="6" fillId="2" borderId="2" xfId="16" applyNumberFormat="1" applyFont="1" applyFill="1" applyBorder="1" applyAlignment="1">
      <alignment horizontal="center" vertical="center"/>
    </xf>
    <xf numFmtId="0" fontId="6" fillId="2" borderId="3" xfId="13" applyFont="1" applyFill="1" applyBorder="1" applyAlignment="1">
      <alignment horizontal="center" vertical="center" wrapText="1"/>
    </xf>
    <xf numFmtId="0" fontId="6" fillId="2" borderId="3" xfId="13" applyNumberFormat="1" applyFont="1" applyFill="1" applyBorder="1" applyAlignment="1">
      <alignment horizontal="center" vertical="center" wrapText="1"/>
    </xf>
    <xf numFmtId="57" fontId="6" fillId="3" borderId="20" xfId="16" applyNumberFormat="1" applyFont="1" applyFill="1" applyBorder="1" applyAlignment="1">
      <alignment horizontal="center" vertical="center"/>
    </xf>
    <xf numFmtId="0" fontId="12" fillId="3" borderId="3" xfId="13" applyFont="1" applyFill="1" applyBorder="1" applyAlignment="1">
      <alignment horizontal="left" vertical="center"/>
    </xf>
    <xf numFmtId="57" fontId="6" fillId="3" borderId="12" xfId="13" applyNumberFormat="1" applyFont="1" applyFill="1" applyBorder="1" applyAlignment="1">
      <alignment horizontal="center" vertical="center" wrapText="1"/>
    </xf>
    <xf numFmtId="0" fontId="9" fillId="0" borderId="3" xfId="17" applyFont="1" applyFill="1" applyBorder="1" applyAlignment="1">
      <alignment vertical="center"/>
    </xf>
    <xf numFmtId="0" fontId="9" fillId="0" borderId="7" xfId="17" applyFont="1" applyFill="1" applyBorder="1" applyAlignment="1">
      <alignment horizontal="center" vertical="center" wrapText="1"/>
    </xf>
    <xf numFmtId="0" fontId="9" fillId="0" borderId="3" xfId="13" applyFont="1" applyFill="1" applyBorder="1" applyAlignment="1">
      <alignment horizontal="center" vertical="center" wrapText="1"/>
    </xf>
    <xf numFmtId="0" fontId="9" fillId="0" borderId="7" xfId="16" applyFont="1" applyBorder="1" applyAlignment="1">
      <alignment horizontal="center" vertical="center"/>
    </xf>
    <xf numFmtId="0" fontId="6" fillId="2" borderId="7" xfId="16" applyFont="1" applyFill="1" applyBorder="1" applyAlignment="1">
      <alignment horizontal="center" vertical="center"/>
    </xf>
    <xf numFmtId="0" fontId="3" fillId="3" borderId="0" xfId="16" applyFont="1" applyFill="1" applyBorder="1" applyAlignment="1">
      <alignment horizontal="center" vertical="center"/>
    </xf>
    <xf numFmtId="0" fontId="29" fillId="3" borderId="7" xfId="16" applyFont="1" applyFill="1" applyBorder="1" applyAlignment="1">
      <alignment horizontal="left" vertical="center"/>
    </xf>
    <xf numFmtId="0" fontId="29" fillId="3" borderId="7" xfId="16" applyFont="1" applyFill="1" applyBorder="1" applyAlignment="1">
      <alignment horizontal="center" vertical="center"/>
    </xf>
    <xf numFmtId="0" fontId="12" fillId="3" borderId="25" xfId="16" applyFont="1" applyFill="1" applyBorder="1" applyAlignment="1">
      <alignment horizontal="center" vertical="center"/>
    </xf>
    <xf numFmtId="0" fontId="3" fillId="0" borderId="12" xfId="0" applyFont="1" applyBorder="1" applyAlignment="1">
      <alignment vertical="center" wrapText="1"/>
    </xf>
    <xf numFmtId="0" fontId="0" fillId="0" borderId="12" xfId="0" applyBorder="1" applyAlignment="1">
      <alignment vertical="center" wrapText="1"/>
    </xf>
    <xf numFmtId="0" fontId="0" fillId="0" borderId="12" xfId="0" applyFont="1" applyBorder="1" applyAlignment="1">
      <alignment vertical="center" wrapText="1"/>
    </xf>
    <xf numFmtId="9" fontId="1" fillId="0" borderId="14" xfId="0" applyNumberFormat="1" applyFont="1" applyBorder="1" applyAlignment="1">
      <alignment horizontal="center" vertical="center" wrapText="1"/>
    </xf>
    <xf numFmtId="57" fontId="3" fillId="3" borderId="31" xfId="0" applyNumberFormat="1" applyFont="1" applyFill="1" applyBorder="1" applyAlignment="1">
      <alignment horizontal="center" vertical="center" wrapText="1"/>
    </xf>
    <xf numFmtId="0" fontId="3" fillId="3" borderId="32" xfId="0" applyFont="1" applyFill="1" applyBorder="1" applyAlignment="1">
      <alignment horizontal="center" vertical="center"/>
    </xf>
    <xf numFmtId="176" fontId="69" fillId="3" borderId="14" xfId="0" applyNumberFormat="1" applyFont="1" applyFill="1" applyBorder="1" applyAlignment="1">
      <alignment horizontal="center" vertical="center"/>
    </xf>
    <xf numFmtId="0" fontId="3" fillId="3" borderId="16" xfId="0" applyFont="1" applyFill="1" applyBorder="1" applyAlignment="1">
      <alignment horizontal="center" vertical="center"/>
    </xf>
    <xf numFmtId="57" fontId="3" fillId="3" borderId="3" xfId="0" applyNumberFormat="1" applyFont="1" applyFill="1" applyBorder="1" applyAlignment="1">
      <alignment horizontal="center" vertical="center" wrapText="1"/>
    </xf>
    <xf numFmtId="176" fontId="69" fillId="3" borderId="3" xfId="0" applyNumberFormat="1" applyFont="1" applyFill="1" applyBorder="1" applyAlignment="1">
      <alignment horizontal="center" vertical="center"/>
    </xf>
    <xf numFmtId="0" fontId="69" fillId="3" borderId="17" xfId="0" applyFont="1" applyFill="1" applyBorder="1" applyAlignment="1">
      <alignment horizontal="center" vertical="center"/>
    </xf>
    <xf numFmtId="176" fontId="3" fillId="3" borderId="3" xfId="0" applyNumberFormat="1" applyFont="1" applyFill="1" applyBorder="1" applyAlignment="1">
      <alignment horizontal="center" vertical="center"/>
    </xf>
    <xf numFmtId="0" fontId="3" fillId="3" borderId="19" xfId="13" applyFont="1" applyFill="1" applyBorder="1" applyAlignment="1">
      <alignment horizontal="center" vertical="center" wrapText="1"/>
    </xf>
    <xf numFmtId="0" fontId="69" fillId="3" borderId="3" xfId="0" applyFont="1" applyFill="1" applyBorder="1" applyAlignment="1">
      <alignment horizontal="center" vertical="center"/>
    </xf>
    <xf numFmtId="176" fontId="29" fillId="10" borderId="3" xfId="0" applyNumberFormat="1" applyFont="1" applyFill="1" applyBorder="1" applyAlignment="1">
      <alignment horizontal="center" vertical="center"/>
    </xf>
    <xf numFmtId="0" fontId="1" fillId="0" borderId="0" xfId="16" applyFont="1" applyFill="1" applyBorder="1" applyAlignment="1">
      <alignment horizontal="center" vertical="center"/>
    </xf>
    <xf numFmtId="0" fontId="1" fillId="0" borderId="0" xfId="13" applyFont="1" applyFill="1" applyBorder="1" applyAlignment="1">
      <alignment horizontal="center" vertical="center" wrapText="1"/>
    </xf>
    <xf numFmtId="57" fontId="29" fillId="0" borderId="0" xfId="0" applyNumberFormat="1" applyFont="1" applyFill="1" applyBorder="1" applyAlignment="1">
      <alignment horizontal="center" vertical="center" wrapText="1"/>
    </xf>
    <xf numFmtId="0" fontId="3" fillId="0" borderId="0" xfId="13" applyFont="1" applyFill="1" applyBorder="1" applyAlignment="1">
      <alignment horizontal="center" vertical="center" wrapText="1"/>
    </xf>
    <xf numFmtId="57" fontId="29" fillId="0" borderId="0" xfId="0" applyNumberFormat="1" applyFont="1" applyFill="1" applyBorder="1" applyAlignment="1">
      <alignment horizontal="center" vertical="center"/>
    </xf>
    <xf numFmtId="176" fontId="29" fillId="0" borderId="0" xfId="0" applyNumberFormat="1" applyFont="1" applyFill="1" applyBorder="1" applyAlignment="1">
      <alignment horizontal="center" vertical="center"/>
    </xf>
    <xf numFmtId="0" fontId="9" fillId="0" borderId="46"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48" xfId="0" applyFont="1" applyBorder="1" applyAlignment="1">
      <alignment horizontal="center" vertical="center" wrapText="1"/>
    </xf>
    <xf numFmtId="0" fontId="0" fillId="15" borderId="3" xfId="0" applyFill="1" applyBorder="1">
      <alignment vertical="center"/>
    </xf>
    <xf numFmtId="0" fontId="0" fillId="17" borderId="3" xfId="0" applyFill="1" applyBorder="1">
      <alignment vertical="center"/>
    </xf>
    <xf numFmtId="0" fontId="0" fillId="14" borderId="3" xfId="0" applyFill="1" applyBorder="1">
      <alignment vertical="center"/>
    </xf>
    <xf numFmtId="0" fontId="0" fillId="8" borderId="3" xfId="0" applyFill="1" applyBorder="1">
      <alignment vertical="center"/>
    </xf>
    <xf numFmtId="0" fontId="0" fillId="16" borderId="3" xfId="0" applyFill="1" applyBorder="1">
      <alignment vertical="center"/>
    </xf>
    <xf numFmtId="0" fontId="0" fillId="11" borderId="3" xfId="0" applyFill="1" applyBorder="1">
      <alignment vertical="center"/>
    </xf>
    <xf numFmtId="0" fontId="0" fillId="0" borderId="17" xfId="0" applyBorder="1" applyAlignment="1">
      <alignment horizontal="center" vertical="center"/>
    </xf>
    <xf numFmtId="0" fontId="99" fillId="3" borderId="0" xfId="0" applyFont="1" applyFill="1">
      <alignment vertical="center"/>
    </xf>
    <xf numFmtId="0" fontId="3" fillId="2" borderId="12" xfId="0" applyNumberFormat="1" applyFont="1" applyFill="1" applyBorder="1" applyAlignment="1">
      <alignment vertical="center" wrapText="1"/>
    </xf>
    <xf numFmtId="57" fontId="6" fillId="10" borderId="3" xfId="0" applyNumberFormat="1" applyFont="1" applyFill="1" applyBorder="1" applyAlignment="1">
      <alignment horizontal="center" vertical="center" wrapText="1"/>
    </xf>
    <xf numFmtId="176" fontId="6" fillId="10" borderId="3" xfId="0" applyNumberFormat="1" applyFont="1" applyFill="1" applyBorder="1" applyAlignment="1">
      <alignment horizontal="center" vertical="center"/>
    </xf>
    <xf numFmtId="57" fontId="6" fillId="10" borderId="15" xfId="0" applyNumberFormat="1" applyFont="1" applyFill="1" applyBorder="1" applyAlignment="1">
      <alignment horizontal="center" vertical="center" wrapText="1"/>
    </xf>
    <xf numFmtId="185" fontId="0" fillId="0" borderId="0" xfId="0" applyNumberFormat="1">
      <alignment vertical="center"/>
    </xf>
    <xf numFmtId="0" fontId="36" fillId="10" borderId="3" xfId="0" applyFont="1" applyFill="1" applyBorder="1" applyAlignment="1">
      <alignment horizontal="center" vertical="center" wrapText="1"/>
    </xf>
    <xf numFmtId="0" fontId="36" fillId="10" borderId="7" xfId="0" applyFont="1" applyFill="1" applyBorder="1" applyAlignment="1">
      <alignment horizontal="center" vertical="center" wrapText="1"/>
    </xf>
    <xf numFmtId="0" fontId="6" fillId="10" borderId="7" xfId="0" applyFont="1" applyFill="1" applyBorder="1" applyAlignment="1">
      <alignment horizontal="center" vertical="center" wrapText="1"/>
    </xf>
    <xf numFmtId="0" fontId="91" fillId="10" borderId="12" xfId="0" applyFont="1" applyFill="1" applyBorder="1" applyAlignment="1">
      <alignment horizontal="center" vertical="center"/>
    </xf>
    <xf numFmtId="0" fontId="91" fillId="10" borderId="25" xfId="0" applyFont="1" applyFill="1" applyBorder="1" applyAlignment="1">
      <alignment horizontal="center" vertical="center"/>
    </xf>
    <xf numFmtId="0" fontId="6" fillId="12" borderId="3" xfId="0" applyFont="1" applyFill="1" applyBorder="1" applyAlignment="1">
      <alignment horizontal="center" vertical="center"/>
    </xf>
    <xf numFmtId="0" fontId="6" fillId="12" borderId="3" xfId="0" applyFont="1" applyFill="1" applyBorder="1" applyAlignment="1">
      <alignment horizontal="center" vertical="center" wrapText="1"/>
    </xf>
    <xf numFmtId="0" fontId="36" fillId="3" borderId="14" xfId="0" applyFont="1" applyFill="1" applyBorder="1" applyAlignment="1">
      <alignment horizontal="center" vertical="center" wrapText="1"/>
    </xf>
    <xf numFmtId="0" fontId="90" fillId="0" borderId="0" xfId="0" applyFont="1" applyFill="1" applyBorder="1" applyAlignment="1">
      <alignment horizontal="center" vertical="center"/>
    </xf>
    <xf numFmtId="14" fontId="104" fillId="0" borderId="3" xfId="0" applyNumberFormat="1" applyFont="1" applyFill="1" applyBorder="1" applyAlignment="1">
      <alignment horizontal="center" vertical="center"/>
    </xf>
    <xf numFmtId="14" fontId="90" fillId="0" borderId="3" xfId="0" applyNumberFormat="1" applyFont="1" applyFill="1" applyBorder="1" applyAlignment="1">
      <alignment horizontal="center" vertical="center"/>
    </xf>
    <xf numFmtId="14" fontId="105" fillId="0" borderId="3" xfId="0" applyNumberFormat="1" applyFont="1" applyFill="1" applyBorder="1" applyAlignment="1">
      <alignment horizontal="center" vertical="center"/>
    </xf>
    <xf numFmtId="0" fontId="106" fillId="0" borderId="3" xfId="0" applyFont="1" applyFill="1" applyBorder="1" applyAlignment="1">
      <alignment horizontal="center" vertical="center"/>
    </xf>
    <xf numFmtId="0" fontId="0" fillId="3" borderId="0" xfId="0" applyFill="1" applyAlignment="1">
      <alignment vertical="center"/>
    </xf>
    <xf numFmtId="181" fontId="106" fillId="0" borderId="3" xfId="0" applyNumberFormat="1" applyFont="1" applyFill="1" applyBorder="1" applyAlignment="1">
      <alignment horizontal="center" vertical="center"/>
    </xf>
    <xf numFmtId="0" fontId="106" fillId="0" borderId="3" xfId="0" applyNumberFormat="1" applyFont="1" applyFill="1" applyBorder="1" applyAlignment="1">
      <alignment horizontal="center" vertical="center"/>
    </xf>
    <xf numFmtId="0" fontId="0" fillId="3" borderId="0" xfId="0" applyFill="1" applyBorder="1" applyAlignment="1">
      <alignment vertical="center"/>
    </xf>
    <xf numFmtId="14" fontId="90" fillId="0" borderId="0" xfId="0" applyNumberFormat="1" applyFont="1" applyFill="1" applyBorder="1" applyAlignment="1">
      <alignment horizontal="center" vertical="center"/>
    </xf>
    <xf numFmtId="181" fontId="90" fillId="0" borderId="3" xfId="0" applyNumberFormat="1" applyFont="1" applyFill="1" applyBorder="1" applyAlignment="1">
      <alignment horizontal="center" vertical="center"/>
    </xf>
    <xf numFmtId="57" fontId="6" fillId="0" borderId="15" xfId="0" applyNumberFormat="1" applyFont="1" applyFill="1" applyBorder="1" applyAlignment="1">
      <alignment horizontal="center" vertical="center"/>
    </xf>
    <xf numFmtId="57" fontId="91" fillId="3" borderId="15" xfId="0" applyNumberFormat="1" applyFont="1" applyFill="1" applyBorder="1" applyAlignment="1">
      <alignment horizontal="center" vertical="center" wrapText="1"/>
    </xf>
    <xf numFmtId="0" fontId="36" fillId="0" borderId="3" xfId="0" applyFont="1" applyFill="1" applyBorder="1" applyAlignment="1">
      <alignment horizontal="center" vertical="center" wrapText="1"/>
    </xf>
    <xf numFmtId="0" fontId="36" fillId="0" borderId="7" xfId="0" applyFont="1" applyFill="1" applyBorder="1" applyAlignment="1">
      <alignment horizontal="center" vertical="center" wrapText="1"/>
    </xf>
    <xf numFmtId="0" fontId="91" fillId="3" borderId="25" xfId="0" applyFont="1" applyFill="1" applyBorder="1" applyAlignment="1">
      <alignment horizontal="center" vertical="center"/>
    </xf>
    <xf numFmtId="0" fontId="36" fillId="3" borderId="16" xfId="0" applyFont="1" applyFill="1" applyBorder="1" applyAlignment="1">
      <alignment horizontal="center" vertical="center" wrapText="1"/>
    </xf>
    <xf numFmtId="0" fontId="104" fillId="0" borderId="3" xfId="0" applyFont="1" applyFill="1" applyBorder="1" applyAlignment="1">
      <alignment horizontal="center" vertical="center"/>
    </xf>
    <xf numFmtId="0" fontId="105" fillId="8" borderId="3" xfId="0" applyFont="1" applyFill="1" applyBorder="1" applyAlignment="1">
      <alignment horizontal="center" vertical="center"/>
    </xf>
    <xf numFmtId="0" fontId="105" fillId="0" borderId="3" xfId="0" applyFont="1" applyFill="1" applyBorder="1" applyAlignment="1">
      <alignment horizontal="center" vertical="center"/>
    </xf>
    <xf numFmtId="14" fontId="104" fillId="8" borderId="3" xfId="0" applyNumberFormat="1" applyFont="1" applyFill="1" applyBorder="1" applyAlignment="1">
      <alignment horizontal="center" vertical="center"/>
    </xf>
    <xf numFmtId="0" fontId="90" fillId="8" borderId="3" xfId="0" applyFont="1" applyFill="1" applyBorder="1" applyAlignment="1">
      <alignment horizontal="center" vertical="center"/>
    </xf>
    <xf numFmtId="0" fontId="0" fillId="3" borderId="0" xfId="0" applyFill="1" applyAlignment="1">
      <alignment vertical="center" wrapText="1"/>
    </xf>
    <xf numFmtId="179" fontId="0" fillId="0" borderId="0" xfId="0" applyNumberFormat="1">
      <alignment vertical="center"/>
    </xf>
    <xf numFmtId="0" fontId="3" fillId="3" borderId="12" xfId="0" applyNumberFormat="1" applyFont="1" applyFill="1" applyBorder="1" applyAlignment="1">
      <alignment horizontal="center" vertical="center"/>
    </xf>
    <xf numFmtId="57" fontId="3" fillId="12" borderId="3" xfId="0" applyNumberFormat="1" applyFont="1" applyFill="1" applyBorder="1" applyAlignment="1">
      <alignment horizontal="center" vertical="center" wrapText="1"/>
    </xf>
    <xf numFmtId="0" fontId="3" fillId="12" borderId="3" xfId="0" applyFont="1" applyFill="1" applyBorder="1" applyAlignment="1">
      <alignment horizontal="center" vertical="center"/>
    </xf>
    <xf numFmtId="176" fontId="3" fillId="12" borderId="3" xfId="0" applyNumberFormat="1" applyFont="1" applyFill="1" applyBorder="1" applyAlignment="1">
      <alignment horizontal="center" vertical="center"/>
    </xf>
    <xf numFmtId="176" fontId="69" fillId="12" borderId="3" xfId="0" applyNumberFormat="1" applyFont="1" applyFill="1" applyBorder="1" applyAlignment="1">
      <alignment horizontal="center" vertical="center"/>
    </xf>
    <xf numFmtId="0" fontId="3" fillId="12" borderId="3" xfId="0" applyNumberFormat="1" applyFont="1" applyFill="1" applyBorder="1" applyAlignment="1">
      <alignment horizontal="center" vertical="center"/>
    </xf>
    <xf numFmtId="0" fontId="69" fillId="12" borderId="3" xfId="0" applyFont="1" applyFill="1" applyBorder="1" applyAlignment="1">
      <alignment horizontal="center" vertical="center"/>
    </xf>
    <xf numFmtId="0" fontId="3" fillId="12" borderId="3" xfId="13" applyFont="1" applyFill="1" applyBorder="1" applyAlignment="1">
      <alignment horizontal="center" vertical="center" wrapText="1"/>
    </xf>
    <xf numFmtId="0" fontId="6" fillId="12" borderId="3" xfId="0" applyNumberFormat="1" applyFont="1" applyFill="1" applyBorder="1" applyAlignment="1">
      <alignment vertical="center" wrapText="1"/>
    </xf>
    <xf numFmtId="0" fontId="6" fillId="12" borderId="3" xfId="0" applyNumberFormat="1" applyFont="1" applyFill="1" applyBorder="1" applyAlignment="1">
      <alignment horizontal="center" vertical="center" wrapText="1"/>
    </xf>
    <xf numFmtId="0" fontId="6" fillId="10" borderId="3" xfId="0" applyNumberFormat="1" applyFont="1" applyFill="1" applyBorder="1" applyAlignment="1">
      <alignment vertical="center" wrapText="1"/>
    </xf>
    <xf numFmtId="0" fontId="3" fillId="3" borderId="11" xfId="0" applyFont="1" applyFill="1" applyBorder="1" applyAlignment="1">
      <alignment horizontal="center" vertical="center"/>
    </xf>
    <xf numFmtId="0" fontId="3" fillId="3" borderId="11" xfId="0" applyNumberFormat="1" applyFont="1" applyFill="1" applyBorder="1" applyAlignment="1">
      <alignment horizontal="center" vertical="center"/>
    </xf>
    <xf numFmtId="0" fontId="3" fillId="0" borderId="12" xfId="0" applyFont="1" applyBorder="1" applyAlignment="1">
      <alignment horizontal="left" vertical="center" wrapText="1"/>
    </xf>
    <xf numFmtId="9" fontId="1" fillId="0" borderId="14" xfId="0" applyNumberFormat="1" applyFont="1" applyBorder="1" applyAlignment="1">
      <alignment horizontal="center" vertical="center"/>
    </xf>
    <xf numFmtId="57" fontId="3" fillId="3" borderId="15" xfId="0" applyNumberFormat="1" applyFont="1" applyFill="1" applyBorder="1" applyAlignment="1">
      <alignment horizontal="center" vertical="center" wrapText="1"/>
    </xf>
    <xf numFmtId="176" fontId="107" fillId="3" borderId="3" xfId="0" applyNumberFormat="1" applyFont="1" applyFill="1" applyBorder="1" applyAlignment="1">
      <alignment horizontal="center" vertical="center"/>
    </xf>
    <xf numFmtId="0" fontId="6" fillId="3" borderId="18" xfId="0" applyFont="1" applyFill="1" applyBorder="1" applyAlignment="1">
      <alignment horizontal="center" vertical="center"/>
    </xf>
    <xf numFmtId="0" fontId="3" fillId="3" borderId="16" xfId="13" applyFont="1" applyFill="1" applyBorder="1" applyAlignment="1">
      <alignment horizontal="center" vertical="center" wrapText="1"/>
    </xf>
    <xf numFmtId="0" fontId="6" fillId="0" borderId="3" xfId="0" applyFont="1" applyFill="1" applyBorder="1" applyAlignment="1"/>
    <xf numFmtId="177" fontId="6" fillId="3" borderId="24" xfId="0" applyNumberFormat="1" applyFont="1" applyFill="1" applyBorder="1" applyAlignment="1">
      <alignment horizontal="center" vertical="center" wrapText="1"/>
    </xf>
    <xf numFmtId="177" fontId="5" fillId="3" borderId="24" xfId="0" applyNumberFormat="1" applyFont="1" applyFill="1" applyBorder="1" applyAlignment="1">
      <alignment horizontal="center" vertical="center" wrapText="1"/>
    </xf>
    <xf numFmtId="177" fontId="92" fillId="3" borderId="24" xfId="0" applyNumberFormat="1" applyFont="1" applyFill="1" applyBorder="1" applyAlignment="1">
      <alignment horizontal="center" vertical="center" wrapText="1"/>
    </xf>
    <xf numFmtId="176" fontId="6" fillId="0" borderId="3" xfId="13" applyNumberFormat="1" applyFont="1" applyFill="1" applyBorder="1" applyAlignment="1">
      <alignment horizontal="center" vertical="center" wrapText="1"/>
    </xf>
    <xf numFmtId="0" fontId="9" fillId="0" borderId="9" xfId="0" applyFont="1" applyBorder="1" applyAlignment="1">
      <alignment horizontal="center" vertical="center" wrapText="1"/>
    </xf>
    <xf numFmtId="0" fontId="29" fillId="0" borderId="7" xfId="0" applyFont="1" applyFill="1" applyBorder="1" applyAlignment="1">
      <alignment horizontal="left" vertical="center" wrapText="1"/>
    </xf>
    <xf numFmtId="0" fontId="29" fillId="3" borderId="7" xfId="0" applyFont="1" applyFill="1" applyBorder="1" applyAlignment="1">
      <alignment horizontal="left" vertical="center" wrapText="1"/>
    </xf>
    <xf numFmtId="0" fontId="91" fillId="3" borderId="3" xfId="0" applyFont="1" applyFill="1" applyBorder="1" applyAlignment="1">
      <alignment horizontal="left" vertical="center" wrapText="1"/>
    </xf>
    <xf numFmtId="177" fontId="6" fillId="3" borderId="34" xfId="0" applyNumberFormat="1" applyFont="1" applyFill="1" applyBorder="1" applyAlignment="1">
      <alignment horizontal="center" vertical="center"/>
    </xf>
    <xf numFmtId="176" fontId="6" fillId="3" borderId="19" xfId="0" applyNumberFormat="1" applyFont="1" applyFill="1" applyBorder="1" applyAlignment="1">
      <alignment horizontal="center" vertical="center"/>
    </xf>
    <xf numFmtId="177" fontId="6" fillId="3" borderId="17" xfId="0" applyNumberFormat="1" applyFont="1" applyFill="1" applyBorder="1" applyAlignment="1">
      <alignment horizontal="center" vertical="center"/>
    </xf>
    <xf numFmtId="0" fontId="6" fillId="0" borderId="0" xfId="0" applyFont="1" applyFill="1" applyBorder="1" applyAlignment="1">
      <alignment horizontal="center" vertical="center" wrapText="1"/>
    </xf>
    <xf numFmtId="0" fontId="29" fillId="3" borderId="33" xfId="0" applyFont="1" applyFill="1" applyBorder="1" applyAlignment="1">
      <alignment horizontal="center" vertical="center"/>
    </xf>
    <xf numFmtId="0" fontId="6" fillId="3" borderId="13" xfId="0" applyFont="1" applyFill="1" applyBorder="1" applyAlignment="1">
      <alignment horizontal="left" vertical="center" wrapText="1"/>
    </xf>
    <xf numFmtId="0" fontId="6" fillId="3" borderId="17" xfId="0" applyFont="1" applyFill="1" applyBorder="1" applyAlignment="1">
      <alignment horizontal="left" vertical="center" wrapText="1"/>
    </xf>
    <xf numFmtId="0" fontId="91" fillId="3" borderId="3" xfId="0" applyFont="1" applyFill="1" applyBorder="1" applyAlignment="1">
      <alignment horizontal="left" vertical="center" wrapText="1"/>
    </xf>
    <xf numFmtId="0" fontId="0" fillId="0" borderId="0" xfId="0" applyNumberFormat="1" applyFill="1" applyAlignment="1">
      <alignment vertical="center" wrapText="1"/>
    </xf>
    <xf numFmtId="0" fontId="0" fillId="0" borderId="35" xfId="0" applyNumberFormat="1" applyFill="1" applyBorder="1" applyAlignment="1">
      <alignment vertical="center" wrapText="1"/>
    </xf>
    <xf numFmtId="0" fontId="0" fillId="0" borderId="41" xfId="0" applyNumberFormat="1" applyFill="1" applyBorder="1" applyAlignment="1">
      <alignment vertical="center" wrapText="1"/>
    </xf>
    <xf numFmtId="0" fontId="0" fillId="0" borderId="0" xfId="0" applyNumberFormat="1" applyFill="1" applyBorder="1" applyAlignment="1">
      <alignment vertical="center" wrapText="1"/>
    </xf>
    <xf numFmtId="0" fontId="0" fillId="0" borderId="41" xfId="0" applyBorder="1">
      <alignment vertical="center"/>
    </xf>
    <xf numFmtId="0" fontId="0" fillId="0" borderId="30" xfId="0" applyNumberFormat="1" applyFill="1" applyBorder="1" applyAlignment="1">
      <alignment vertical="center" wrapText="1"/>
    </xf>
    <xf numFmtId="0" fontId="0" fillId="3" borderId="0" xfId="0" applyNumberFormat="1" applyFill="1" applyBorder="1" applyAlignment="1">
      <alignment horizontal="center" vertical="center" wrapText="1"/>
    </xf>
    <xf numFmtId="0" fontId="71" fillId="0" borderId="0" xfId="20" applyNumberFormat="1" applyFont="1" applyFill="1" applyAlignment="1">
      <alignment horizontal="center" vertical="center" wrapText="1"/>
    </xf>
    <xf numFmtId="0" fontId="71" fillId="0" borderId="35" xfId="20" applyNumberFormat="1" applyFont="1" applyFill="1" applyBorder="1" applyAlignment="1">
      <alignment horizontal="center" vertical="center" wrapText="1"/>
    </xf>
    <xf numFmtId="0" fontId="108" fillId="0" borderId="0" xfId="20" applyNumberFormat="1" applyFont="1" applyFill="1" applyAlignment="1">
      <alignment horizontal="center" vertical="center" wrapText="1"/>
    </xf>
    <xf numFmtId="0" fontId="108" fillId="0" borderId="0" xfId="20" applyNumberFormat="1" applyFont="1" applyFill="1" applyBorder="1" applyAlignment="1">
      <alignment horizontal="center" vertical="center" wrapText="1"/>
    </xf>
    <xf numFmtId="0" fontId="108" fillId="0" borderId="0" xfId="20" applyNumberFormat="1" applyFont="1" applyFill="1" applyBorder="1" applyAlignment="1">
      <alignment horizontal="center" vertical="center" wrapText="1"/>
    </xf>
    <xf numFmtId="0" fontId="108" fillId="0" borderId="0" xfId="20" applyNumberFormat="1" applyFont="1" applyFill="1" applyBorder="1" applyAlignment="1">
      <alignment horizontal="center" vertical="center" wrapText="1"/>
    </xf>
    <xf numFmtId="0" fontId="0" fillId="3" borderId="35" xfId="0" applyNumberFormat="1" applyFill="1" applyBorder="1" applyAlignment="1">
      <alignment horizontal="center" vertical="center" wrapText="1"/>
    </xf>
    <xf numFmtId="0" fontId="71" fillId="0" borderId="30" xfId="20" applyNumberFormat="1" applyFont="1" applyFill="1" applyBorder="1" applyAlignment="1">
      <alignment horizontal="center" vertical="center" wrapText="1"/>
    </xf>
    <xf numFmtId="0" fontId="109" fillId="0" borderId="35" xfId="20" applyNumberFormat="1" applyFont="1" applyFill="1" applyBorder="1" applyAlignment="1">
      <alignment horizontal="center" vertical="center" wrapText="1"/>
    </xf>
    <xf numFmtId="0" fontId="72" fillId="0" borderId="35" xfId="20" applyNumberFormat="1" applyFont="1" applyFill="1" applyBorder="1" applyAlignment="1">
      <alignment horizontal="center" vertical="center" wrapText="1"/>
    </xf>
    <xf numFmtId="0" fontId="0" fillId="3" borderId="41" xfId="0" applyNumberFormat="1" applyFill="1" applyBorder="1" applyAlignment="1">
      <alignment horizontal="center" vertical="center" wrapText="1"/>
    </xf>
    <xf numFmtId="0" fontId="108" fillId="0" borderId="41" xfId="20" applyNumberFormat="1" applyFont="1" applyFill="1" applyBorder="1" applyAlignment="1">
      <alignment horizontal="center" vertical="center" wrapText="1"/>
    </xf>
    <xf numFmtId="0" fontId="108" fillId="0" borderId="41" xfId="20" applyNumberFormat="1" applyFont="1" applyBorder="1" applyAlignment="1">
      <alignment horizontal="center" vertical="center"/>
    </xf>
    <xf numFmtId="0" fontId="108" fillId="0" borderId="41" xfId="20" applyNumberFormat="1" applyFont="1" applyBorder="1" applyAlignment="1">
      <alignment horizontal="center" vertical="center" wrapText="1"/>
    </xf>
    <xf numFmtId="0" fontId="108" fillId="0" borderId="0" xfId="20" applyNumberFormat="1" applyFont="1" applyFill="1" applyBorder="1" applyAlignment="1">
      <alignment horizontal="center" vertical="center" wrapText="1"/>
    </xf>
    <xf numFmtId="0" fontId="71" fillId="0" borderId="0" xfId="20" applyNumberFormat="1" applyFont="1" applyFill="1" applyBorder="1" applyAlignment="1">
      <alignment horizontal="center" vertical="center" wrapText="1"/>
    </xf>
    <xf numFmtId="0" fontId="108" fillId="0" borderId="0" xfId="20" applyNumberFormat="1" applyFont="1" applyFill="1" applyBorder="1" applyAlignment="1">
      <alignment horizontal="center" vertical="center" wrapText="1"/>
    </xf>
    <xf numFmtId="0" fontId="108" fillId="0" borderId="0" xfId="20" applyNumberFormat="1" applyFont="1" applyFill="1" applyBorder="1" applyAlignment="1">
      <alignment horizontal="center" vertical="center" wrapText="1"/>
    </xf>
    <xf numFmtId="0" fontId="108" fillId="0" borderId="0" xfId="20" applyFont="1" applyBorder="1" applyAlignment="1">
      <alignment horizontal="center" vertical="center" wrapText="1"/>
    </xf>
    <xf numFmtId="0" fontId="71" fillId="0" borderId="0" xfId="20" applyFont="1" applyBorder="1" applyAlignment="1">
      <alignment horizontal="center" vertical="center"/>
    </xf>
    <xf numFmtId="0" fontId="108" fillId="0" borderId="0" xfId="20" applyNumberFormat="1" applyFont="1" applyAlignment="1">
      <alignment horizontal="center" vertical="center" wrapText="1"/>
    </xf>
    <xf numFmtId="0" fontId="108" fillId="0" borderId="0" xfId="20" applyFont="1" applyBorder="1" applyAlignment="1">
      <alignment horizontal="center" vertical="center"/>
    </xf>
    <xf numFmtId="0" fontId="108" fillId="0" borderId="0" xfId="20" applyNumberFormat="1" applyFont="1" applyBorder="1" applyAlignment="1">
      <alignment horizontal="center" vertical="center" wrapText="1"/>
    </xf>
    <xf numFmtId="0" fontId="108" fillId="0" borderId="0" xfId="20" applyFont="1" applyBorder="1" applyAlignment="1">
      <alignment horizontal="center" vertical="center"/>
    </xf>
    <xf numFmtId="0" fontId="108" fillId="0" borderId="41" xfId="20" applyFont="1" applyBorder="1" applyAlignment="1">
      <alignment horizontal="center" vertical="center"/>
    </xf>
    <xf numFmtId="0" fontId="108" fillId="0" borderId="41" xfId="20" applyFont="1" applyBorder="1">
      <alignment vertical="center"/>
    </xf>
    <xf numFmtId="0" fontId="108" fillId="0" borderId="41" xfId="20" applyNumberFormat="1" applyFont="1" applyBorder="1" applyAlignment="1">
      <alignment horizontal="center" vertical="center"/>
    </xf>
    <xf numFmtId="0" fontId="108" fillId="0" borderId="41" xfId="20" applyFont="1" applyBorder="1" applyAlignment="1">
      <alignment horizontal="center" vertical="center"/>
    </xf>
    <xf numFmtId="0" fontId="108" fillId="0" borderId="0" xfId="20" applyFont="1" applyBorder="1" applyAlignment="1">
      <alignment horizontal="center" vertical="center"/>
    </xf>
    <xf numFmtId="0" fontId="71" fillId="0" borderId="0" xfId="20" applyFont="1" applyAlignment="1">
      <alignment horizontal="center" vertical="center"/>
    </xf>
    <xf numFmtId="0" fontId="108" fillId="0" borderId="0" xfId="20" applyFont="1" applyAlignment="1">
      <alignment horizontal="center" vertical="center"/>
    </xf>
    <xf numFmtId="0" fontId="108" fillId="0" borderId="0" xfId="20" applyFont="1" applyAlignment="1">
      <alignment horizontal="center" vertical="center" wrapText="1"/>
    </xf>
    <xf numFmtId="0" fontId="71" fillId="0" borderId="41" xfId="20" applyNumberFormat="1" applyFont="1" applyFill="1" applyBorder="1" applyAlignment="1">
      <alignment horizontal="center" vertical="center" wrapText="1"/>
    </xf>
    <xf numFmtId="0" fontId="110" fillId="0" borderId="41" xfId="20" applyNumberFormat="1" applyFont="1" applyFill="1" applyBorder="1" applyAlignment="1">
      <alignment horizontal="center" vertical="center" wrapText="1"/>
    </xf>
    <xf numFmtId="0" fontId="108" fillId="0" borderId="41" xfId="20" applyFont="1" applyBorder="1" applyAlignment="1">
      <alignment horizontal="center" vertical="center" wrapText="1"/>
    </xf>
    <xf numFmtId="0" fontId="108" fillId="0" borderId="41" xfId="20" applyNumberFormat="1" applyFont="1" applyFill="1" applyBorder="1" applyAlignment="1">
      <alignment horizontal="center" vertical="center" wrapText="1"/>
    </xf>
    <xf numFmtId="0" fontId="0" fillId="0" borderId="0" xfId="0" applyNumberFormat="1" applyFill="1" applyBorder="1" applyAlignment="1">
      <alignment horizontal="center" vertical="center" wrapText="1"/>
    </xf>
    <xf numFmtId="0" fontId="0" fillId="3" borderId="30" xfId="0" applyNumberFormat="1" applyFill="1" applyBorder="1" applyAlignment="1">
      <alignment horizontal="center" vertical="center" wrapText="1"/>
    </xf>
    <xf numFmtId="0" fontId="108" fillId="0" borderId="30" xfId="20" applyNumberFormat="1" applyFont="1" applyFill="1" applyBorder="1" applyAlignment="1">
      <alignment horizontal="center" vertical="center" wrapText="1"/>
    </xf>
    <xf numFmtId="0" fontId="71" fillId="0" borderId="30" xfId="20" applyFont="1" applyBorder="1" applyAlignment="1">
      <alignment horizontal="center" vertical="center"/>
    </xf>
    <xf numFmtId="0" fontId="108" fillId="0" borderId="35" xfId="20" applyNumberFormat="1" applyFont="1" applyFill="1" applyBorder="1" applyAlignment="1">
      <alignment horizontal="center" vertical="center" wrapText="1"/>
    </xf>
    <xf numFmtId="0" fontId="108" fillId="0" borderId="35" xfId="20" applyNumberFormat="1" applyFont="1" applyFill="1" applyBorder="1" applyAlignment="1">
      <alignment vertical="center" wrapText="1"/>
    </xf>
    <xf numFmtId="0" fontId="108" fillId="0" borderId="35" xfId="20" applyNumberFormat="1" applyFont="1" applyFill="1" applyBorder="1" applyAlignment="1">
      <alignment horizontal="center" vertical="center" wrapText="1"/>
    </xf>
    <xf numFmtId="0" fontId="108" fillId="0" borderId="35" xfId="20" applyNumberFormat="1" applyFont="1" applyFill="1" applyBorder="1" applyAlignment="1">
      <alignment horizontal="center" vertical="center" wrapText="1"/>
    </xf>
    <xf numFmtId="0" fontId="0" fillId="0" borderId="35" xfId="0" applyNumberFormat="1" applyFill="1" applyBorder="1" applyAlignment="1">
      <alignment horizontal="center" vertical="center" wrapText="1"/>
    </xf>
    <xf numFmtId="0" fontId="108" fillId="0" borderId="35" xfId="20" applyNumberFormat="1" applyFont="1" applyBorder="1" applyAlignment="1">
      <alignment horizontal="center" vertical="center"/>
    </xf>
    <xf numFmtId="0" fontId="108" fillId="0" borderId="35" xfId="20" applyNumberFormat="1" applyFont="1" applyFill="1" applyBorder="1" applyAlignment="1">
      <alignment horizontal="center" vertical="center" wrapText="1"/>
    </xf>
    <xf numFmtId="0" fontId="108" fillId="0" borderId="41" xfId="20" applyNumberFormat="1" applyFont="1" applyBorder="1" applyAlignment="1">
      <alignment horizontal="center" vertical="center"/>
    </xf>
    <xf numFmtId="0" fontId="108" fillId="0" borderId="41" xfId="20" applyNumberFormat="1" applyFont="1" applyFill="1" applyBorder="1" applyAlignment="1">
      <alignment horizontal="center" vertical="center" wrapText="1"/>
    </xf>
    <xf numFmtId="0" fontId="108" fillId="0" borderId="41" xfId="20" applyNumberFormat="1" applyFont="1" applyFill="1" applyBorder="1" applyAlignment="1">
      <alignment horizontal="center" vertical="center" wrapText="1"/>
    </xf>
    <xf numFmtId="0" fontId="111" fillId="0" borderId="35" xfId="20" applyNumberFormat="1" applyFont="1"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Alignment="1">
      <alignment horizontal="center" vertical="center" wrapText="1"/>
    </xf>
    <xf numFmtId="0" fontId="0" fillId="0" borderId="0" xfId="0" applyFill="1" applyAlignment="1">
      <alignment horizontal="center" vertical="center"/>
    </xf>
    <xf numFmtId="0" fontId="0" fillId="0" borderId="0" xfId="0" applyNumberFormat="1" applyFill="1" applyAlignment="1">
      <alignment horizontal="center" vertical="center" wrapText="1"/>
    </xf>
    <xf numFmtId="0" fontId="0" fillId="0" borderId="35" xfId="0" applyNumberFormat="1" applyBorder="1" applyAlignment="1">
      <alignment horizontal="center" vertical="center"/>
    </xf>
    <xf numFmtId="0" fontId="89" fillId="0" borderId="41" xfId="20" applyNumberFormat="1" applyFill="1" applyBorder="1" applyAlignment="1">
      <alignment horizontal="center" vertical="center" wrapText="1"/>
    </xf>
    <xf numFmtId="0" fontId="0" fillId="0" borderId="41" xfId="0" applyNumberFormat="1" applyFill="1" applyBorder="1" applyAlignment="1">
      <alignment horizontal="center" vertical="center" wrapText="1"/>
    </xf>
    <xf numFmtId="0" fontId="108" fillId="0" borderId="0" xfId="20" applyNumberFormat="1" applyFont="1" applyFill="1" applyBorder="1" applyAlignment="1">
      <alignment vertical="center" wrapText="1"/>
    </xf>
    <xf numFmtId="0" fontId="112" fillId="0" borderId="0" xfId="20" applyNumberFormat="1" applyFont="1" applyFill="1" applyBorder="1" applyAlignment="1">
      <alignment horizontal="center" vertical="center" wrapText="1"/>
    </xf>
    <xf numFmtId="0" fontId="108" fillId="0" borderId="0" xfId="20" applyNumberFormat="1" applyFont="1" applyFill="1" applyBorder="1" applyAlignment="1">
      <alignment vertical="center" wrapText="1"/>
    </xf>
    <xf numFmtId="0" fontId="89" fillId="0" borderId="0" xfId="20" applyNumberFormat="1" applyFill="1" applyBorder="1" applyAlignment="1">
      <alignment horizontal="center" vertical="center" wrapText="1"/>
    </xf>
    <xf numFmtId="0" fontId="72" fillId="0" borderId="0" xfId="20" applyFont="1" applyFill="1" applyBorder="1" applyAlignment="1">
      <alignment horizontal="center" vertical="center"/>
    </xf>
    <xf numFmtId="0" fontId="108" fillId="0" borderId="0" xfId="20" applyFont="1" applyBorder="1" applyAlignment="1">
      <alignment horizontal="center" vertical="center"/>
    </xf>
    <xf numFmtId="0" fontId="0" fillId="0" borderId="0" xfId="0" applyBorder="1" applyAlignment="1">
      <alignment horizontal="center" vertical="center"/>
    </xf>
    <xf numFmtId="0" fontId="108" fillId="0" borderId="0" xfId="20" applyNumberFormat="1" applyFont="1" applyBorder="1" applyAlignment="1">
      <alignment horizontal="center" vertical="center" wrapText="1"/>
    </xf>
    <xf numFmtId="0" fontId="108" fillId="0" borderId="0" xfId="20" applyFont="1">
      <alignment vertical="center"/>
    </xf>
    <xf numFmtId="0" fontId="108" fillId="0" borderId="0" xfId="20" applyNumberFormat="1" applyFont="1" applyFill="1" applyAlignment="1">
      <alignment vertical="center" wrapText="1"/>
    </xf>
    <xf numFmtId="0" fontId="89" fillId="0" borderId="0" xfId="20">
      <alignment vertical="center"/>
    </xf>
    <xf numFmtId="0" fontId="108" fillId="0" borderId="41" xfId="20" applyNumberFormat="1" applyFont="1" applyFill="1" applyBorder="1" applyAlignment="1">
      <alignment horizontal="center" vertical="center" wrapText="1"/>
    </xf>
    <xf numFmtId="0" fontId="108" fillId="0" borderId="41" xfId="20" applyFont="1" applyBorder="1" applyAlignment="1">
      <alignment horizontal="center" vertical="center"/>
    </xf>
    <xf numFmtId="0" fontId="0" fillId="0" borderId="30" xfId="0" applyNumberFormat="1" applyFill="1" applyBorder="1" applyAlignment="1">
      <alignment horizontal="center" vertical="center" wrapText="1"/>
    </xf>
    <xf numFmtId="0" fontId="108" fillId="0" borderId="41" xfId="20" applyNumberFormat="1" applyFont="1" applyBorder="1" applyAlignment="1">
      <alignment horizontal="center" vertical="center"/>
    </xf>
    <xf numFmtId="0" fontId="71" fillId="0" borderId="41" xfId="20" quotePrefix="1" applyNumberFormat="1" applyFont="1" applyFill="1" applyBorder="1" applyAlignment="1">
      <alignment horizontal="center" vertical="center" wrapText="1"/>
    </xf>
    <xf numFmtId="0" fontId="70" fillId="0" borderId="41" xfId="20" quotePrefix="1" applyNumberFormat="1" applyFont="1" applyFill="1" applyBorder="1" applyAlignment="1">
      <alignment horizontal="center" vertical="center" wrapText="1"/>
    </xf>
    <xf numFmtId="0" fontId="71" fillId="0" borderId="0" xfId="20" quotePrefix="1" applyNumberFormat="1" applyFont="1" applyFill="1" applyBorder="1" applyAlignment="1">
      <alignment horizontal="center" vertical="center" wrapText="1"/>
    </xf>
    <xf numFmtId="0" fontId="71" fillId="0" borderId="35" xfId="20" quotePrefix="1" applyNumberFormat="1" applyFont="1" applyFill="1" applyBorder="1" applyAlignment="1">
      <alignment horizontal="center" vertical="center" wrapText="1"/>
    </xf>
    <xf numFmtId="179" fontId="0" fillId="0" borderId="0" xfId="0" applyNumberFormat="1" applyAlignment="1">
      <alignment horizontal="center" vertical="center" wrapText="1"/>
    </xf>
    <xf numFmtId="0" fontId="0" fillId="0" borderId="0" xfId="0" applyAlignment="1">
      <alignment horizontal="center" vertical="center" wrapText="1"/>
    </xf>
    <xf numFmtId="9" fontId="0" fillId="0" borderId="0" xfId="0" applyNumberFormat="1" applyAlignment="1">
      <alignment horizontal="center" vertical="center" wrapText="1"/>
    </xf>
    <xf numFmtId="14" fontId="0" fillId="0" borderId="0" xfId="0" applyNumberFormat="1" applyAlignment="1">
      <alignment horizontal="center" vertical="center" wrapText="1"/>
    </xf>
    <xf numFmtId="0" fontId="89" fillId="0" borderId="0" xfId="20" applyAlignment="1">
      <alignment horizontal="center" vertical="center" wrapText="1"/>
    </xf>
    <xf numFmtId="31" fontId="0" fillId="0" borderId="0" xfId="0" applyNumberFormat="1" applyAlignment="1">
      <alignment horizontal="center" vertical="center" wrapText="1"/>
    </xf>
    <xf numFmtId="0" fontId="0" fillId="0" borderId="0" xfId="0" applyFont="1" applyAlignment="1">
      <alignment horizontal="center" vertical="center" wrapText="1"/>
    </xf>
    <xf numFmtId="0" fontId="0" fillId="18" borderId="3" xfId="0" applyFill="1" applyBorder="1" applyAlignment="1">
      <alignment horizontal="center" vertical="center" wrapText="1"/>
    </xf>
    <xf numFmtId="9" fontId="0" fillId="18" borderId="3" xfId="0" applyNumberFormat="1" applyFill="1" applyBorder="1" applyAlignment="1">
      <alignment horizontal="center" vertical="center" wrapText="1"/>
    </xf>
    <xf numFmtId="179" fontId="0" fillId="18" borderId="3" xfId="0" applyNumberFormat="1" applyFill="1" applyBorder="1" applyAlignment="1">
      <alignment horizontal="center" vertical="center" wrapText="1"/>
    </xf>
    <xf numFmtId="0" fontId="108" fillId="18" borderId="3" xfId="20" applyFont="1" applyFill="1" applyBorder="1" applyAlignment="1">
      <alignment horizontal="center" vertical="center" wrapText="1"/>
    </xf>
    <xf numFmtId="0" fontId="108" fillId="0" borderId="0" xfId="20" applyFont="1" applyAlignment="1">
      <alignment horizontal="center" vertical="center" wrapText="1"/>
    </xf>
    <xf numFmtId="179" fontId="99" fillId="0" borderId="0" xfId="0" applyNumberFormat="1" applyFont="1" applyAlignment="1">
      <alignment horizontal="center" vertical="center" wrapText="1"/>
    </xf>
    <xf numFmtId="0" fontId="117" fillId="0" borderId="0" xfId="20" applyFont="1" applyAlignment="1">
      <alignment horizontal="center" vertical="center" wrapText="1"/>
    </xf>
    <xf numFmtId="9" fontId="0" fillId="0" borderId="0" xfId="0" applyNumberFormat="1" applyFont="1" applyAlignment="1">
      <alignment horizontal="center" vertical="center" wrapText="1"/>
    </xf>
    <xf numFmtId="0" fontId="0" fillId="14" borderId="0" xfId="0" applyFill="1" applyAlignment="1">
      <alignment horizontal="center" vertical="center" wrapText="1"/>
    </xf>
    <xf numFmtId="9" fontId="0" fillId="14" borderId="0" xfId="0" applyNumberFormat="1" applyFill="1" applyAlignment="1">
      <alignment horizontal="center" vertical="center" wrapText="1"/>
    </xf>
    <xf numFmtId="179" fontId="89" fillId="0" borderId="0" xfId="20" applyNumberFormat="1" applyAlignment="1">
      <alignment horizontal="center" vertical="center" wrapText="1"/>
    </xf>
    <xf numFmtId="0" fontId="0" fillId="18" borderId="0" xfId="0" applyFill="1" applyAlignment="1">
      <alignment horizontal="center" vertical="center" wrapText="1"/>
    </xf>
    <xf numFmtId="0" fontId="89" fillId="18" borderId="0" xfId="20" applyFill="1" applyAlignment="1">
      <alignment horizontal="center" vertical="center" wrapText="1"/>
    </xf>
    <xf numFmtId="9" fontId="0" fillId="18" borderId="0" xfId="0" applyNumberFormat="1" applyFill="1" applyAlignment="1">
      <alignment horizontal="center" vertical="center" wrapText="1"/>
    </xf>
    <xf numFmtId="179" fontId="0" fillId="18" borderId="0" xfId="0" applyNumberFormat="1" applyFill="1" applyAlignment="1">
      <alignment horizontal="center" vertical="center" wrapText="1"/>
    </xf>
    <xf numFmtId="0" fontId="89" fillId="0" borderId="0" xfId="20" applyFont="1" applyAlignment="1">
      <alignment horizontal="center" vertical="center" wrapText="1"/>
    </xf>
    <xf numFmtId="0" fontId="85" fillId="0" borderId="0" xfId="0" applyFont="1" applyAlignment="1">
      <alignment horizontal="center" vertical="center" wrapText="1"/>
    </xf>
    <xf numFmtId="0" fontId="87" fillId="10" borderId="3" xfId="0" applyNumberFormat="1" applyFont="1" applyFill="1" applyBorder="1" applyAlignment="1">
      <alignment horizontal="center" vertical="center"/>
    </xf>
    <xf numFmtId="186" fontId="0" fillId="3" borderId="3" xfId="0" applyNumberFormat="1" applyFont="1" applyFill="1" applyBorder="1" applyAlignment="1">
      <alignment horizontal="center" vertical="center" wrapText="1"/>
    </xf>
    <xf numFmtId="14" fontId="0" fillId="3" borderId="3" xfId="0" applyNumberFormat="1" applyFont="1" applyFill="1" applyBorder="1">
      <alignment vertical="center"/>
    </xf>
    <xf numFmtId="186" fontId="0" fillId="3" borderId="3" xfId="0" applyNumberFormat="1" applyFont="1" applyFill="1" applyBorder="1">
      <alignment vertical="center"/>
    </xf>
    <xf numFmtId="14" fontId="0" fillId="3" borderId="3" xfId="0" applyNumberFormat="1" applyFont="1" applyFill="1" applyBorder="1" applyAlignment="1">
      <alignment vertical="center" wrapText="1"/>
    </xf>
    <xf numFmtId="0" fontId="0" fillId="3" borderId="35" xfId="0" applyNumberFormat="1" applyFill="1" applyBorder="1" applyAlignment="1">
      <alignment horizontal="center" vertical="center" wrapText="1"/>
    </xf>
    <xf numFmtId="0" fontId="0" fillId="3" borderId="41" xfId="0" applyNumberFormat="1" applyFill="1" applyBorder="1" applyAlignment="1">
      <alignment horizontal="center" vertical="center" wrapText="1"/>
    </xf>
    <xf numFmtId="0" fontId="0" fillId="3" borderId="0" xfId="0" applyNumberFormat="1" applyFill="1" applyAlignment="1">
      <alignment horizontal="center" vertical="center" wrapText="1"/>
    </xf>
    <xf numFmtId="0" fontId="108" fillId="12" borderId="35" xfId="20" applyNumberFormat="1" applyFont="1" applyFill="1" applyBorder="1" applyAlignment="1">
      <alignment horizontal="center" vertical="center" wrapText="1"/>
    </xf>
    <xf numFmtId="0" fontId="108" fillId="12" borderId="0" xfId="20" applyNumberFormat="1" applyFont="1" applyFill="1" applyBorder="1" applyAlignment="1">
      <alignment horizontal="center" vertical="center" wrapText="1"/>
    </xf>
    <xf numFmtId="0" fontId="0" fillId="3" borderId="0" xfId="0" applyNumberFormat="1" applyFill="1" applyBorder="1" applyAlignment="1">
      <alignment horizontal="center" vertical="center" wrapText="1"/>
    </xf>
    <xf numFmtId="0" fontId="0" fillId="3" borderId="0" xfId="0" applyFill="1" applyBorder="1" applyAlignment="1">
      <alignment horizontal="center" vertical="center"/>
    </xf>
    <xf numFmtId="0" fontId="0" fillId="3" borderId="41" xfId="0" applyFill="1" applyBorder="1" applyAlignment="1">
      <alignment horizontal="center" vertical="center"/>
    </xf>
    <xf numFmtId="0" fontId="0" fillId="3" borderId="0" xfId="0" applyFill="1" applyAlignment="1">
      <alignment horizontal="center" vertical="center"/>
    </xf>
    <xf numFmtId="179" fontId="0" fillId="0" borderId="0" xfId="0" applyNumberFormat="1" applyAlignment="1">
      <alignment horizontal="center" vertical="center" wrapText="1"/>
    </xf>
    <xf numFmtId="0" fontId="9" fillId="0" borderId="3" xfId="0" applyFont="1" applyBorder="1" applyAlignment="1">
      <alignment horizontal="left" vertical="center" wrapText="1"/>
    </xf>
    <xf numFmtId="0" fontId="9" fillId="0" borderId="7" xfId="0" applyFont="1" applyBorder="1" applyAlignment="1">
      <alignment horizontal="left" vertical="center" wrapText="1"/>
    </xf>
    <xf numFmtId="0" fontId="0"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applyAlignment="1">
      <alignment horizontal="center" vertical="center"/>
    </xf>
    <xf numFmtId="0" fontId="24" fillId="0" borderId="3" xfId="0" applyFont="1" applyBorder="1" applyAlignment="1">
      <alignment horizontal="center" vertical="center" wrapText="1"/>
    </xf>
    <xf numFmtId="0" fontId="47" fillId="0" borderId="16" xfId="0" applyFont="1" applyBorder="1" applyAlignment="1">
      <alignment horizontal="center" vertical="center" wrapText="1"/>
    </xf>
    <xf numFmtId="0" fontId="47" fillId="0" borderId="30" xfId="0" applyFont="1" applyBorder="1" applyAlignment="1">
      <alignment horizontal="center" vertical="center" wrapText="1"/>
    </xf>
    <xf numFmtId="0" fontId="47" fillId="0" borderId="14" xfId="0" applyFont="1" applyBorder="1" applyAlignment="1">
      <alignment horizontal="center" vertical="center" wrapText="1"/>
    </xf>
    <xf numFmtId="0" fontId="2" fillId="0" borderId="3" xfId="0" applyFont="1" applyBorder="1" applyAlignment="1">
      <alignment horizontal="left" vertical="center" wrapText="1"/>
    </xf>
    <xf numFmtId="0" fontId="0" fillId="0" borderId="12" xfId="0" applyFont="1" applyBorder="1" applyAlignment="1">
      <alignment horizontal="left" vertical="center" wrapText="1"/>
    </xf>
    <xf numFmtId="0" fontId="9" fillId="0" borderId="12" xfId="0" applyFont="1" applyBorder="1" applyAlignment="1">
      <alignment horizontal="left" vertical="center" wrapText="1"/>
    </xf>
    <xf numFmtId="0" fontId="0" fillId="0" borderId="3" xfId="0" applyBorder="1" applyAlignment="1">
      <alignment horizontal="center" vertical="center" wrapText="1"/>
    </xf>
    <xf numFmtId="0" fontId="0" fillId="0" borderId="3" xfId="0" applyFont="1" applyBorder="1" applyAlignment="1">
      <alignment horizontal="center" vertical="center" wrapText="1"/>
    </xf>
    <xf numFmtId="0" fontId="9" fillId="0" borderId="3" xfId="0" applyFont="1" applyBorder="1" applyAlignment="1">
      <alignment horizontal="center" vertical="center" wrapText="1"/>
    </xf>
    <xf numFmtId="0" fontId="9" fillId="0" borderId="16" xfId="0" applyFont="1" applyBorder="1" applyAlignment="1">
      <alignment horizontal="center" vertical="center" wrapText="1"/>
    </xf>
    <xf numFmtId="0" fontId="9" fillId="0" borderId="30" xfId="0" applyFont="1" applyBorder="1" applyAlignment="1">
      <alignment horizontal="center" vertical="center" wrapText="1"/>
    </xf>
    <xf numFmtId="0" fontId="9" fillId="0" borderId="14" xfId="0" applyFont="1" applyBorder="1" applyAlignment="1">
      <alignment horizontal="center" vertical="center" wrapText="1"/>
    </xf>
    <xf numFmtId="0" fontId="1" fillId="0" borderId="17" xfId="0" applyFont="1" applyBorder="1" applyAlignment="1">
      <alignment horizontal="center" vertical="center"/>
    </xf>
    <xf numFmtId="0" fontId="1" fillId="0" borderId="12" xfId="0" applyFont="1" applyBorder="1" applyAlignment="1">
      <alignment horizontal="center" vertical="center"/>
    </xf>
    <xf numFmtId="0" fontId="48" fillId="0" borderId="18" xfId="0" applyFont="1" applyBorder="1" applyAlignment="1">
      <alignment horizontal="left" vertical="center" wrapText="1"/>
    </xf>
    <xf numFmtId="0" fontId="48" fillId="0" borderId="25" xfId="0" applyFont="1" applyBorder="1" applyAlignment="1">
      <alignment horizontal="left" vertical="center" wrapText="1"/>
    </xf>
    <xf numFmtId="0" fontId="9" fillId="0" borderId="19" xfId="0" applyFont="1" applyBorder="1" applyAlignment="1">
      <alignment horizontal="left" vertical="center" wrapText="1"/>
    </xf>
    <xf numFmtId="0" fontId="9" fillId="0" borderId="35" xfId="0" applyFont="1" applyBorder="1" applyAlignment="1">
      <alignment horizontal="left" vertical="center" wrapText="1"/>
    </xf>
    <xf numFmtId="0" fontId="9" fillId="0" borderId="33" xfId="0" applyFont="1" applyBorder="1" applyAlignment="1">
      <alignment horizontal="left" vertical="center" wrapText="1"/>
    </xf>
    <xf numFmtId="0" fontId="9" fillId="0" borderId="28" xfId="0" applyFont="1" applyBorder="1" applyAlignment="1">
      <alignment horizontal="left" vertical="center" wrapText="1"/>
    </xf>
    <xf numFmtId="0" fontId="9" fillId="0" borderId="41" xfId="0" applyFont="1" applyBorder="1" applyAlignment="1">
      <alignment horizontal="left" vertical="center" wrapText="1"/>
    </xf>
    <xf numFmtId="0" fontId="9" fillId="0" borderId="24" xfId="0" applyFont="1" applyBorder="1" applyAlignment="1">
      <alignment horizontal="left" vertical="center" wrapText="1"/>
    </xf>
    <xf numFmtId="0" fontId="1" fillId="0" borderId="16" xfId="0" applyFont="1" applyBorder="1" applyAlignment="1">
      <alignment horizontal="center" vertical="center"/>
    </xf>
    <xf numFmtId="0" fontId="1" fillId="0" borderId="14" xfId="0" applyFont="1" applyBorder="1" applyAlignment="1">
      <alignment horizontal="center" vertical="center"/>
    </xf>
    <xf numFmtId="0" fontId="8" fillId="0" borderId="3" xfId="0" applyFont="1" applyBorder="1" applyAlignment="1">
      <alignment horizontal="center" vertical="center" wrapText="1"/>
    </xf>
    <xf numFmtId="0" fontId="8" fillId="0" borderId="3" xfId="0" applyFont="1" applyBorder="1" applyAlignment="1">
      <alignment horizontal="left" vertical="center" wrapText="1"/>
    </xf>
    <xf numFmtId="0" fontId="1" fillId="0" borderId="16" xfId="0" applyNumberFormat="1" applyFont="1" applyBorder="1" applyAlignment="1">
      <alignment horizontal="center" vertical="center" wrapText="1"/>
    </xf>
    <xf numFmtId="0" fontId="1" fillId="0" borderId="14" xfId="0" applyNumberFormat="1" applyFont="1" applyBorder="1" applyAlignment="1">
      <alignment horizontal="center" vertical="center" wrapText="1"/>
    </xf>
    <xf numFmtId="0" fontId="0" fillId="0" borderId="3" xfId="0" applyBorder="1" applyAlignment="1">
      <alignment horizontal="left" vertical="center" wrapText="1"/>
    </xf>
    <xf numFmtId="0" fontId="0" fillId="0" borderId="3" xfId="0" applyBorder="1" applyAlignment="1">
      <alignment horizontal="left" vertical="center"/>
    </xf>
    <xf numFmtId="0" fontId="9" fillId="0" borderId="16" xfId="0" applyFont="1" applyBorder="1" applyAlignment="1">
      <alignment horizontal="left" vertical="center" wrapText="1"/>
    </xf>
    <xf numFmtId="0" fontId="1" fillId="0" borderId="16" xfId="17" applyFont="1" applyFill="1" applyBorder="1" applyAlignment="1">
      <alignment horizontal="left" vertical="center" wrapText="1"/>
    </xf>
    <xf numFmtId="0" fontId="1" fillId="0" borderId="30" xfId="17" applyFont="1" applyFill="1" applyBorder="1" applyAlignment="1">
      <alignment horizontal="left" vertical="center" wrapText="1"/>
    </xf>
    <xf numFmtId="0" fontId="1" fillId="0" borderId="27" xfId="17" applyFont="1" applyFill="1" applyBorder="1" applyAlignment="1">
      <alignment horizontal="left" vertical="center" wrapText="1"/>
    </xf>
    <xf numFmtId="0" fontId="1" fillId="0" borderId="17"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6" xfId="17" applyFont="1" applyFill="1" applyBorder="1" applyAlignment="1">
      <alignment horizontal="center" vertical="center" wrapText="1"/>
    </xf>
    <xf numFmtId="0" fontId="1" fillId="0" borderId="30" xfId="17" applyFont="1" applyFill="1" applyBorder="1" applyAlignment="1">
      <alignment horizontal="center" vertical="center" wrapText="1"/>
    </xf>
    <xf numFmtId="0" fontId="1" fillId="0" borderId="27" xfId="17" applyFont="1" applyFill="1" applyBorder="1" applyAlignment="1">
      <alignment horizontal="center" vertical="center" wrapText="1"/>
    </xf>
    <xf numFmtId="0" fontId="9" fillId="0" borderId="30" xfId="0" applyFont="1" applyBorder="1" applyAlignment="1">
      <alignment horizontal="left" vertical="center" wrapText="1"/>
    </xf>
    <xf numFmtId="0" fontId="9" fillId="0" borderId="14" xfId="0" applyFont="1" applyBorder="1" applyAlignment="1">
      <alignment horizontal="left" vertical="center" wrapText="1"/>
    </xf>
    <xf numFmtId="0" fontId="98" fillId="0" borderId="3" xfId="0" applyFont="1" applyBorder="1" applyAlignment="1">
      <alignment horizontal="center" vertical="center" wrapText="1"/>
    </xf>
    <xf numFmtId="0" fontId="1" fillId="2" borderId="3" xfId="0" applyFont="1" applyFill="1" applyBorder="1" applyAlignment="1">
      <alignment horizontal="center" vertical="center" wrapText="1"/>
    </xf>
    <xf numFmtId="0" fontId="9" fillId="2" borderId="16" xfId="0" applyFont="1" applyFill="1" applyBorder="1" applyAlignment="1">
      <alignment horizontal="left" vertical="center" wrapText="1"/>
    </xf>
    <xf numFmtId="0" fontId="9" fillId="2" borderId="30" xfId="0" applyFont="1" applyFill="1" applyBorder="1" applyAlignment="1">
      <alignment horizontal="left" vertical="center" wrapText="1"/>
    </xf>
    <xf numFmtId="0" fontId="9" fillId="2" borderId="14" xfId="0" applyFont="1" applyFill="1" applyBorder="1" applyAlignment="1">
      <alignment horizontal="left" vertical="center" wrapText="1"/>
    </xf>
    <xf numFmtId="0" fontId="11" fillId="2" borderId="3" xfId="0" applyFont="1" applyFill="1" applyBorder="1" applyAlignment="1">
      <alignment horizontal="left" vertical="center" wrapText="1"/>
    </xf>
    <xf numFmtId="0" fontId="11" fillId="2" borderId="7" xfId="0" applyFont="1" applyFill="1" applyBorder="1" applyAlignment="1">
      <alignment horizontal="left" vertical="center" wrapText="1"/>
    </xf>
    <xf numFmtId="0" fontId="1" fillId="2" borderId="2" xfId="0" applyFont="1" applyFill="1" applyBorder="1" applyAlignment="1">
      <alignment horizontal="left" vertical="center"/>
    </xf>
    <xf numFmtId="0" fontId="1" fillId="2" borderId="3" xfId="0" applyFont="1" applyFill="1" applyBorder="1" applyAlignment="1">
      <alignment horizontal="left" vertical="center"/>
    </xf>
    <xf numFmtId="0" fontId="4" fillId="2" borderId="3" xfId="0" applyFont="1" applyFill="1" applyBorder="1" applyAlignment="1">
      <alignment horizontal="center" vertical="center" wrapText="1"/>
    </xf>
    <xf numFmtId="31" fontId="8" fillId="2" borderId="28" xfId="0" applyNumberFormat="1" applyFont="1" applyFill="1" applyBorder="1" applyAlignment="1">
      <alignment horizontal="left" vertical="center" wrapText="1"/>
    </xf>
    <xf numFmtId="31" fontId="8" fillId="2" borderId="41" xfId="0" applyNumberFormat="1" applyFont="1" applyFill="1" applyBorder="1" applyAlignment="1">
      <alignment horizontal="left" vertical="center" wrapText="1"/>
    </xf>
    <xf numFmtId="31" fontId="8" fillId="2" borderId="24" xfId="0" applyNumberFormat="1" applyFont="1" applyFill="1" applyBorder="1" applyAlignment="1">
      <alignment horizontal="left" vertical="center" wrapText="1"/>
    </xf>
    <xf numFmtId="0" fontId="9" fillId="2" borderId="12" xfId="0" applyFont="1" applyFill="1" applyBorder="1" applyAlignment="1">
      <alignment vertical="center" wrapText="1"/>
    </xf>
    <xf numFmtId="0" fontId="9" fillId="2" borderId="12" xfId="0" applyFont="1" applyFill="1" applyBorder="1" applyAlignment="1">
      <alignment horizontal="left" vertical="center" wrapText="1"/>
    </xf>
    <xf numFmtId="0" fontId="9" fillId="2" borderId="25"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16" xfId="0" applyFont="1" applyFill="1" applyBorder="1" applyAlignment="1">
      <alignment horizontal="center" vertical="center" wrapText="1"/>
    </xf>
    <xf numFmtId="0" fontId="9" fillId="2" borderId="30" xfId="0" applyFont="1" applyFill="1" applyBorder="1" applyAlignment="1">
      <alignment horizontal="center" vertical="center" wrapText="1"/>
    </xf>
    <xf numFmtId="0" fontId="9" fillId="2" borderId="14" xfId="0" applyFont="1" applyFill="1" applyBorder="1" applyAlignment="1">
      <alignment horizontal="center" vertical="center" wrapText="1"/>
    </xf>
    <xf numFmtId="0" fontId="9" fillId="2" borderId="1" xfId="0" applyFont="1" applyFill="1" applyBorder="1" applyAlignment="1">
      <alignment horizontal="left" vertical="center" wrapText="1"/>
    </xf>
    <xf numFmtId="0" fontId="9" fillId="2" borderId="2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42" xfId="0" applyFont="1" applyFill="1" applyBorder="1" applyAlignment="1">
      <alignment horizontal="center" vertical="center" wrapText="1"/>
    </xf>
    <xf numFmtId="0" fontId="108" fillId="2" borderId="3" xfId="20" applyFont="1" applyFill="1" applyBorder="1" applyAlignment="1">
      <alignment horizontal="left" vertical="center" wrapText="1"/>
    </xf>
    <xf numFmtId="0" fontId="1" fillId="2" borderId="3" xfId="0" applyFont="1" applyFill="1" applyBorder="1" applyAlignment="1">
      <alignment horizontal="left" vertical="center" wrapText="1"/>
    </xf>
    <xf numFmtId="0" fontId="1" fillId="0" borderId="16" xfId="0" applyFont="1" applyFill="1" applyBorder="1" applyAlignment="1">
      <alignment horizontal="center" vertical="center"/>
    </xf>
    <xf numFmtId="0" fontId="1" fillId="0" borderId="14" xfId="0" applyFont="1" applyFill="1" applyBorder="1" applyAlignment="1">
      <alignment horizontal="center" vertical="center"/>
    </xf>
    <xf numFmtId="0" fontId="3" fillId="2" borderId="49" xfId="0" applyFont="1" applyFill="1" applyBorder="1" applyAlignment="1">
      <alignment horizontal="center" vertical="center"/>
    </xf>
    <xf numFmtId="0" fontId="3" fillId="2" borderId="22" xfId="0" applyFont="1" applyFill="1" applyBorder="1" applyAlignment="1">
      <alignment horizontal="center" vertical="center"/>
    </xf>
    <xf numFmtId="14" fontId="3" fillId="2" borderId="50" xfId="0" applyNumberFormat="1" applyFont="1" applyFill="1" applyBorder="1" applyAlignment="1">
      <alignment horizontal="center" vertical="center"/>
    </xf>
    <xf numFmtId="14" fontId="3" fillId="2" borderId="12" xfId="0" applyNumberFormat="1" applyFont="1" applyFill="1" applyBorder="1" applyAlignment="1">
      <alignment horizontal="center" vertical="center"/>
    </xf>
    <xf numFmtId="176" fontId="5" fillId="2" borderId="50" xfId="0" applyNumberFormat="1" applyFont="1" applyFill="1" applyBorder="1" applyAlignment="1">
      <alignment horizontal="center" vertical="center" wrapText="1"/>
    </xf>
    <xf numFmtId="176" fontId="5" fillId="2" borderId="12" xfId="0" applyNumberFormat="1" applyFont="1" applyFill="1" applyBorder="1" applyAlignment="1">
      <alignment horizontal="center" vertical="center" wrapText="1"/>
    </xf>
    <xf numFmtId="0" fontId="3" fillId="2" borderId="50" xfId="0" applyFont="1" applyFill="1" applyBorder="1" applyAlignment="1">
      <alignment horizontal="center" vertical="center"/>
    </xf>
    <xf numFmtId="0" fontId="3" fillId="2" borderId="12" xfId="0" applyFont="1" applyFill="1" applyBorder="1" applyAlignment="1">
      <alignment horizontal="center" vertical="center"/>
    </xf>
    <xf numFmtId="0" fontId="0" fillId="0" borderId="3" xfId="0" applyBorder="1" applyAlignment="1">
      <alignment horizontal="center" vertical="center"/>
    </xf>
    <xf numFmtId="31" fontId="3" fillId="2" borderId="44" xfId="0" applyNumberFormat="1" applyFont="1" applyFill="1" applyBorder="1" applyAlignment="1">
      <alignment horizontal="center" vertical="center" wrapText="1"/>
    </xf>
    <xf numFmtId="31" fontId="3" fillId="2" borderId="51" xfId="0" applyNumberFormat="1" applyFont="1" applyFill="1" applyBorder="1" applyAlignment="1">
      <alignment horizontal="center" vertical="center" wrapText="1"/>
    </xf>
    <xf numFmtId="31" fontId="3" fillId="2" borderId="28" xfId="0" applyNumberFormat="1" applyFont="1" applyFill="1" applyBorder="1" applyAlignment="1">
      <alignment horizontal="center" vertical="center" wrapText="1"/>
    </xf>
    <xf numFmtId="31" fontId="3" fillId="2" borderId="24" xfId="0" applyNumberFormat="1" applyFont="1" applyFill="1" applyBorder="1" applyAlignment="1">
      <alignment horizontal="center" vertical="center" wrapText="1"/>
    </xf>
    <xf numFmtId="31" fontId="113" fillId="2" borderId="44" xfId="0" applyNumberFormat="1" applyFont="1" applyFill="1" applyBorder="1" applyAlignment="1">
      <alignment horizontal="center" vertical="center" wrapText="1"/>
    </xf>
    <xf numFmtId="31" fontId="113" fillId="2" borderId="51" xfId="0" applyNumberFormat="1" applyFont="1" applyFill="1" applyBorder="1" applyAlignment="1">
      <alignment horizontal="center" vertical="center" wrapText="1"/>
    </xf>
    <xf numFmtId="31" fontId="113" fillId="2" borderId="28" xfId="0" applyNumberFormat="1" applyFont="1" applyFill="1" applyBorder="1" applyAlignment="1">
      <alignment horizontal="center" vertical="center" wrapText="1"/>
    </xf>
    <xf numFmtId="31" fontId="113" fillId="2" borderId="24" xfId="0" applyNumberFormat="1" applyFont="1" applyFill="1" applyBorder="1" applyAlignment="1">
      <alignment horizontal="center" vertical="center" wrapText="1"/>
    </xf>
    <xf numFmtId="0" fontId="4" fillId="2" borderId="3" xfId="0" applyFont="1" applyFill="1" applyBorder="1" applyAlignment="1">
      <alignment horizontal="left" vertical="center" wrapText="1"/>
    </xf>
    <xf numFmtId="0" fontId="24" fillId="2" borderId="3" xfId="0" applyFont="1" applyFill="1" applyBorder="1" applyAlignment="1">
      <alignment horizontal="left" vertical="center" wrapText="1"/>
    </xf>
    <xf numFmtId="0" fontId="0" fillId="0" borderId="17" xfId="0" applyBorder="1" applyAlignment="1">
      <alignment horizontal="center" vertical="center"/>
    </xf>
    <xf numFmtId="0" fontId="0" fillId="0" borderId="11" xfId="0" applyBorder="1" applyAlignment="1">
      <alignment horizontal="center" vertical="center"/>
    </xf>
    <xf numFmtId="0" fontId="9" fillId="2" borderId="23" xfId="0" applyFont="1" applyFill="1" applyBorder="1" applyAlignment="1">
      <alignment horizontal="left" vertical="center" wrapText="1"/>
    </xf>
    <xf numFmtId="0" fontId="9" fillId="2" borderId="41" xfId="0" applyFont="1" applyFill="1" applyBorder="1" applyAlignment="1">
      <alignment horizontal="left" vertical="center" wrapText="1"/>
    </xf>
    <xf numFmtId="0" fontId="9" fillId="2" borderId="42" xfId="0" applyFont="1" applyFill="1" applyBorder="1" applyAlignment="1">
      <alignment horizontal="left" vertical="center" wrapText="1"/>
    </xf>
    <xf numFmtId="9" fontId="1" fillId="0" borderId="16" xfId="0" applyNumberFormat="1" applyFont="1" applyFill="1" applyBorder="1" applyAlignment="1">
      <alignment horizontal="center" vertical="center"/>
    </xf>
    <xf numFmtId="0" fontId="8" fillId="2" borderId="16" xfId="0" applyFont="1" applyFill="1" applyBorder="1" applyAlignment="1">
      <alignment horizontal="center" vertical="center" wrapText="1"/>
    </xf>
    <xf numFmtId="0" fontId="8" fillId="2" borderId="30" xfId="0" applyFont="1" applyFill="1" applyBorder="1" applyAlignment="1">
      <alignment horizontal="center" vertical="center" wrapText="1"/>
    </xf>
    <xf numFmtId="0" fontId="8" fillId="2" borderId="14" xfId="0" applyFont="1" applyFill="1" applyBorder="1" applyAlignment="1">
      <alignment horizontal="center" vertical="center" wrapText="1"/>
    </xf>
    <xf numFmtId="0" fontId="103" fillId="2" borderId="3" xfId="0" applyFont="1" applyFill="1" applyBorder="1" applyAlignment="1">
      <alignment horizontal="center" vertical="center" wrapText="1"/>
    </xf>
    <xf numFmtId="31" fontId="8" fillId="2" borderId="44" xfId="0" applyNumberFormat="1" applyFont="1" applyFill="1" applyBorder="1" applyAlignment="1">
      <alignment horizontal="center" vertical="center" wrapText="1"/>
    </xf>
    <xf numFmtId="31" fontId="8" fillId="2" borderId="52" xfId="0" applyNumberFormat="1" applyFont="1" applyFill="1" applyBorder="1" applyAlignment="1">
      <alignment horizontal="center" vertical="center" wrapText="1"/>
    </xf>
    <xf numFmtId="31" fontId="8" fillId="2" borderId="28" xfId="0" applyNumberFormat="1" applyFont="1" applyFill="1" applyBorder="1" applyAlignment="1">
      <alignment horizontal="center" vertical="center" wrapText="1"/>
    </xf>
    <xf numFmtId="31" fontId="8" fillId="2" borderId="41" xfId="0" applyNumberFormat="1" applyFont="1" applyFill="1" applyBorder="1" applyAlignment="1">
      <alignment horizontal="center" vertical="center" wrapText="1"/>
    </xf>
    <xf numFmtId="0" fontId="103" fillId="2" borderId="41" xfId="0" applyFont="1" applyFill="1" applyBorder="1" applyAlignment="1">
      <alignment horizontal="left" vertical="center" wrapText="1"/>
    </xf>
    <xf numFmtId="176" fontId="92" fillId="2" borderId="50" xfId="0" applyNumberFormat="1" applyFont="1" applyFill="1" applyBorder="1" applyAlignment="1">
      <alignment horizontal="center" vertical="center" wrapText="1"/>
    </xf>
    <xf numFmtId="0" fontId="5" fillId="0" borderId="1" xfId="0" applyFont="1" applyBorder="1" applyAlignment="1">
      <alignment horizontal="left" vertical="center"/>
    </xf>
    <xf numFmtId="0" fontId="11" fillId="0" borderId="1" xfId="0" applyFont="1" applyBorder="1" applyAlignment="1">
      <alignment horizontal="left" vertical="center" wrapText="1"/>
    </xf>
    <xf numFmtId="0" fontId="1" fillId="0" borderId="3" xfId="0" applyFont="1" applyBorder="1" applyAlignment="1">
      <alignment horizontal="left" vertical="center" wrapText="1"/>
    </xf>
    <xf numFmtId="0" fontId="11" fillId="0" borderId="3" xfId="0" applyFont="1" applyBorder="1" applyAlignment="1">
      <alignment horizontal="center" vertical="center" wrapText="1"/>
    </xf>
    <xf numFmtId="44" fontId="1" fillId="0" borderId="3" xfId="21" applyFont="1" applyBorder="1" applyAlignment="1">
      <alignment horizontal="left" vertical="center" wrapText="1"/>
    </xf>
    <xf numFmtId="44" fontId="8" fillId="0" borderId="3" xfId="21" applyFont="1" applyBorder="1" applyAlignment="1">
      <alignment horizontal="left" vertical="center" wrapText="1"/>
    </xf>
    <xf numFmtId="44" fontId="8" fillId="0" borderId="7" xfId="21" applyFont="1" applyBorder="1" applyAlignment="1">
      <alignment horizontal="left" vertical="center" wrapText="1"/>
    </xf>
    <xf numFmtId="44" fontId="1" fillId="0" borderId="16" xfId="21" applyFont="1" applyBorder="1" applyAlignment="1">
      <alignment horizontal="center" vertical="center" wrapText="1"/>
    </xf>
    <xf numFmtId="44" fontId="1" fillId="0" borderId="30" xfId="21" applyFont="1" applyBorder="1" applyAlignment="1">
      <alignment horizontal="center" vertical="center" wrapText="1"/>
    </xf>
    <xf numFmtId="44" fontId="1" fillId="0" borderId="14" xfId="21" applyFont="1" applyBorder="1" applyAlignment="1">
      <alignment horizontal="center" vertical="center" wrapText="1"/>
    </xf>
    <xf numFmtId="0" fontId="91" fillId="0" borderId="16" xfId="0" applyFont="1" applyBorder="1" applyAlignment="1">
      <alignment horizontal="center" vertical="center" wrapText="1"/>
    </xf>
    <xf numFmtId="0" fontId="91" fillId="0" borderId="30" xfId="0" applyFont="1" applyBorder="1" applyAlignment="1">
      <alignment horizontal="center" vertical="center" wrapText="1"/>
    </xf>
    <xf numFmtId="0" fontId="91" fillId="0" borderId="14" xfId="0" applyFont="1" applyBorder="1" applyAlignment="1">
      <alignment horizontal="center" vertical="center" wrapText="1"/>
    </xf>
    <xf numFmtId="44" fontId="8" fillId="0" borderId="16" xfId="21" applyFont="1" applyBorder="1" applyAlignment="1">
      <alignment horizontal="center" vertical="center" wrapText="1"/>
    </xf>
    <xf numFmtId="44" fontId="8" fillId="0" borderId="30" xfId="21" applyFont="1" applyBorder="1" applyAlignment="1">
      <alignment horizontal="center" vertical="center" wrapText="1"/>
    </xf>
    <xf numFmtId="0" fontId="9" fillId="0" borderId="12" xfId="0" applyFont="1" applyBorder="1" applyAlignment="1">
      <alignment horizontal="left" vertical="center"/>
    </xf>
    <xf numFmtId="0" fontId="9" fillId="0" borderId="12" xfId="0" applyFont="1" applyBorder="1" applyAlignment="1">
      <alignment vertical="center" wrapText="1"/>
    </xf>
    <xf numFmtId="0" fontId="9" fillId="0" borderId="25" xfId="0" applyFont="1" applyBorder="1" applyAlignment="1">
      <alignment horizontal="left" vertical="center" wrapText="1"/>
    </xf>
    <xf numFmtId="0" fontId="9" fillId="0" borderId="3" xfId="0" applyFont="1" applyBorder="1" applyAlignment="1">
      <alignment vertical="center" wrapText="1"/>
    </xf>
    <xf numFmtId="0" fontId="9" fillId="0" borderId="27" xfId="0" applyFont="1" applyBorder="1" applyAlignment="1">
      <alignment horizontal="left" vertical="center" wrapText="1"/>
    </xf>
    <xf numFmtId="0" fontId="8" fillId="0" borderId="3" xfId="14" applyFont="1" applyBorder="1" applyAlignment="1">
      <alignment horizontal="left" vertical="center" wrapText="1"/>
    </xf>
    <xf numFmtId="0" fontId="4" fillId="0" borderId="3" xfId="14" applyFont="1" applyBorder="1" applyAlignment="1">
      <alignment horizontal="left" vertical="center" wrapText="1"/>
    </xf>
    <xf numFmtId="0" fontId="6" fillId="0" borderId="0" xfId="0" applyFont="1" applyFill="1" applyBorder="1" applyAlignment="1">
      <alignment horizontal="left" wrapText="1"/>
    </xf>
    <xf numFmtId="0" fontId="3" fillId="0" borderId="43" xfId="0" applyFont="1" applyBorder="1" applyAlignment="1">
      <alignment horizontal="left" vertical="center" wrapText="1"/>
    </xf>
    <xf numFmtId="0" fontId="3" fillId="0" borderId="24" xfId="0" applyFont="1" applyBorder="1" applyAlignment="1">
      <alignment horizontal="left" vertical="center" wrapText="1"/>
    </xf>
    <xf numFmtId="0" fontId="3" fillId="0" borderId="16"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14" xfId="0" applyFont="1" applyBorder="1" applyAlignment="1">
      <alignment horizontal="center" vertical="center" wrapText="1"/>
    </xf>
    <xf numFmtId="0" fontId="8" fillId="0" borderId="28" xfId="0" applyFont="1" applyBorder="1" applyAlignment="1">
      <alignment horizontal="left" vertical="center" wrapText="1"/>
    </xf>
    <xf numFmtId="0" fontId="8" fillId="0" borderId="41" xfId="0" applyFont="1" applyBorder="1" applyAlignment="1">
      <alignment horizontal="left" vertical="center" wrapText="1"/>
    </xf>
    <xf numFmtId="0" fontId="8" fillId="0" borderId="24" xfId="0" applyFont="1" applyBorder="1" applyAlignment="1">
      <alignment horizontal="left" vertical="center" wrapText="1"/>
    </xf>
    <xf numFmtId="0" fontId="3" fillId="0" borderId="12" xfId="0" applyFont="1" applyBorder="1" applyAlignment="1">
      <alignment horizontal="left" vertical="center"/>
    </xf>
    <xf numFmtId="0" fontId="3" fillId="0" borderId="12" xfId="0" applyFont="1" applyBorder="1" applyAlignment="1">
      <alignment horizontal="center" vertical="center"/>
    </xf>
    <xf numFmtId="0" fontId="8" fillId="0" borderId="12" xfId="0" applyFont="1" applyBorder="1" applyAlignment="1">
      <alignment horizontal="left" vertical="center" wrapText="1"/>
    </xf>
    <xf numFmtId="0" fontId="3" fillId="0" borderId="28" xfId="0" applyFont="1" applyBorder="1" applyAlignment="1">
      <alignment horizontal="left" vertical="center"/>
    </xf>
    <xf numFmtId="0" fontId="3" fillId="0" borderId="24" xfId="0" applyFont="1" applyBorder="1" applyAlignment="1">
      <alignment horizontal="left" vertical="center"/>
    </xf>
    <xf numFmtId="0" fontId="3" fillId="0" borderId="28" xfId="0" applyFont="1" applyBorder="1" applyAlignment="1">
      <alignment horizontal="center" vertical="center"/>
    </xf>
    <xf numFmtId="0" fontId="3" fillId="0" borderId="41" xfId="0" applyFont="1" applyBorder="1" applyAlignment="1">
      <alignment horizontal="center" vertical="center"/>
    </xf>
    <xf numFmtId="0" fontId="3" fillId="0" borderId="24" xfId="0" applyFont="1" applyBorder="1" applyAlignment="1">
      <alignment horizontal="center" vertical="center"/>
    </xf>
    <xf numFmtId="0" fontId="9" fillId="0" borderId="42" xfId="0" applyFont="1" applyBorder="1" applyAlignment="1">
      <alignment horizontal="left" vertical="center" wrapText="1"/>
    </xf>
    <xf numFmtId="0" fontId="8" fillId="0" borderId="3" xfId="14" applyFont="1" applyBorder="1" applyAlignment="1">
      <alignment horizontal="center" vertical="center" wrapText="1"/>
    </xf>
    <xf numFmtId="0" fontId="8" fillId="0" borderId="7" xfId="14" applyFont="1" applyBorder="1" applyAlignment="1">
      <alignment horizontal="center" vertical="center" wrapText="1"/>
    </xf>
    <xf numFmtId="0" fontId="4" fillId="0" borderId="3" xfId="14" applyFont="1" applyBorder="1" applyAlignment="1">
      <alignment horizontal="center" vertical="center" wrapText="1"/>
    </xf>
    <xf numFmtId="0" fontId="45" fillId="0" borderId="3" xfId="14" applyFont="1" applyBorder="1" applyAlignment="1">
      <alignment horizontal="left" vertical="center" wrapText="1"/>
    </xf>
    <xf numFmtId="0" fontId="1" fillId="0" borderId="3" xfId="0" applyFont="1" applyFill="1" applyBorder="1" applyAlignment="1">
      <alignment horizontal="center" vertical="center" wrapText="1"/>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8" fillId="0" borderId="1" xfId="0" applyFont="1" applyBorder="1" applyAlignment="1">
      <alignment horizontal="left" vertical="center" wrapText="1"/>
    </xf>
    <xf numFmtId="0" fontId="8" fillId="0" borderId="7" xfId="0" applyFont="1" applyBorder="1" applyAlignment="1">
      <alignment horizontal="left" vertical="center" wrapText="1"/>
    </xf>
    <xf numFmtId="0" fontId="3" fillId="0" borderId="15" xfId="0" applyFont="1" applyBorder="1" applyAlignment="1">
      <alignment horizontal="center" vertical="center"/>
    </xf>
    <xf numFmtId="31" fontId="0" fillId="0" borderId="3" xfId="0" applyNumberFormat="1" applyFont="1" applyBorder="1" applyAlignment="1">
      <alignment horizontal="center" vertical="center"/>
    </xf>
    <xf numFmtId="0" fontId="3" fillId="0" borderId="3" xfId="0" applyFont="1" applyBorder="1" applyAlignment="1">
      <alignment horizontal="center" vertical="center"/>
    </xf>
    <xf numFmtId="0" fontId="68" fillId="0" borderId="1" xfId="20" applyFont="1" applyBorder="1" applyAlignment="1" applyProtection="1">
      <alignment horizontal="center" vertical="center"/>
    </xf>
    <xf numFmtId="176" fontId="8" fillId="0" borderId="1" xfId="0" applyNumberFormat="1" applyFont="1" applyBorder="1" applyAlignment="1">
      <alignment horizontal="left" vertical="center" wrapText="1"/>
    </xf>
    <xf numFmtId="0" fontId="8" fillId="0" borderId="9" xfId="0" applyFont="1" applyBorder="1" applyAlignment="1">
      <alignment horizontal="left" vertical="center" wrapText="1"/>
    </xf>
    <xf numFmtId="176" fontId="8" fillId="0" borderId="3" xfId="0" applyNumberFormat="1" applyFont="1" applyBorder="1" applyAlignment="1">
      <alignment horizontal="left" vertical="center" wrapText="1"/>
    </xf>
    <xf numFmtId="176" fontId="9" fillId="0" borderId="3" xfId="0" applyNumberFormat="1" applyFont="1" applyBorder="1" applyAlignment="1">
      <alignment horizontal="left" vertical="center" wrapText="1"/>
    </xf>
    <xf numFmtId="0" fontId="8" fillId="0" borderId="25" xfId="0" applyFont="1" applyBorder="1" applyAlignment="1">
      <alignment horizontal="left" vertical="center" wrapText="1"/>
    </xf>
    <xf numFmtId="0" fontId="103" fillId="0" borderId="3" xfId="0" applyFont="1" applyBorder="1" applyAlignment="1">
      <alignment horizontal="center" vertical="center" wrapText="1"/>
    </xf>
    <xf numFmtId="0" fontId="1" fillId="0" borderId="16" xfId="0" applyFont="1" applyBorder="1" applyAlignment="1">
      <alignment horizontal="left" vertical="center" wrapText="1"/>
    </xf>
    <xf numFmtId="0" fontId="1" fillId="0" borderId="30" xfId="0" applyFont="1" applyBorder="1" applyAlignment="1">
      <alignment horizontal="left" vertical="center" wrapText="1"/>
    </xf>
    <xf numFmtId="0" fontId="1" fillId="0" borderId="14" xfId="0" applyFont="1" applyBorder="1" applyAlignment="1">
      <alignment horizontal="left" vertical="center" wrapText="1"/>
    </xf>
    <xf numFmtId="0" fontId="103" fillId="0" borderId="19" xfId="0" applyFont="1" applyBorder="1" applyAlignment="1">
      <alignment horizontal="center" vertical="center" wrapText="1"/>
    </xf>
    <xf numFmtId="0" fontId="103" fillId="0" borderId="33" xfId="0" applyFont="1" applyBorder="1" applyAlignment="1">
      <alignment horizontal="center" vertical="center" wrapText="1"/>
    </xf>
    <xf numFmtId="0" fontId="103" fillId="0" borderId="28" xfId="0" applyFont="1" applyBorder="1" applyAlignment="1">
      <alignment horizontal="center" vertical="center" wrapText="1"/>
    </xf>
    <xf numFmtId="0" fontId="103" fillId="0" borderId="24" xfId="0" applyFont="1" applyBorder="1" applyAlignment="1">
      <alignment horizontal="center" vertical="center" wrapText="1"/>
    </xf>
    <xf numFmtId="0" fontId="8" fillId="0" borderId="3" xfId="0" applyFont="1" applyBorder="1" applyAlignment="1">
      <alignment vertical="center" wrapText="1"/>
    </xf>
    <xf numFmtId="0" fontId="0" fillId="0" borderId="3" xfId="0" applyFont="1" applyBorder="1" applyAlignment="1">
      <alignment horizontal="left" vertical="center" wrapText="1"/>
    </xf>
    <xf numFmtId="0" fontId="11" fillId="0" borderId="3" xfId="0" applyNumberFormat="1" applyFont="1" applyBorder="1" applyAlignment="1">
      <alignment horizontal="left" vertical="center" wrapText="1"/>
    </xf>
    <xf numFmtId="0" fontId="113" fillId="0" borderId="12" xfId="0" applyNumberFormat="1" applyFont="1" applyBorder="1" applyAlignment="1">
      <alignment horizontal="left" vertical="center" wrapText="1"/>
    </xf>
    <xf numFmtId="0" fontId="8" fillId="0" borderId="12" xfId="0" applyNumberFormat="1" applyFont="1" applyBorder="1" applyAlignment="1">
      <alignment horizontal="left" vertical="center" wrapText="1"/>
    </xf>
    <xf numFmtId="0" fontId="11" fillId="0" borderId="12" xfId="0" applyFont="1" applyBorder="1" applyAlignment="1">
      <alignment horizontal="left" vertical="center" wrapText="1"/>
    </xf>
    <xf numFmtId="0" fontId="11" fillId="0" borderId="25" xfId="0" applyFont="1" applyBorder="1" applyAlignment="1">
      <alignment horizontal="left" vertical="center" wrapText="1"/>
    </xf>
    <xf numFmtId="0" fontId="0" fillId="0" borderId="16" xfId="0" applyNumberFormat="1" applyBorder="1" applyAlignment="1">
      <alignment horizontal="center" vertical="center" wrapText="1"/>
    </xf>
    <xf numFmtId="0" fontId="0" fillId="0" borderId="30" xfId="0" applyNumberFormat="1" applyBorder="1" applyAlignment="1">
      <alignment horizontal="center" vertical="center" wrapText="1"/>
    </xf>
    <xf numFmtId="0" fontId="0" fillId="0" borderId="27" xfId="0" applyNumberFormat="1" applyBorder="1" applyAlignment="1">
      <alignment horizontal="center" vertical="center" wrapText="1"/>
    </xf>
    <xf numFmtId="0" fontId="8" fillId="0" borderId="16" xfId="0" applyFont="1" applyBorder="1" applyAlignment="1">
      <alignment horizontal="left" vertical="center" wrapText="1"/>
    </xf>
    <xf numFmtId="0" fontId="8" fillId="0" borderId="30" xfId="0" applyFont="1" applyBorder="1" applyAlignment="1">
      <alignment horizontal="left" vertical="center" wrapText="1"/>
    </xf>
    <xf numFmtId="0" fontId="3" fillId="0" borderId="3" xfId="0" applyFont="1" applyBorder="1" applyAlignment="1">
      <alignment horizontal="left" vertical="center"/>
    </xf>
    <xf numFmtId="0" fontId="11" fillId="0" borderId="3" xfId="0" applyNumberFormat="1" applyFont="1" applyBorder="1" applyAlignment="1">
      <alignment horizontal="center" vertical="center" wrapText="1"/>
    </xf>
    <xf numFmtId="0" fontId="9" fillId="0" borderId="14" xfId="0" applyFont="1" applyBorder="1" applyAlignment="1">
      <alignment vertical="center" wrapText="1"/>
    </xf>
    <xf numFmtId="0" fontId="9" fillId="0" borderId="27" xfId="0" applyFont="1" applyBorder="1" applyAlignment="1">
      <alignment horizontal="center" vertical="center" wrapText="1"/>
    </xf>
    <xf numFmtId="0" fontId="9" fillId="0" borderId="12" xfId="0" applyFont="1" applyBorder="1" applyAlignment="1">
      <alignment horizontal="center" vertical="center" wrapText="1"/>
    </xf>
    <xf numFmtId="0" fontId="8" fillId="0" borderId="14" xfId="0" applyFont="1" applyBorder="1" applyAlignment="1">
      <alignment horizontal="left" vertical="center" wrapText="1"/>
    </xf>
    <xf numFmtId="0" fontId="8" fillId="0" borderId="16" xfId="0" applyFont="1" applyBorder="1" applyAlignment="1">
      <alignment horizontal="center" vertical="center" wrapText="1"/>
    </xf>
    <xf numFmtId="0" fontId="8" fillId="0" borderId="12" xfId="0" applyFont="1" applyBorder="1" applyAlignment="1">
      <alignment horizontal="center" vertical="center" wrapText="1"/>
    </xf>
    <xf numFmtId="0" fontId="3" fillId="0" borderId="3" xfId="0" applyFont="1" applyBorder="1" applyAlignment="1">
      <alignment horizontal="left" vertical="center" wrapText="1"/>
    </xf>
    <xf numFmtId="0" fontId="3" fillId="0" borderId="3" xfId="0" applyNumberFormat="1" applyFont="1" applyBorder="1" applyAlignment="1">
      <alignment horizontal="left" vertical="center" wrapText="1"/>
    </xf>
    <xf numFmtId="0" fontId="1" fillId="0" borderId="16" xfId="0" applyFont="1" applyBorder="1" applyAlignment="1">
      <alignment horizontal="center" vertical="center" wrapText="1"/>
    </xf>
    <xf numFmtId="0" fontId="1" fillId="0" borderId="14" xfId="0" applyFont="1" applyBorder="1" applyAlignment="1">
      <alignment horizontal="center" vertical="center" wrapText="1"/>
    </xf>
    <xf numFmtId="0" fontId="3" fillId="0" borderId="3" xfId="0" applyNumberFormat="1" applyFont="1" applyBorder="1" applyAlignment="1">
      <alignment horizontal="center" vertical="center" wrapText="1"/>
    </xf>
    <xf numFmtId="0" fontId="9" fillId="0" borderId="3" xfId="0" applyNumberFormat="1" applyFont="1" applyBorder="1" applyAlignment="1">
      <alignment horizontal="left" vertical="center" wrapText="1"/>
    </xf>
    <xf numFmtId="0" fontId="8" fillId="0" borderId="30" xfId="0" applyFont="1" applyBorder="1" applyAlignment="1">
      <alignment horizontal="center" vertical="center" wrapText="1"/>
    </xf>
    <xf numFmtId="0" fontId="8" fillId="0" borderId="27" xfId="0" applyFont="1" applyBorder="1" applyAlignment="1">
      <alignment horizontal="center" vertical="center" wrapText="1"/>
    </xf>
    <xf numFmtId="0" fontId="1" fillId="0" borderId="14" xfId="17" applyFont="1" applyFill="1" applyBorder="1" applyAlignment="1">
      <alignment horizontal="center" vertical="center" wrapText="1"/>
    </xf>
    <xf numFmtId="0" fontId="6" fillId="0" borderId="3" xfId="0" applyNumberFormat="1" applyFont="1" applyBorder="1" applyAlignment="1">
      <alignment horizontal="left" vertical="center" wrapText="1"/>
    </xf>
    <xf numFmtId="0" fontId="8" fillId="0" borderId="3" xfId="0" applyNumberFormat="1" applyFont="1" applyBorder="1" applyAlignment="1">
      <alignment horizontal="left" vertical="center" wrapText="1"/>
    </xf>
    <xf numFmtId="31" fontId="3"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24" fillId="0" borderId="3" xfId="0" applyFont="1" applyBorder="1" applyAlignment="1">
      <alignment horizontal="center" vertical="center"/>
    </xf>
    <xf numFmtId="0" fontId="24" fillId="0" borderId="7" xfId="0" applyFont="1" applyBorder="1" applyAlignment="1">
      <alignment horizontal="center" vertical="center"/>
    </xf>
    <xf numFmtId="0" fontId="9" fillId="2" borderId="7" xfId="0" applyFont="1" applyFill="1" applyBorder="1" applyAlignment="1">
      <alignment horizontal="left" vertical="center" wrapText="1"/>
    </xf>
    <xf numFmtId="0" fontId="9" fillId="2" borderId="3" xfId="0" applyFont="1" applyFill="1" applyBorder="1" applyAlignment="1">
      <alignment horizontal="center" vertical="center" wrapText="1"/>
    </xf>
    <xf numFmtId="0" fontId="9" fillId="2" borderId="7" xfId="0" applyFont="1" applyFill="1" applyBorder="1" applyAlignment="1">
      <alignment horizontal="center" vertical="center" wrapText="1"/>
    </xf>
    <xf numFmtId="0" fontId="3" fillId="0" borderId="1" xfId="0" applyFont="1" applyBorder="1" applyAlignment="1">
      <alignment horizontal="left" vertical="center" wrapText="1"/>
    </xf>
    <xf numFmtId="0" fontId="24" fillId="0" borderId="3" xfId="14" applyFont="1" applyBorder="1" applyAlignment="1">
      <alignment horizontal="center" vertical="center" wrapText="1"/>
    </xf>
    <xf numFmtId="0" fontId="24" fillId="0" borderId="30" xfId="14" applyFont="1" applyBorder="1" applyAlignment="1">
      <alignment horizontal="center" vertical="center" wrapText="1"/>
    </xf>
    <xf numFmtId="0" fontId="24" fillId="0" borderId="14" xfId="14" applyFont="1" applyBorder="1" applyAlignment="1">
      <alignment horizontal="center" vertical="center" wrapText="1"/>
    </xf>
    <xf numFmtId="0" fontId="24" fillId="0" borderId="7" xfId="14" applyFont="1" applyBorder="1" applyAlignment="1">
      <alignment horizontal="center" vertical="center" wrapText="1"/>
    </xf>
    <xf numFmtId="0" fontId="4" fillId="0" borderId="28" xfId="0" applyFont="1" applyBorder="1" applyAlignment="1">
      <alignment horizontal="center" vertical="center" wrapText="1"/>
    </xf>
    <xf numFmtId="0" fontId="4" fillId="0" borderId="42" xfId="0" applyFont="1" applyBorder="1" applyAlignment="1">
      <alignment horizontal="center" vertical="center" wrapText="1"/>
    </xf>
    <xf numFmtId="0" fontId="24" fillId="0" borderId="3" xfId="14" applyFont="1" applyBorder="1" applyAlignment="1">
      <alignment horizontal="left" vertical="center" wrapText="1"/>
    </xf>
    <xf numFmtId="0" fontId="24" fillId="0" borderId="16" xfId="14" applyFont="1" applyBorder="1" applyAlignment="1">
      <alignment horizontal="left" vertical="center" wrapText="1"/>
    </xf>
    <xf numFmtId="0" fontId="24" fillId="0" borderId="30" xfId="14" applyFont="1" applyBorder="1" applyAlignment="1">
      <alignment horizontal="left" vertical="center" wrapText="1"/>
    </xf>
    <xf numFmtId="0" fontId="24" fillId="0" borderId="27" xfId="14" applyFont="1" applyBorder="1" applyAlignment="1">
      <alignment horizontal="left" vertical="center" wrapText="1"/>
    </xf>
    <xf numFmtId="0" fontId="3" fillId="0" borderId="1" xfId="0" applyFont="1" applyBorder="1" applyAlignment="1">
      <alignment horizontal="center" vertical="center" wrapText="1"/>
    </xf>
    <xf numFmtId="0" fontId="4" fillId="0" borderId="28" xfId="0" applyNumberFormat="1" applyFont="1" applyBorder="1" applyAlignment="1">
      <alignment horizontal="center" vertical="center" wrapText="1"/>
    </xf>
    <xf numFmtId="0" fontId="4" fillId="0" borderId="42" xfId="0" applyNumberFormat="1" applyFont="1" applyBorder="1" applyAlignment="1">
      <alignment horizontal="center" vertical="center" wrapText="1"/>
    </xf>
    <xf numFmtId="0" fontId="1" fillId="0" borderId="3" xfId="0" quotePrefix="1" applyFont="1" applyBorder="1" applyAlignment="1">
      <alignment horizontal="left" vertical="center" wrapText="1"/>
    </xf>
    <xf numFmtId="14" fontId="3" fillId="0" borderId="1" xfId="0" applyNumberFormat="1" applyFont="1" applyBorder="1" applyAlignment="1">
      <alignment horizontal="center" vertical="center"/>
    </xf>
    <xf numFmtId="0" fontId="4" fillId="0" borderId="41" xfId="0" applyNumberFormat="1" applyFont="1" applyBorder="1" applyAlignment="1">
      <alignment horizontal="center" vertical="center" wrapText="1"/>
    </xf>
    <xf numFmtId="9" fontId="1" fillId="0" borderId="12" xfId="0" applyNumberFormat="1" applyFont="1" applyBorder="1" applyAlignment="1">
      <alignment horizontal="center" vertical="center" wrapText="1"/>
    </xf>
    <xf numFmtId="0" fontId="4" fillId="0" borderId="12" xfId="14" applyFont="1" applyBorder="1" applyAlignment="1">
      <alignment horizontal="center" vertical="center" wrapText="1"/>
    </xf>
    <xf numFmtId="0" fontId="0" fillId="0" borderId="0" xfId="0" applyNumberFormat="1" applyAlignment="1">
      <alignment horizontal="center" vertical="center" wrapText="1"/>
    </xf>
    <xf numFmtId="0" fontId="4" fillId="0" borderId="14" xfId="0" applyNumberFormat="1" applyFont="1" applyBorder="1" applyAlignment="1">
      <alignment horizontal="left" vertical="center" wrapText="1"/>
    </xf>
    <xf numFmtId="0" fontId="4" fillId="0" borderId="3" xfId="0" applyNumberFormat="1" applyFont="1" applyBorder="1" applyAlignment="1">
      <alignment horizontal="left" vertical="center" wrapText="1"/>
    </xf>
    <xf numFmtId="0" fontId="8" fillId="0" borderId="28" xfId="0" applyNumberFormat="1" applyFont="1" applyBorder="1" applyAlignment="1">
      <alignment horizontal="center" vertical="center" wrapText="1"/>
    </xf>
    <xf numFmtId="0" fontId="8" fillId="0" borderId="41" xfId="0" applyNumberFormat="1" applyFont="1" applyBorder="1" applyAlignment="1">
      <alignment horizontal="center" vertical="center" wrapText="1"/>
    </xf>
    <xf numFmtId="0" fontId="8" fillId="0" borderId="42" xfId="0" applyNumberFormat="1" applyFont="1" applyBorder="1" applyAlignment="1">
      <alignment horizontal="center" vertical="center" wrapText="1"/>
    </xf>
    <xf numFmtId="0" fontId="1" fillId="0" borderId="24" xfId="0" applyFont="1" applyBorder="1" applyAlignment="1">
      <alignment horizontal="center" vertical="center" wrapText="1"/>
    </xf>
    <xf numFmtId="0" fontId="3" fillId="0" borderId="49" xfId="0" applyFont="1" applyBorder="1" applyAlignment="1">
      <alignment horizontal="center" vertical="center"/>
    </xf>
    <xf numFmtId="0" fontId="3" fillId="0" borderId="22" xfId="0" applyFont="1" applyBorder="1" applyAlignment="1">
      <alignment horizontal="center" vertical="center"/>
    </xf>
    <xf numFmtId="31" fontId="22" fillId="0" borderId="50" xfId="0" applyNumberFormat="1" applyFont="1" applyBorder="1" applyAlignment="1">
      <alignment horizontal="center" vertical="center"/>
    </xf>
    <xf numFmtId="31" fontId="22" fillId="0" borderId="12" xfId="0" applyNumberFormat="1" applyFont="1" applyBorder="1" applyAlignment="1">
      <alignment horizontal="center" vertical="center"/>
    </xf>
    <xf numFmtId="0" fontId="3" fillId="0" borderId="44" xfId="0" applyFont="1" applyBorder="1" applyAlignment="1">
      <alignment horizontal="center" vertical="center"/>
    </xf>
    <xf numFmtId="0" fontId="3" fillId="0" borderId="44" xfId="0" applyFont="1" applyBorder="1" applyAlignment="1">
      <alignment horizontal="center" vertical="center" wrapText="1"/>
    </xf>
    <xf numFmtId="0" fontId="3" fillId="0" borderId="51"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24" xfId="0" applyFont="1" applyBorder="1" applyAlignment="1">
      <alignment horizontal="center" vertical="center" wrapText="1"/>
    </xf>
    <xf numFmtId="31" fontId="4" fillId="0" borderId="3" xfId="14" applyNumberFormat="1" applyFont="1" applyBorder="1" applyAlignment="1">
      <alignment horizontal="left" vertical="center" wrapText="1"/>
    </xf>
    <xf numFmtId="0" fontId="3" fillId="0" borderId="1" xfId="0" applyNumberFormat="1" applyFont="1" applyBorder="1" applyAlignment="1">
      <alignment horizontal="center" vertical="center" wrapText="1"/>
    </xf>
    <xf numFmtId="0" fontId="4" fillId="0" borderId="14" xfId="0" applyNumberFormat="1" applyFont="1" applyBorder="1" applyAlignment="1">
      <alignment horizontal="center" vertical="center" wrapText="1"/>
    </xf>
    <xf numFmtId="0" fontId="4" fillId="0" borderId="3" xfId="0" applyNumberFormat="1" applyFont="1" applyBorder="1" applyAlignment="1">
      <alignment horizontal="center" vertical="center" wrapText="1"/>
    </xf>
    <xf numFmtId="0" fontId="8" fillId="8" borderId="3" xfId="14" applyFont="1" applyFill="1" applyBorder="1" applyAlignment="1">
      <alignment horizontal="left" vertical="center" wrapText="1"/>
    </xf>
    <xf numFmtId="0" fontId="9" fillId="0" borderId="3" xfId="14" applyFont="1" applyBorder="1" applyAlignment="1">
      <alignment horizontal="center" vertical="center" wrapText="1"/>
    </xf>
    <xf numFmtId="0" fontId="4" fillId="0" borderId="16" xfId="14" applyFont="1" applyBorder="1" applyAlignment="1">
      <alignment horizontal="center" vertical="center" wrapText="1"/>
    </xf>
    <xf numFmtId="0" fontId="4" fillId="0" borderId="14" xfId="14" applyFont="1" applyBorder="1" applyAlignment="1">
      <alignment horizontal="center" vertical="center" wrapText="1"/>
    </xf>
    <xf numFmtId="0" fontId="4" fillId="0" borderId="30" xfId="14" applyFont="1" applyBorder="1" applyAlignment="1">
      <alignment horizontal="center" vertical="center" wrapText="1"/>
    </xf>
    <xf numFmtId="57" fontId="3" fillId="0" borderId="1" xfId="0" applyNumberFormat="1" applyFont="1" applyBorder="1" applyAlignment="1">
      <alignment horizontal="center" vertical="center"/>
    </xf>
    <xf numFmtId="0" fontId="11" fillId="0" borderId="14" xfId="0" applyNumberFormat="1" applyFont="1" applyBorder="1" applyAlignment="1">
      <alignment horizontal="center" vertical="center" wrapText="1"/>
    </xf>
    <xf numFmtId="0" fontId="9" fillId="0" borderId="17" xfId="14" applyFont="1" applyBorder="1" applyAlignment="1">
      <alignment horizontal="center" vertical="center" wrapText="1"/>
    </xf>
    <xf numFmtId="0" fontId="9" fillId="0" borderId="19" xfId="14" applyFont="1" applyBorder="1" applyAlignment="1">
      <alignment horizontal="center" vertical="center" wrapText="1"/>
    </xf>
    <xf numFmtId="0" fontId="8" fillId="0" borderId="17" xfId="0" applyFont="1" applyBorder="1" applyAlignment="1">
      <alignment horizontal="left" vertical="center" wrapText="1"/>
    </xf>
    <xf numFmtId="0" fontId="11" fillId="0" borderId="33" xfId="0" applyNumberFormat="1" applyFont="1" applyBorder="1" applyAlignment="1">
      <alignment horizontal="center" vertical="center" wrapText="1"/>
    </xf>
    <xf numFmtId="0" fontId="11" fillId="0" borderId="17" xfId="0" applyNumberFormat="1" applyFont="1" applyBorder="1" applyAlignment="1">
      <alignment horizontal="center" vertical="center" wrapText="1"/>
    </xf>
    <xf numFmtId="0" fontId="3" fillId="0" borderId="50" xfId="0" applyFont="1" applyBorder="1" applyAlignment="1">
      <alignment horizontal="center" vertical="center"/>
    </xf>
    <xf numFmtId="0" fontId="3" fillId="0" borderId="5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14" xfId="0" applyNumberFormat="1" applyFont="1" applyBorder="1" applyAlignment="1">
      <alignment horizontal="left" vertical="center" wrapText="1"/>
    </xf>
    <xf numFmtId="0" fontId="8" fillId="0" borderId="42" xfId="0" applyFont="1" applyBorder="1" applyAlignment="1">
      <alignment horizontal="left" vertical="center" wrapText="1"/>
    </xf>
    <xf numFmtId="0" fontId="9" fillId="0" borderId="35" xfId="14" applyFont="1" applyBorder="1" applyAlignment="1">
      <alignment horizontal="center" vertical="center" wrapText="1"/>
    </xf>
    <xf numFmtId="0" fontId="9" fillId="0" borderId="33" xfId="14" applyFont="1" applyBorder="1" applyAlignment="1">
      <alignment horizontal="center" vertical="center" wrapText="1"/>
    </xf>
    <xf numFmtId="0" fontId="4" fillId="0" borderId="16" xfId="14" applyFont="1" applyBorder="1" applyAlignment="1">
      <alignment horizontal="left" vertical="center" wrapText="1"/>
    </xf>
    <xf numFmtId="0" fontId="4" fillId="0" borderId="30" xfId="14" applyFont="1" applyBorder="1" applyAlignment="1">
      <alignment horizontal="left" vertical="center" wrapText="1"/>
    </xf>
    <xf numFmtId="0" fontId="8" fillId="0" borderId="30" xfId="14" applyFont="1" applyBorder="1" applyAlignment="1">
      <alignment horizontal="left" vertical="center" wrapText="1"/>
    </xf>
    <xf numFmtId="0" fontId="8" fillId="0" borderId="27" xfId="14" applyFont="1" applyBorder="1" applyAlignment="1">
      <alignment horizontal="left" vertical="center" wrapText="1"/>
    </xf>
    <xf numFmtId="0" fontId="9" fillId="0" borderId="17" xfId="0" applyFont="1" applyBorder="1" applyAlignment="1">
      <alignment horizontal="left" vertical="center" wrapText="1"/>
    </xf>
    <xf numFmtId="0" fontId="11" fillId="0" borderId="33" xfId="0" applyNumberFormat="1" applyFont="1" applyBorder="1" applyAlignment="1">
      <alignment horizontal="left" vertical="center" wrapText="1"/>
    </xf>
    <xf numFmtId="0" fontId="11" fillId="0" borderId="17" xfId="0" applyNumberFormat="1" applyFont="1" applyBorder="1" applyAlignment="1">
      <alignment horizontal="left" vertical="center" wrapText="1"/>
    </xf>
    <xf numFmtId="0" fontId="3" fillId="0" borderId="17" xfId="0" applyFont="1" applyBorder="1" applyAlignment="1">
      <alignment horizontal="center" vertical="center"/>
    </xf>
    <xf numFmtId="0" fontId="3" fillId="0" borderId="52" xfId="0" applyFont="1" applyBorder="1" applyAlignment="1">
      <alignment horizontal="center" vertical="center"/>
    </xf>
    <xf numFmtId="57" fontId="3" fillId="0" borderId="19" xfId="0" applyNumberFormat="1" applyFont="1" applyBorder="1" applyAlignment="1">
      <alignment horizontal="center" vertical="center"/>
    </xf>
    <xf numFmtId="57" fontId="3" fillId="0" borderId="33" xfId="0" applyNumberFormat="1" applyFont="1" applyBorder="1" applyAlignment="1">
      <alignment horizontal="center" vertical="center"/>
    </xf>
    <xf numFmtId="57" fontId="3" fillId="0" borderId="28" xfId="0" applyNumberFormat="1" applyFont="1" applyBorder="1" applyAlignment="1">
      <alignment horizontal="center" vertical="center"/>
    </xf>
    <xf numFmtId="57" fontId="3" fillId="0" borderId="24" xfId="0" applyNumberFormat="1" applyFont="1" applyBorder="1" applyAlignment="1">
      <alignment horizontal="center" vertical="center"/>
    </xf>
    <xf numFmtId="0" fontId="1" fillId="0" borderId="28" xfId="0" applyFont="1" applyBorder="1" applyAlignment="1">
      <alignment horizontal="center" vertical="center" wrapText="1"/>
    </xf>
    <xf numFmtId="0" fontId="1" fillId="0" borderId="41" xfId="0" applyFont="1" applyBorder="1" applyAlignment="1">
      <alignment horizontal="center" vertical="center" wrapText="1"/>
    </xf>
    <xf numFmtId="0" fontId="1" fillId="0" borderId="42" xfId="0" applyFont="1" applyBorder="1" applyAlignment="1">
      <alignment horizontal="center" vertical="center" wrapText="1"/>
    </xf>
    <xf numFmtId="0" fontId="10" fillId="3" borderId="18" xfId="0" applyNumberFormat="1" applyFont="1" applyFill="1" applyBorder="1" applyAlignment="1">
      <alignment horizontal="center" vertical="center" wrapText="1"/>
    </xf>
    <xf numFmtId="0" fontId="10" fillId="3" borderId="25" xfId="0" applyNumberFormat="1" applyFont="1" applyFill="1" applyBorder="1" applyAlignment="1">
      <alignment horizontal="center" vertical="center" wrapText="1"/>
    </xf>
    <xf numFmtId="0" fontId="1" fillId="0" borderId="16" xfId="17" applyFont="1" applyFill="1" applyBorder="1" applyAlignment="1">
      <alignment horizontal="center" vertical="center"/>
    </xf>
    <xf numFmtId="0" fontId="1" fillId="0" borderId="30" xfId="17" applyFont="1" applyFill="1" applyBorder="1" applyAlignment="1">
      <alignment horizontal="center" vertical="center"/>
    </xf>
    <xf numFmtId="0" fontId="1" fillId="0" borderId="27" xfId="17" applyFont="1" applyFill="1" applyBorder="1" applyAlignment="1">
      <alignment horizontal="center" vertical="center"/>
    </xf>
    <xf numFmtId="0" fontId="1" fillId="0" borderId="28" xfId="0" applyFont="1" applyBorder="1" applyAlignment="1">
      <alignment horizontal="left" vertical="center" wrapText="1"/>
    </xf>
    <xf numFmtId="0" fontId="1" fillId="0" borderId="41" xfId="0" applyFont="1" applyBorder="1" applyAlignment="1">
      <alignment horizontal="left" vertical="center" wrapText="1"/>
    </xf>
    <xf numFmtId="0" fontId="1" fillId="0" borderId="42" xfId="0" applyFont="1" applyBorder="1" applyAlignment="1">
      <alignment horizontal="left" vertical="center" wrapText="1"/>
    </xf>
    <xf numFmtId="0" fontId="4" fillId="0" borderId="27" xfId="14" applyFont="1" applyBorder="1" applyAlignment="1">
      <alignment horizontal="center" vertical="center" wrapText="1"/>
    </xf>
    <xf numFmtId="0" fontId="5" fillId="3" borderId="18" xfId="0" applyNumberFormat="1" applyFont="1" applyFill="1" applyBorder="1" applyAlignment="1">
      <alignment horizontal="left" vertical="center" wrapText="1"/>
    </xf>
    <xf numFmtId="0" fontId="5" fillId="3" borderId="13" xfId="0" applyNumberFormat="1" applyFont="1" applyFill="1" applyBorder="1" applyAlignment="1">
      <alignment horizontal="left" vertical="center" wrapText="1"/>
    </xf>
    <xf numFmtId="0" fontId="5" fillId="3" borderId="25" xfId="0" applyNumberFormat="1" applyFont="1" applyFill="1" applyBorder="1" applyAlignment="1">
      <alignment horizontal="left" vertical="center" wrapText="1"/>
    </xf>
    <xf numFmtId="0" fontId="0" fillId="0" borderId="16" xfId="0" applyBorder="1" applyAlignment="1">
      <alignment horizontal="center" vertical="center"/>
    </xf>
    <xf numFmtId="0" fontId="0" fillId="0" borderId="14" xfId="0" applyBorder="1" applyAlignment="1">
      <alignment horizontal="center" vertical="center"/>
    </xf>
    <xf numFmtId="0" fontId="11" fillId="0" borderId="16" xfId="0" applyNumberFormat="1" applyFont="1" applyBorder="1" applyAlignment="1">
      <alignment horizontal="center" vertical="center" wrapText="1"/>
    </xf>
    <xf numFmtId="0" fontId="8" fillId="0" borderId="28" xfId="0" applyFont="1" applyBorder="1" applyAlignment="1">
      <alignment horizontal="center" vertical="center" wrapText="1"/>
    </xf>
    <xf numFmtId="0" fontId="8" fillId="0" borderId="41" xfId="0" applyFont="1" applyBorder="1" applyAlignment="1">
      <alignment horizontal="center" vertical="center" wrapText="1"/>
    </xf>
    <xf numFmtId="0" fontId="8" fillId="0" borderId="42" xfId="0" applyFont="1" applyBorder="1" applyAlignment="1">
      <alignment horizontal="center" vertical="center" wrapText="1"/>
    </xf>
    <xf numFmtId="57" fontId="3" fillId="0" borderId="1" xfId="0" applyNumberFormat="1" applyFont="1" applyBorder="1" applyAlignment="1">
      <alignment horizontal="center" vertical="center" wrapText="1"/>
    </xf>
    <xf numFmtId="0" fontId="8" fillId="0" borderId="7" xfId="0" applyFont="1" applyBorder="1" applyAlignment="1">
      <alignment horizontal="center" vertical="center" wrapText="1"/>
    </xf>
    <xf numFmtId="0" fontId="0" fillId="0" borderId="10" xfId="0" applyFont="1" applyBorder="1" applyAlignment="1">
      <alignment horizontal="center" vertical="center" wrapText="1"/>
    </xf>
    <xf numFmtId="0" fontId="0" fillId="0" borderId="22"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0" fillId="0" borderId="32"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28" xfId="0" applyFont="1" applyBorder="1" applyAlignment="1">
      <alignment horizontal="center" vertical="center" wrapText="1"/>
    </xf>
    <xf numFmtId="0" fontId="0" fillId="0" borderId="24" xfId="0" applyFont="1" applyBorder="1" applyAlignment="1">
      <alignment horizontal="center" vertical="center" wrapText="1"/>
    </xf>
    <xf numFmtId="0" fontId="61" fillId="0" borderId="32" xfId="0" applyFont="1" applyBorder="1" applyAlignment="1">
      <alignment horizontal="center" vertical="center" wrapText="1"/>
    </xf>
    <xf numFmtId="0" fontId="61" fillId="0" borderId="29" xfId="0" applyFont="1" applyBorder="1" applyAlignment="1">
      <alignment horizontal="center" vertical="center" wrapText="1"/>
    </xf>
    <xf numFmtId="0" fontId="61" fillId="0" borderId="28" xfId="0" applyFont="1" applyBorder="1" applyAlignment="1">
      <alignment horizontal="center" vertical="center" wrapText="1"/>
    </xf>
    <xf numFmtId="0" fontId="61" fillId="0" borderId="24" xfId="0" applyFont="1" applyBorder="1" applyAlignment="1">
      <alignment horizontal="center" vertical="center" wrapText="1"/>
    </xf>
    <xf numFmtId="0" fontId="1" fillId="0" borderId="3" xfId="0" applyFont="1" applyBorder="1" applyAlignment="1">
      <alignment horizontal="left" vertical="center"/>
    </xf>
    <xf numFmtId="0" fontId="0" fillId="0" borderId="22" xfId="0" applyFont="1" applyBorder="1" applyAlignment="1">
      <alignment horizontal="center" vertical="center"/>
    </xf>
    <xf numFmtId="0" fontId="0" fillId="0" borderId="12" xfId="0" applyFont="1" applyBorder="1" applyAlignment="1">
      <alignment horizontal="center" vertical="center"/>
    </xf>
    <xf numFmtId="0" fontId="6" fillId="0" borderId="12" xfId="0" applyFont="1" applyBorder="1" applyAlignment="1">
      <alignment horizontal="left" vertical="center" wrapText="1"/>
    </xf>
    <xf numFmtId="0" fontId="1" fillId="0" borderId="3" xfId="0" applyNumberFormat="1" applyFont="1" applyBorder="1" applyAlignment="1">
      <alignment horizontal="left" vertical="center" wrapText="1"/>
    </xf>
    <xf numFmtId="0" fontId="0" fillId="0" borderId="44" xfId="0" applyFont="1" applyBorder="1" applyAlignment="1">
      <alignment horizontal="center" vertical="center" wrapText="1"/>
    </xf>
    <xf numFmtId="0" fontId="0" fillId="0" borderId="51" xfId="0" applyFont="1" applyBorder="1" applyAlignment="1">
      <alignment horizontal="center" vertical="center" wrapText="1"/>
    </xf>
    <xf numFmtId="0" fontId="6" fillId="0" borderId="44" xfId="0" applyFont="1" applyBorder="1" applyAlignment="1">
      <alignment horizontal="center" vertical="center"/>
    </xf>
    <xf numFmtId="0" fontId="6" fillId="0" borderId="52" xfId="0" applyFont="1" applyBorder="1" applyAlignment="1">
      <alignment horizontal="center" vertical="center"/>
    </xf>
    <xf numFmtId="0" fontId="6" fillId="0" borderId="51" xfId="0" applyFont="1" applyBorder="1" applyAlignment="1">
      <alignment horizontal="center" vertical="center"/>
    </xf>
    <xf numFmtId="0" fontId="6" fillId="0" borderId="28" xfId="0" applyFont="1" applyBorder="1" applyAlignment="1">
      <alignment horizontal="center" vertical="center"/>
    </xf>
    <xf numFmtId="0" fontId="6" fillId="0" borderId="41" xfId="0" applyFont="1" applyBorder="1" applyAlignment="1">
      <alignment horizontal="center" vertical="center"/>
    </xf>
    <xf numFmtId="0" fontId="6" fillId="0" borderId="24" xfId="0" applyFont="1" applyBorder="1" applyAlignment="1">
      <alignment horizontal="center" vertical="center"/>
    </xf>
    <xf numFmtId="0" fontId="55" fillId="0" borderId="3" xfId="0" applyNumberFormat="1" applyFont="1" applyFill="1" applyBorder="1" applyAlignment="1">
      <alignment horizontal="left" vertical="center" wrapText="1"/>
    </xf>
    <xf numFmtId="0" fontId="19" fillId="0" borderId="16" xfId="0" applyFont="1" applyBorder="1" applyAlignment="1">
      <alignment horizontal="center" vertical="center" wrapText="1"/>
    </xf>
    <xf numFmtId="0" fontId="19" fillId="0" borderId="14" xfId="0" applyFont="1" applyBorder="1" applyAlignment="1">
      <alignment horizontal="center" vertical="center" wrapText="1"/>
    </xf>
    <xf numFmtId="0" fontId="8" fillId="0" borderId="19" xfId="0" applyFont="1" applyBorder="1" applyAlignment="1">
      <alignment horizontal="left" vertical="center" wrapText="1"/>
    </xf>
    <xf numFmtId="0" fontId="1" fillId="0" borderId="28" xfId="0" applyFont="1" applyBorder="1" applyAlignment="1">
      <alignment horizontal="center" vertical="center"/>
    </xf>
    <xf numFmtId="0" fontId="1" fillId="0" borderId="24" xfId="0" applyFont="1" applyBorder="1" applyAlignment="1">
      <alignment horizontal="center" vertical="center"/>
    </xf>
    <xf numFmtId="0" fontId="0" fillId="0" borderId="49" xfId="0" applyFont="1" applyBorder="1" applyAlignment="1">
      <alignment horizontal="center" vertical="center"/>
    </xf>
    <xf numFmtId="0" fontId="0" fillId="0" borderId="50" xfId="0" applyFont="1" applyBorder="1" applyAlignment="1">
      <alignment horizontal="center" vertical="center"/>
    </xf>
    <xf numFmtId="14" fontId="0" fillId="0" borderId="50" xfId="0" applyNumberFormat="1" applyFont="1" applyBorder="1" applyAlignment="1">
      <alignment horizontal="center" vertical="center"/>
    </xf>
    <xf numFmtId="14" fontId="0" fillId="0" borderId="12" xfId="0" applyNumberFormat="1" applyFont="1" applyBorder="1" applyAlignment="1">
      <alignment horizontal="center" vertical="center"/>
    </xf>
    <xf numFmtId="0" fontId="6" fillId="0" borderId="50" xfId="0" applyFont="1" applyBorder="1" applyAlignment="1">
      <alignment horizontal="center" vertical="center"/>
    </xf>
    <xf numFmtId="0" fontId="6" fillId="0" borderId="12" xfId="0" applyFont="1" applyBorder="1" applyAlignment="1">
      <alignment horizontal="center" vertical="center"/>
    </xf>
    <xf numFmtId="0" fontId="1" fillId="0" borderId="16" xfId="13" applyFont="1" applyBorder="1" applyAlignment="1">
      <alignment horizontal="center" vertical="center" wrapText="1"/>
    </xf>
    <xf numFmtId="0" fontId="1" fillId="0" borderId="30" xfId="13" applyFont="1" applyBorder="1" applyAlignment="1">
      <alignment horizontal="center" vertical="center" wrapText="1"/>
    </xf>
    <xf numFmtId="0" fontId="1" fillId="0" borderId="14" xfId="13" applyFont="1" applyBorder="1" applyAlignment="1">
      <alignment horizontal="center" vertical="center" wrapText="1"/>
    </xf>
    <xf numFmtId="0" fontId="8" fillId="0" borderId="24" xfId="0" applyFont="1" applyBorder="1" applyAlignment="1">
      <alignment horizontal="center" vertical="center" wrapText="1"/>
    </xf>
    <xf numFmtId="0" fontId="0" fillId="0" borderId="16" xfId="0" applyFont="1" applyBorder="1" applyAlignment="1">
      <alignment horizontal="center" vertical="center" wrapText="1"/>
    </xf>
    <xf numFmtId="0" fontId="0" fillId="0" borderId="14" xfId="0" applyFont="1" applyBorder="1" applyAlignment="1">
      <alignment horizontal="center" vertical="center"/>
    </xf>
    <xf numFmtId="44" fontId="24" fillId="0" borderId="16" xfId="21" applyFont="1" applyBorder="1" applyAlignment="1">
      <alignment horizontal="center" vertical="center" wrapText="1"/>
    </xf>
    <xf numFmtId="44" fontId="24" fillId="0" borderId="27" xfId="21" applyFont="1" applyBorder="1" applyAlignment="1">
      <alignment horizontal="center" vertical="center" wrapText="1"/>
    </xf>
    <xf numFmtId="0" fontId="1" fillId="0" borderId="30" xfId="0" applyFont="1" applyBorder="1" applyAlignment="1">
      <alignment horizontal="center" vertical="center" wrapText="1"/>
    </xf>
    <xf numFmtId="0" fontId="47" fillId="0" borderId="18" xfId="0" applyFont="1" applyBorder="1" applyAlignment="1">
      <alignment horizontal="left" vertical="center" wrapText="1"/>
    </xf>
    <xf numFmtId="0" fontId="47" fillId="0" borderId="25" xfId="0" applyFont="1" applyBorder="1" applyAlignment="1">
      <alignment horizontal="left" vertical="center" wrapText="1"/>
    </xf>
    <xf numFmtId="0" fontId="9" fillId="0" borderId="19" xfId="0" applyFont="1" applyBorder="1" applyAlignment="1">
      <alignment horizontal="center" vertical="center" wrapText="1"/>
    </xf>
    <xf numFmtId="0" fontId="9" fillId="0" borderId="0" xfId="0" applyFont="1" applyBorder="1" applyAlignment="1">
      <alignment horizontal="center" vertical="center" wrapText="1"/>
    </xf>
    <xf numFmtId="0" fontId="9" fillId="0" borderId="33" xfId="0" applyFont="1" applyBorder="1" applyAlignment="1">
      <alignment horizontal="center" vertical="center" wrapText="1"/>
    </xf>
    <xf numFmtId="0" fontId="9" fillId="0" borderId="28" xfId="0" applyFont="1" applyBorder="1" applyAlignment="1">
      <alignment horizontal="center" vertical="center" wrapText="1"/>
    </xf>
    <xf numFmtId="0" fontId="9" fillId="0" borderId="41" xfId="0" applyFont="1" applyBorder="1" applyAlignment="1">
      <alignment horizontal="center" vertical="center" wrapText="1"/>
    </xf>
    <xf numFmtId="0" fontId="9" fillId="0" borderId="24" xfId="0" applyFont="1" applyBorder="1" applyAlignment="1">
      <alignment horizontal="center" vertical="center" wrapText="1"/>
    </xf>
    <xf numFmtId="0" fontId="0" fillId="0" borderId="12" xfId="0" applyBorder="1" applyAlignment="1">
      <alignment horizontal="left" vertical="center" wrapText="1"/>
    </xf>
    <xf numFmtId="0" fontId="11" fillId="0" borderId="3" xfId="0" applyFont="1" applyBorder="1" applyAlignment="1">
      <alignment horizontal="left" vertical="center" wrapText="1"/>
    </xf>
    <xf numFmtId="0" fontId="59" fillId="0" borderId="3" xfId="0" applyFont="1" applyBorder="1" applyAlignment="1">
      <alignment horizontal="left" vertical="center" wrapText="1"/>
    </xf>
    <xf numFmtId="0" fontId="8" fillId="0" borderId="30" xfId="17" applyFont="1" applyFill="1" applyBorder="1" applyAlignment="1">
      <alignment horizontal="center" vertical="center" wrapText="1"/>
    </xf>
    <xf numFmtId="0" fontId="8" fillId="0" borderId="14" xfId="17" applyFont="1" applyFill="1" applyBorder="1" applyAlignment="1">
      <alignment horizontal="center" vertical="center" wrapText="1"/>
    </xf>
    <xf numFmtId="0" fontId="8" fillId="0" borderId="14" xfId="0" applyFont="1" applyBorder="1" applyAlignment="1">
      <alignment horizontal="center" vertical="center" wrapText="1"/>
    </xf>
    <xf numFmtId="0" fontId="55" fillId="0" borderId="3" xfId="0" applyFont="1" applyBorder="1" applyAlignment="1">
      <alignment horizontal="left" vertical="center" wrapText="1"/>
    </xf>
    <xf numFmtId="0" fontId="113" fillId="0" borderId="3" xfId="0" applyFont="1" applyBorder="1" applyAlignment="1">
      <alignment horizontal="left" vertical="center" wrapText="1"/>
    </xf>
    <xf numFmtId="0" fontId="8" fillId="0" borderId="16" xfId="17" applyFont="1" applyFill="1" applyBorder="1" applyAlignment="1">
      <alignment horizontal="left" vertical="center" wrapText="1"/>
    </xf>
    <xf numFmtId="0" fontId="8" fillId="0" borderId="30" xfId="17" applyFont="1" applyFill="1" applyBorder="1" applyAlignment="1">
      <alignment horizontal="left" vertical="center" wrapText="1"/>
    </xf>
    <xf numFmtId="0" fontId="8" fillId="0" borderId="14" xfId="17" applyFont="1" applyFill="1" applyBorder="1" applyAlignment="1">
      <alignment horizontal="left" vertical="center" wrapText="1"/>
    </xf>
    <xf numFmtId="0" fontId="1" fillId="0" borderId="19" xfId="17" applyFont="1" applyFill="1" applyBorder="1" applyAlignment="1">
      <alignment horizontal="center" vertical="center"/>
    </xf>
    <xf numFmtId="0" fontId="1" fillId="0" borderId="33" xfId="17" applyFont="1" applyFill="1" applyBorder="1" applyAlignment="1">
      <alignment vertical="center"/>
    </xf>
    <xf numFmtId="0" fontId="113" fillId="0" borderId="17" xfId="0" applyFont="1" applyBorder="1" applyAlignment="1">
      <alignment horizontal="left" vertical="center" wrapText="1"/>
    </xf>
    <xf numFmtId="0" fontId="8" fillId="0" borderId="30" xfId="17" applyFont="1" applyFill="1" applyBorder="1" applyAlignment="1">
      <alignment horizontal="left" vertical="center"/>
    </xf>
    <xf numFmtId="0" fontId="8" fillId="0" borderId="14" xfId="17" applyFont="1" applyFill="1" applyBorder="1" applyAlignment="1">
      <alignment horizontal="left" vertical="center"/>
    </xf>
    <xf numFmtId="0" fontId="8" fillId="0" borderId="16" xfId="17" applyFont="1" applyFill="1" applyBorder="1" applyAlignment="1">
      <alignment horizontal="center" vertical="center" wrapText="1"/>
    </xf>
    <xf numFmtId="0" fontId="114" fillId="0" borderId="3" xfId="0" applyFont="1" applyBorder="1" applyAlignment="1">
      <alignment horizontal="left" vertical="center" wrapText="1"/>
    </xf>
    <xf numFmtId="0" fontId="93" fillId="0" borderId="3" xfId="0" applyFont="1" applyBorder="1" applyAlignment="1">
      <alignment horizontal="left" vertical="center" wrapText="1"/>
    </xf>
    <xf numFmtId="0" fontId="1" fillId="0" borderId="3" xfId="0" applyNumberFormat="1" applyFont="1" applyBorder="1" applyAlignment="1">
      <alignment horizontal="center" vertical="center" wrapText="1"/>
    </xf>
    <xf numFmtId="0" fontId="115" fillId="0" borderId="3" xfId="0" applyFont="1" applyBorder="1" applyAlignment="1">
      <alignment horizontal="left" vertical="center" wrapText="1"/>
    </xf>
    <xf numFmtId="0" fontId="0" fillId="0" borderId="16" xfId="17" applyFont="1" applyFill="1" applyBorder="1" applyAlignment="1">
      <alignment horizontal="center" vertical="center" wrapText="1"/>
    </xf>
    <xf numFmtId="0" fontId="0" fillId="0" borderId="30" xfId="17" applyFont="1" applyFill="1" applyBorder="1" applyAlignment="1">
      <alignment horizontal="center" vertical="center" wrapText="1"/>
    </xf>
    <xf numFmtId="0" fontId="0" fillId="0" borderId="14" xfId="17" applyFont="1" applyFill="1" applyBorder="1" applyAlignment="1">
      <alignment horizontal="center" vertical="center" wrapText="1"/>
    </xf>
    <xf numFmtId="31" fontId="18" fillId="0" borderId="1" xfId="0" applyNumberFormat="1" applyFont="1" applyBorder="1" applyAlignment="1">
      <alignment horizontal="left" vertical="center" wrapText="1" shrinkToFit="1"/>
    </xf>
    <xf numFmtId="0" fontId="8" fillId="0" borderId="1" xfId="0" applyFont="1" applyBorder="1" applyAlignment="1">
      <alignment vertical="center" wrapText="1"/>
    </xf>
    <xf numFmtId="0" fontId="8" fillId="0" borderId="9" xfId="0" applyFont="1" applyBorder="1" applyAlignment="1">
      <alignment vertical="center" wrapText="1"/>
    </xf>
    <xf numFmtId="0" fontId="1" fillId="0" borderId="7" xfId="0" applyFont="1" applyBorder="1" applyAlignment="1">
      <alignment horizontal="center" vertical="center"/>
    </xf>
    <xf numFmtId="31" fontId="8" fillId="2" borderId="12" xfId="0" applyNumberFormat="1" applyFont="1" applyFill="1" applyBorder="1" applyAlignment="1">
      <alignment horizontal="left" vertical="center" wrapText="1"/>
    </xf>
    <xf numFmtId="0" fontId="15" fillId="0" borderId="3" xfId="0" applyFont="1" applyFill="1" applyBorder="1" applyAlignment="1">
      <alignment horizontal="center" vertical="center"/>
    </xf>
    <xf numFmtId="0" fontId="3" fillId="2" borderId="28" xfId="0" applyFont="1" applyFill="1" applyBorder="1" applyAlignment="1">
      <alignment horizontal="center" vertical="center"/>
    </xf>
    <xf numFmtId="0" fontId="3" fillId="2" borderId="24" xfId="0" applyFont="1" applyFill="1" applyBorder="1" applyAlignment="1">
      <alignment horizontal="center" vertical="center"/>
    </xf>
    <xf numFmtId="0" fontId="4" fillId="2" borderId="16" xfId="0" applyFont="1" applyFill="1" applyBorder="1" applyAlignment="1">
      <alignment horizontal="left" vertical="center" wrapText="1"/>
    </xf>
    <xf numFmtId="0" fontId="4" fillId="2" borderId="3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52" fillId="0" borderId="3" xfId="0" applyFont="1" applyBorder="1" applyAlignment="1">
      <alignment horizontal="center" vertical="center" wrapText="1"/>
    </xf>
    <xf numFmtId="0" fontId="5" fillId="2" borderId="16" xfId="0" applyFont="1" applyFill="1" applyBorder="1" applyAlignment="1">
      <alignment horizontal="center" vertical="center"/>
    </xf>
    <xf numFmtId="0" fontId="5" fillId="2" borderId="24" xfId="0" applyFont="1" applyFill="1" applyBorder="1" applyAlignment="1">
      <alignment horizontal="center" vertical="center"/>
    </xf>
    <xf numFmtId="31" fontId="3" fillId="2" borderId="16" xfId="0" applyNumberFormat="1" applyFont="1" applyFill="1" applyBorder="1" applyAlignment="1">
      <alignment horizontal="center" vertical="center" wrapText="1"/>
    </xf>
    <xf numFmtId="31" fontId="3" fillId="2" borderId="41" xfId="0" applyNumberFormat="1" applyFont="1" applyFill="1" applyBorder="1" applyAlignment="1">
      <alignment horizontal="center" vertical="center" wrapText="1"/>
    </xf>
    <xf numFmtId="0" fontId="24" fillId="2" borderId="16" xfId="0" applyFont="1" applyFill="1" applyBorder="1" applyAlignment="1">
      <alignment horizontal="left" vertical="center" wrapText="1"/>
    </xf>
    <xf numFmtId="0" fontId="24" fillId="2" borderId="30" xfId="0" applyFont="1" applyFill="1" applyBorder="1" applyAlignment="1">
      <alignment horizontal="left" vertical="center" wrapText="1"/>
    </xf>
    <xf numFmtId="0" fontId="24" fillId="2" borderId="14" xfId="0" applyFont="1" applyFill="1" applyBorder="1" applyAlignment="1">
      <alignment horizontal="left" vertical="center" wrapText="1"/>
    </xf>
    <xf numFmtId="0" fontId="5" fillId="2" borderId="28" xfId="0" applyFont="1" applyFill="1" applyBorder="1" applyAlignment="1">
      <alignment horizontal="center" vertical="center"/>
    </xf>
    <xf numFmtId="0" fontId="8" fillId="0" borderId="53" xfId="0" applyFont="1" applyBorder="1" applyAlignment="1">
      <alignment horizontal="left" vertical="center" wrapText="1"/>
    </xf>
    <xf numFmtId="0" fontId="4" fillId="2" borderId="16" xfId="0" applyFont="1" applyFill="1" applyBorder="1" applyAlignment="1">
      <alignment horizontal="center" vertical="center" wrapText="1"/>
    </xf>
    <xf numFmtId="0" fontId="4" fillId="2" borderId="3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30"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5" fillId="0" borderId="3" xfId="0" applyNumberFormat="1" applyFont="1" applyFill="1" applyBorder="1" applyAlignment="1">
      <alignment horizontal="center" vertical="center" wrapText="1"/>
    </xf>
    <xf numFmtId="0" fontId="1" fillId="2" borderId="17" xfId="0" applyFont="1" applyFill="1" applyBorder="1" applyAlignment="1">
      <alignment horizontal="center" vertical="center" wrapText="1"/>
    </xf>
    <xf numFmtId="0" fontId="4" fillId="2" borderId="17" xfId="0" applyFont="1" applyFill="1" applyBorder="1" applyAlignment="1">
      <alignment horizontal="left" vertical="center" wrapText="1"/>
    </xf>
    <xf numFmtId="0" fontId="4" fillId="2" borderId="35" xfId="0" applyFont="1" applyFill="1" applyBorder="1" applyAlignment="1">
      <alignment horizontal="center" vertical="center" wrapText="1"/>
    </xf>
    <xf numFmtId="0" fontId="4" fillId="2" borderId="33" xfId="0" applyFont="1" applyFill="1" applyBorder="1" applyAlignment="1">
      <alignment horizontal="center" vertical="center" wrapText="1"/>
    </xf>
    <xf numFmtId="0" fontId="9" fillId="2" borderId="17" xfId="0" applyFont="1" applyFill="1" applyBorder="1" applyAlignment="1">
      <alignment horizontal="center" vertical="center" wrapText="1"/>
    </xf>
    <xf numFmtId="0" fontId="1" fillId="2" borderId="3" xfId="0" applyNumberFormat="1" applyFont="1" applyFill="1" applyBorder="1" applyAlignment="1">
      <alignment horizontal="center" vertical="center" wrapText="1"/>
    </xf>
    <xf numFmtId="0" fontId="1" fillId="2" borderId="12" xfId="0" applyFont="1" applyFill="1" applyBorder="1" applyAlignment="1">
      <alignment horizontal="left" vertical="center" wrapText="1"/>
    </xf>
    <xf numFmtId="9" fontId="15" fillId="0" borderId="3" xfId="0" applyNumberFormat="1" applyFont="1" applyFill="1" applyBorder="1" applyAlignment="1">
      <alignment horizontal="center" vertical="center"/>
    </xf>
    <xf numFmtId="0" fontId="116" fillId="2" borderId="3" xfId="0" applyFont="1" applyFill="1" applyBorder="1" applyAlignment="1">
      <alignment horizontal="center" vertical="center" wrapText="1"/>
    </xf>
    <xf numFmtId="0" fontId="116" fillId="2" borderId="16" xfId="0" applyFont="1" applyFill="1" applyBorder="1" applyAlignment="1">
      <alignment horizontal="center" vertical="center" wrapText="1"/>
    </xf>
    <xf numFmtId="0" fontId="116" fillId="2" borderId="28" xfId="0" applyFont="1" applyFill="1" applyBorder="1" applyAlignment="1">
      <alignment horizontal="left" vertical="center" wrapText="1"/>
    </xf>
    <xf numFmtId="0" fontId="116" fillId="2" borderId="41" xfId="0" applyFont="1" applyFill="1" applyBorder="1" applyAlignment="1">
      <alignment horizontal="left" vertical="center" wrapText="1"/>
    </xf>
    <xf numFmtId="0" fontId="116" fillId="2" borderId="24" xfId="0" applyFont="1" applyFill="1" applyBorder="1" applyAlignment="1">
      <alignment horizontal="left" vertical="center" wrapText="1"/>
    </xf>
    <xf numFmtId="0" fontId="8" fillId="0" borderId="32" xfId="0" applyFont="1" applyBorder="1" applyAlignment="1">
      <alignment horizontal="left" vertical="center" wrapText="1"/>
    </xf>
    <xf numFmtId="0" fontId="8" fillId="0" borderId="36" xfId="0" applyFont="1" applyBorder="1" applyAlignment="1">
      <alignment horizontal="left" vertical="center" wrapText="1"/>
    </xf>
    <xf numFmtId="0" fontId="49" fillId="0" borderId="3" xfId="0" applyFont="1" applyBorder="1" applyAlignment="1">
      <alignment horizontal="center" vertical="center" wrapText="1"/>
    </xf>
    <xf numFmtId="0" fontId="49" fillId="0" borderId="17" xfId="0" applyFont="1" applyBorder="1" applyAlignment="1">
      <alignment horizontal="center" vertical="center" wrapText="1"/>
    </xf>
    <xf numFmtId="0" fontId="9" fillId="2" borderId="35" xfId="0" applyFont="1" applyFill="1" applyBorder="1" applyAlignment="1">
      <alignment horizontal="center" vertical="center" wrapText="1"/>
    </xf>
    <xf numFmtId="0" fontId="3" fillId="2" borderId="10" xfId="0" applyFont="1" applyFill="1" applyBorder="1" applyAlignment="1">
      <alignment horizontal="center" vertical="center"/>
    </xf>
    <xf numFmtId="31" fontId="3" fillId="2" borderId="11" xfId="0" applyNumberFormat="1" applyFont="1" applyFill="1" applyBorder="1" applyAlignment="1">
      <alignment horizontal="center" vertical="center"/>
    </xf>
    <xf numFmtId="31" fontId="3" fillId="2" borderId="12" xfId="0" applyNumberFormat="1" applyFont="1" applyFill="1" applyBorder="1" applyAlignment="1">
      <alignment horizontal="center" vertical="center"/>
    </xf>
    <xf numFmtId="0" fontId="3" fillId="2" borderId="11" xfId="0" applyFont="1" applyFill="1" applyBorder="1" applyAlignment="1">
      <alignment horizontal="center" vertical="center"/>
    </xf>
    <xf numFmtId="31" fontId="3" fillId="2" borderId="32" xfId="0" applyNumberFormat="1" applyFont="1" applyFill="1" applyBorder="1" applyAlignment="1">
      <alignment horizontal="center" vertical="center" wrapText="1"/>
    </xf>
    <xf numFmtId="31" fontId="3" fillId="2" borderId="0" xfId="0" applyNumberFormat="1" applyFont="1" applyFill="1" applyAlignment="1">
      <alignment horizontal="center" vertical="center" wrapText="1"/>
    </xf>
    <xf numFmtId="31" fontId="3" fillId="2" borderId="29" xfId="0" applyNumberFormat="1" applyFont="1" applyFill="1" applyBorder="1" applyAlignment="1">
      <alignment horizontal="center" vertical="center" wrapText="1"/>
    </xf>
    <xf numFmtId="0" fontId="5" fillId="2" borderId="32" xfId="0" applyFont="1" applyFill="1" applyBorder="1" applyAlignment="1">
      <alignment horizontal="center" vertical="center"/>
    </xf>
    <xf numFmtId="0" fontId="5" fillId="2" borderId="29" xfId="0" applyFont="1" applyFill="1" applyBorder="1" applyAlignment="1">
      <alignment horizontal="center" vertical="center"/>
    </xf>
    <xf numFmtId="0" fontId="49" fillId="0" borderId="32" xfId="0" applyFont="1" applyBorder="1" applyAlignment="1">
      <alignment horizontal="left" vertical="center" wrapText="1"/>
    </xf>
    <xf numFmtId="0" fontId="8" fillId="0" borderId="29" xfId="0" applyFont="1" applyBorder="1" applyAlignment="1">
      <alignment horizontal="left" vertical="center" wrapText="1"/>
    </xf>
    <xf numFmtId="0" fontId="8" fillId="2" borderId="3" xfId="0" applyFont="1" applyFill="1" applyBorder="1" applyAlignment="1">
      <alignment horizontal="left" vertical="center" wrapText="1"/>
    </xf>
    <xf numFmtId="0" fontId="8" fillId="0" borderId="32" xfId="0" applyNumberFormat="1" applyFont="1" applyBorder="1" applyAlignment="1">
      <alignment horizontal="left" vertical="center" wrapText="1"/>
    </xf>
    <xf numFmtId="0" fontId="8" fillId="0" borderId="29" xfId="0" applyNumberFormat="1" applyFont="1" applyBorder="1" applyAlignment="1">
      <alignment horizontal="left" vertical="center" wrapText="1"/>
    </xf>
    <xf numFmtId="9" fontId="15" fillId="0" borderId="16" xfId="0" applyNumberFormat="1" applyFont="1" applyFill="1" applyBorder="1" applyAlignment="1">
      <alignment horizontal="center" vertical="center" wrapText="1"/>
    </xf>
    <xf numFmtId="9" fontId="15" fillId="0" borderId="30" xfId="0" applyNumberFormat="1" applyFont="1" applyFill="1" applyBorder="1" applyAlignment="1">
      <alignment horizontal="center" vertical="center" wrapText="1"/>
    </xf>
    <xf numFmtId="9" fontId="15" fillId="0" borderId="27" xfId="0" applyNumberFormat="1" applyFont="1" applyFill="1" applyBorder="1" applyAlignment="1">
      <alignment horizontal="center" vertical="center" wrapText="1"/>
    </xf>
    <xf numFmtId="0" fontId="49" fillId="0" borderId="28" xfId="0" applyFont="1" applyBorder="1" applyAlignment="1">
      <alignment horizontal="left" vertical="center" wrapText="1"/>
    </xf>
    <xf numFmtId="9" fontId="8" fillId="0" borderId="16" xfId="0" applyNumberFormat="1" applyFont="1" applyFill="1" applyBorder="1" applyAlignment="1">
      <alignment horizontal="left" vertical="center" wrapText="1"/>
    </xf>
    <xf numFmtId="9" fontId="8" fillId="0" borderId="30" xfId="0" applyNumberFormat="1" applyFont="1" applyFill="1" applyBorder="1" applyAlignment="1">
      <alignment horizontal="left" vertical="center"/>
    </xf>
    <xf numFmtId="9" fontId="8" fillId="0" borderId="27" xfId="0" applyNumberFormat="1" applyFont="1" applyFill="1" applyBorder="1" applyAlignment="1">
      <alignment horizontal="left" vertical="center"/>
    </xf>
    <xf numFmtId="0" fontId="5" fillId="2" borderId="28"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49" fillId="0" borderId="32" xfId="0" applyNumberFormat="1" applyFont="1" applyBorder="1" applyAlignment="1">
      <alignment horizontal="left" vertical="center" wrapText="1"/>
    </xf>
    <xf numFmtId="9" fontId="1" fillId="0" borderId="30" xfId="0" applyNumberFormat="1" applyFont="1" applyFill="1" applyBorder="1" applyAlignment="1">
      <alignment horizontal="center" vertical="center"/>
    </xf>
    <xf numFmtId="9" fontId="1" fillId="0" borderId="27" xfId="0" applyNumberFormat="1" applyFont="1" applyFill="1" applyBorder="1" applyAlignment="1">
      <alignment horizontal="center" vertical="center"/>
    </xf>
    <xf numFmtId="31" fontId="3" fillId="2" borderId="1" xfId="0" applyNumberFormat="1" applyFont="1" applyFill="1" applyBorder="1" applyAlignment="1">
      <alignment horizontal="left" vertical="center" wrapText="1"/>
    </xf>
    <xf numFmtId="0" fontId="10" fillId="0" borderId="0" xfId="0" applyFont="1" applyFill="1" applyBorder="1" applyAlignment="1">
      <alignment horizontal="center" vertical="center"/>
    </xf>
    <xf numFmtId="0" fontId="4" fillId="2" borderId="14" xfId="0" applyFont="1" applyFill="1" applyBorder="1" applyAlignment="1">
      <alignment horizontal="center" vertical="center" wrapText="1"/>
    </xf>
    <xf numFmtId="0" fontId="15" fillId="2" borderId="12" xfId="0" applyFont="1" applyFill="1" applyBorder="1" applyAlignment="1">
      <alignment horizontal="left" vertical="center" wrapText="1"/>
    </xf>
    <xf numFmtId="0" fontId="15" fillId="2" borderId="3" xfId="0" applyFont="1" applyFill="1" applyBorder="1" applyAlignment="1">
      <alignment horizontal="left" vertical="center"/>
    </xf>
    <xf numFmtId="0" fontId="5" fillId="0" borderId="3" xfId="0" applyFont="1" applyFill="1" applyBorder="1" applyAlignment="1">
      <alignment horizontal="center" vertical="center"/>
    </xf>
    <xf numFmtId="0" fontId="47" fillId="0" borderId="0" xfId="0" applyFont="1" applyBorder="1" applyAlignment="1">
      <alignment horizontal="center" vertical="center" wrapText="1"/>
    </xf>
    <xf numFmtId="0" fontId="11" fillId="2" borderId="12" xfId="0" applyFont="1" applyFill="1" applyBorder="1" applyAlignment="1">
      <alignment horizontal="left" vertical="center" wrapText="1"/>
    </xf>
    <xf numFmtId="0" fontId="11" fillId="2" borderId="25" xfId="0" applyFont="1" applyFill="1" applyBorder="1" applyAlignment="1">
      <alignment horizontal="left" vertical="center" wrapText="1"/>
    </xf>
    <xf numFmtId="31" fontId="3" fillId="2" borderId="12" xfId="0" applyNumberFormat="1" applyFont="1" applyFill="1" applyBorder="1" applyAlignment="1">
      <alignment horizontal="left" vertical="center" wrapText="1"/>
    </xf>
    <xf numFmtId="0" fontId="1" fillId="2" borderId="16" xfId="0" applyFont="1" applyFill="1" applyBorder="1" applyAlignment="1">
      <alignment horizontal="left" vertical="center" wrapText="1"/>
    </xf>
    <xf numFmtId="0" fontId="1" fillId="2" borderId="30" xfId="0" applyFont="1" applyFill="1" applyBorder="1" applyAlignment="1">
      <alignment horizontal="left" vertical="center" wrapText="1"/>
    </xf>
    <xf numFmtId="0" fontId="1" fillId="2" borderId="14" xfId="0" applyFont="1" applyFill="1" applyBorder="1" applyAlignment="1">
      <alignment horizontal="left" vertical="center" wrapText="1"/>
    </xf>
    <xf numFmtId="0" fontId="24" fillId="2" borderId="16" xfId="0" applyFont="1" applyFill="1" applyBorder="1" applyAlignment="1">
      <alignment horizontal="center" vertical="center" wrapText="1"/>
    </xf>
    <xf numFmtId="0" fontId="24" fillId="2" borderId="30" xfId="0" applyFont="1" applyFill="1" applyBorder="1" applyAlignment="1">
      <alignment horizontal="center" vertical="center" wrapText="1"/>
    </xf>
    <xf numFmtId="0" fontId="24" fillId="2" borderId="14" xfId="0" applyFont="1" applyFill="1" applyBorder="1" applyAlignment="1">
      <alignment horizontal="center" vertical="center" wrapText="1"/>
    </xf>
    <xf numFmtId="0" fontId="8" fillId="2" borderId="18" xfId="0" applyFont="1" applyFill="1" applyBorder="1" applyAlignment="1">
      <alignment horizontal="left" vertical="center" wrapText="1"/>
    </xf>
    <xf numFmtId="0" fontId="3" fillId="2" borderId="3" xfId="0" applyFont="1" applyFill="1" applyBorder="1" applyAlignment="1">
      <alignment horizontal="center" vertical="center"/>
    </xf>
    <xf numFmtId="31" fontId="8" fillId="2" borderId="3" xfId="0" applyNumberFormat="1" applyFont="1" applyFill="1" applyBorder="1" applyAlignment="1">
      <alignment horizontal="left" vertical="center" wrapText="1"/>
    </xf>
    <xf numFmtId="0" fontId="9" fillId="2" borderId="28" xfId="0" applyFont="1" applyFill="1" applyBorder="1" applyAlignment="1">
      <alignment horizontal="left" vertical="center" wrapText="1"/>
    </xf>
    <xf numFmtId="0" fontId="9" fillId="2" borderId="24" xfId="0" applyFont="1" applyFill="1" applyBorder="1" applyAlignment="1">
      <alignment horizontal="left" vertical="center" wrapText="1"/>
    </xf>
    <xf numFmtId="31" fontId="8" fillId="2" borderId="1" xfId="0" applyNumberFormat="1" applyFont="1" applyFill="1" applyBorder="1" applyAlignment="1">
      <alignment horizontal="left" vertical="center" wrapText="1"/>
    </xf>
    <xf numFmtId="0" fontId="1" fillId="2" borderId="3" xfId="0" applyFont="1" applyFill="1" applyBorder="1" applyAlignment="1">
      <alignment horizontal="center" vertical="center"/>
    </xf>
    <xf numFmtId="0" fontId="9" fillId="2" borderId="33"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1" fillId="2" borderId="16" xfId="0" applyFont="1" applyFill="1" applyBorder="1" applyAlignment="1">
      <alignment horizontal="center" vertical="center"/>
    </xf>
    <xf numFmtId="0" fontId="1" fillId="2" borderId="14" xfId="0" applyFont="1" applyFill="1" applyBorder="1" applyAlignment="1">
      <alignment horizontal="center" vertical="center"/>
    </xf>
    <xf numFmtId="0" fontId="8" fillId="2" borderId="17" xfId="0" applyFont="1" applyFill="1" applyBorder="1" applyAlignment="1">
      <alignment horizontal="left" vertical="center" wrapText="1"/>
    </xf>
    <xf numFmtId="31" fontId="8" fillId="2" borderId="16" xfId="0" applyNumberFormat="1" applyFont="1" applyFill="1" applyBorder="1" applyAlignment="1">
      <alignment horizontal="center" vertical="center" wrapText="1"/>
    </xf>
    <xf numFmtId="31" fontId="8" fillId="2" borderId="14" xfId="0" applyNumberFormat="1" applyFont="1" applyFill="1" applyBorder="1" applyAlignment="1">
      <alignment horizontal="center" vertical="center" wrapText="1"/>
    </xf>
    <xf numFmtId="0" fontId="8" fillId="2" borderId="3" xfId="0" applyNumberFormat="1" applyFont="1" applyFill="1" applyBorder="1" applyAlignment="1">
      <alignment horizontal="center" vertical="center" wrapText="1"/>
    </xf>
    <xf numFmtId="0" fontId="8" fillId="2" borderId="7" xfId="0" applyNumberFormat="1" applyFont="1" applyFill="1" applyBorder="1" applyAlignment="1">
      <alignment horizontal="center" vertical="center" wrapText="1"/>
    </xf>
    <xf numFmtId="0" fontId="1" fillId="0" borderId="28" xfId="0" applyFont="1" applyFill="1" applyBorder="1" applyAlignment="1">
      <alignment horizontal="center" vertical="center"/>
    </xf>
    <xf numFmtId="0" fontId="1" fillId="0" borderId="24" xfId="0" applyFont="1" applyFill="1" applyBorder="1" applyAlignment="1">
      <alignment horizontal="center" vertical="center"/>
    </xf>
    <xf numFmtId="0" fontId="5" fillId="2" borderId="11" xfId="0" applyFont="1" applyFill="1" applyBorder="1" applyAlignment="1">
      <alignment horizontal="center" vertical="center" wrapText="1"/>
    </xf>
    <xf numFmtId="0" fontId="5" fillId="2" borderId="12" xfId="0" applyFont="1" applyFill="1" applyBorder="1" applyAlignment="1">
      <alignment horizontal="center" vertical="center" wrapText="1"/>
    </xf>
    <xf numFmtId="0" fontId="3" fillId="2" borderId="17" xfId="0" applyFont="1" applyFill="1" applyBorder="1" applyAlignment="1">
      <alignment horizontal="center" vertical="center"/>
    </xf>
    <xf numFmtId="0" fontId="4" fillId="0" borderId="3" xfId="0" applyFont="1" applyBorder="1" applyAlignment="1">
      <alignment horizontal="left" vertical="center" wrapText="1"/>
    </xf>
    <xf numFmtId="0" fontId="45" fillId="0" borderId="16" xfId="0" applyFont="1" applyBorder="1" applyAlignment="1">
      <alignment horizontal="center" vertical="center" wrapText="1"/>
    </xf>
    <xf numFmtId="0" fontId="45" fillId="0" borderId="30" xfId="0" applyFont="1" applyBorder="1" applyAlignment="1">
      <alignment horizontal="center" vertical="center" wrapText="1"/>
    </xf>
    <xf numFmtId="0" fontId="45"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30" xfId="0" applyFont="1" applyBorder="1" applyAlignment="1">
      <alignment horizontal="center" vertical="center" wrapText="1"/>
    </xf>
    <xf numFmtId="0" fontId="4" fillId="0" borderId="14" xfId="0" applyFont="1" applyBorder="1" applyAlignment="1">
      <alignment horizontal="center" vertical="center" wrapText="1"/>
    </xf>
    <xf numFmtId="0" fontId="116" fillId="0" borderId="16" xfId="0" applyFont="1" applyBorder="1" applyAlignment="1">
      <alignment horizontal="left" vertical="center" wrapText="1"/>
    </xf>
    <xf numFmtId="0" fontId="4" fillId="0" borderId="30" xfId="0" applyFont="1" applyBorder="1" applyAlignment="1">
      <alignment horizontal="left" vertical="center" wrapText="1"/>
    </xf>
    <xf numFmtId="0" fontId="4" fillId="0" borderId="14" xfId="0" applyFont="1" applyBorder="1" applyAlignment="1">
      <alignment horizontal="left" vertical="center" wrapText="1"/>
    </xf>
    <xf numFmtId="0" fontId="3" fillId="0" borderId="11"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54" xfId="0" applyFont="1" applyFill="1" applyBorder="1" applyAlignment="1">
      <alignment horizontal="center" vertical="center"/>
    </xf>
    <xf numFmtId="0" fontId="3" fillId="0" borderId="29" xfId="0" applyFont="1" applyFill="1" applyBorder="1" applyAlignment="1">
      <alignment horizontal="center" vertical="center"/>
    </xf>
    <xf numFmtId="0" fontId="3" fillId="0" borderId="55" xfId="0" applyFont="1" applyFill="1" applyBorder="1" applyAlignment="1">
      <alignment horizontal="center" vertical="center"/>
    </xf>
    <xf numFmtId="0" fontId="3" fillId="0" borderId="24" xfId="0" applyFont="1" applyFill="1" applyBorder="1" applyAlignment="1">
      <alignment horizontal="center" vertical="center"/>
    </xf>
    <xf numFmtId="0" fontId="3" fillId="0" borderId="32" xfId="0" applyFont="1" applyFill="1" applyBorder="1" applyAlignment="1">
      <alignment horizontal="center" vertical="center"/>
    </xf>
    <xf numFmtId="0" fontId="3" fillId="0" borderId="28" xfId="0" applyFont="1" applyFill="1" applyBorder="1" applyAlignment="1">
      <alignment horizontal="center" vertical="center"/>
    </xf>
    <xf numFmtId="31" fontId="6" fillId="0" borderId="32" xfId="13" applyNumberFormat="1" applyFont="1" applyFill="1" applyBorder="1" applyAlignment="1">
      <alignment horizontal="center" vertical="center" wrapText="1"/>
    </xf>
    <xf numFmtId="31" fontId="6" fillId="0" borderId="0" xfId="13" applyNumberFormat="1" applyFont="1" applyFill="1" applyAlignment="1">
      <alignment horizontal="center" vertical="center" wrapText="1"/>
    </xf>
    <xf numFmtId="31" fontId="6" fillId="0" borderId="29" xfId="13" applyNumberFormat="1" applyFont="1" applyFill="1" applyBorder="1" applyAlignment="1">
      <alignment horizontal="center" vertical="center" wrapText="1"/>
    </xf>
    <xf numFmtId="31" fontId="6" fillId="0" borderId="28" xfId="13" applyNumberFormat="1" applyFont="1" applyFill="1" applyBorder="1" applyAlignment="1">
      <alignment horizontal="center" vertical="center" wrapText="1"/>
    </xf>
    <xf numFmtId="31" fontId="6" fillId="0" borderId="41" xfId="13" applyNumberFormat="1" applyFont="1" applyFill="1" applyBorder="1" applyAlignment="1">
      <alignment horizontal="center" vertical="center" wrapText="1"/>
    </xf>
    <xf numFmtId="31" fontId="6" fillId="0" borderId="24" xfId="13" applyNumberFormat="1" applyFont="1" applyFill="1" applyBorder="1" applyAlignment="1">
      <alignment horizontal="center" vertical="center" wrapText="1"/>
    </xf>
    <xf numFmtId="0" fontId="4" fillId="0" borderId="3" xfId="0" applyFont="1" applyBorder="1" applyAlignment="1">
      <alignment horizontal="center" vertical="center" wrapText="1"/>
    </xf>
    <xf numFmtId="0" fontId="24" fillId="0" borderId="16" xfId="0" applyFont="1" applyBorder="1" applyAlignment="1">
      <alignment horizontal="center" vertical="center" wrapText="1"/>
    </xf>
    <xf numFmtId="0" fontId="24" fillId="0" borderId="27" xfId="0" applyFont="1" applyBorder="1" applyAlignment="1">
      <alignment horizontal="center" vertical="center" wrapText="1"/>
    </xf>
    <xf numFmtId="0" fontId="116" fillId="0" borderId="3" xfId="14" applyFont="1" applyBorder="1" applyAlignment="1">
      <alignment horizontal="left" vertical="center" wrapText="1"/>
    </xf>
    <xf numFmtId="0" fontId="3" fillId="0" borderId="3" xfId="0" applyFont="1" applyFill="1" applyBorder="1" applyAlignment="1">
      <alignment horizontal="center" vertical="center"/>
    </xf>
    <xf numFmtId="0" fontId="3" fillId="0" borderId="14" xfId="0" applyFont="1" applyFill="1" applyBorder="1" applyAlignment="1">
      <alignment horizontal="center" vertical="center"/>
    </xf>
    <xf numFmtId="31" fontId="6" fillId="0" borderId="19" xfId="13" applyNumberFormat="1" applyFont="1" applyFill="1" applyBorder="1" applyAlignment="1">
      <alignment horizontal="center" vertical="center" wrapText="1"/>
    </xf>
    <xf numFmtId="31" fontId="6" fillId="0" borderId="35" xfId="13" applyNumberFormat="1" applyFont="1" applyFill="1" applyBorder="1" applyAlignment="1">
      <alignment horizontal="center" vertical="center" wrapText="1"/>
    </xf>
    <xf numFmtId="31" fontId="6" fillId="0" borderId="33" xfId="13" applyNumberFormat="1" applyFont="1" applyFill="1" applyBorder="1" applyAlignment="1">
      <alignment horizontal="center" vertical="center" wrapText="1"/>
    </xf>
    <xf numFmtId="0" fontId="24" fillId="0" borderId="12" xfId="0" applyFont="1" applyBorder="1" applyAlignment="1">
      <alignment horizontal="center" vertical="center" wrapText="1"/>
    </xf>
    <xf numFmtId="0" fontId="3" fillId="0" borderId="22" xfId="0" applyFont="1" applyFill="1" applyBorder="1" applyAlignment="1">
      <alignment horizontal="left" vertical="center"/>
    </xf>
    <xf numFmtId="0" fontId="3" fillId="0" borderId="12" xfId="0" applyFont="1" applyFill="1" applyBorder="1" applyAlignment="1">
      <alignment horizontal="left" vertical="center"/>
    </xf>
    <xf numFmtId="31" fontId="6" fillId="0" borderId="12" xfId="13" applyNumberFormat="1" applyFont="1" applyFill="1" applyBorder="1" applyAlignment="1">
      <alignment horizontal="left" vertical="center" wrapText="1"/>
    </xf>
    <xf numFmtId="0" fontId="24" fillId="0" borderId="3" xfId="0" applyFont="1" applyBorder="1" applyAlignment="1">
      <alignment horizontal="left" vertical="center" wrapText="1"/>
    </xf>
    <xf numFmtId="0" fontId="24" fillId="0" borderId="7" xfId="0" applyFont="1" applyBorder="1" applyAlignment="1">
      <alignment horizontal="left" vertical="center" wrapText="1"/>
    </xf>
    <xf numFmtId="0" fontId="3" fillId="0" borderId="6" xfId="0" applyFont="1" applyBorder="1" applyAlignment="1">
      <alignment horizontal="center" vertical="center" wrapText="1"/>
    </xf>
    <xf numFmtId="0" fontId="1" fillId="0" borderId="7" xfId="0" applyFont="1" applyBorder="1" applyAlignment="1">
      <alignment horizontal="left" vertical="center" wrapText="1"/>
    </xf>
    <xf numFmtId="0" fontId="1" fillId="0" borderId="1" xfId="0" applyFont="1" applyBorder="1" applyAlignment="1">
      <alignment horizontal="center" vertical="center"/>
    </xf>
    <xf numFmtId="0" fontId="22"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9" xfId="0" applyFont="1" applyBorder="1" applyAlignment="1">
      <alignment horizontal="left" vertical="center" wrapText="1"/>
    </xf>
    <xf numFmtId="0" fontId="3" fillId="0" borderId="6" xfId="0" applyFont="1" applyFill="1" applyBorder="1" applyAlignment="1">
      <alignment horizontal="left" vertical="center"/>
    </xf>
    <xf numFmtId="0" fontId="3" fillId="0" borderId="1" xfId="0" applyFont="1" applyFill="1" applyBorder="1" applyAlignment="1">
      <alignment horizontal="left" vertical="center"/>
    </xf>
    <xf numFmtId="31" fontId="6" fillId="0" borderId="1" xfId="13" applyNumberFormat="1" applyFont="1" applyFill="1" applyBorder="1" applyAlignment="1">
      <alignment horizontal="left" vertical="center" wrapText="1"/>
    </xf>
    <xf numFmtId="0" fontId="6" fillId="0" borderId="1" xfId="13" applyFont="1" applyFill="1" applyBorder="1" applyAlignment="1">
      <alignment horizontal="left" vertical="center" wrapText="1"/>
    </xf>
    <xf numFmtId="0" fontId="4" fillId="0" borderId="7" xfId="0" applyFont="1" applyBorder="1" applyAlignment="1">
      <alignment horizontal="center" vertical="center" wrapText="1"/>
    </xf>
    <xf numFmtId="0" fontId="4" fillId="0" borderId="16" xfId="0" applyFont="1" applyBorder="1" applyAlignment="1">
      <alignment horizontal="left" vertical="center" wrapText="1"/>
    </xf>
    <xf numFmtId="0" fontId="4" fillId="0" borderId="27" xfId="0" applyFont="1" applyBorder="1" applyAlignment="1">
      <alignment horizontal="center" vertical="center" wrapText="1"/>
    </xf>
    <xf numFmtId="0" fontId="4" fillId="0" borderId="7" xfId="0" applyFont="1" applyBorder="1" applyAlignment="1">
      <alignment horizontal="left" vertical="center" wrapText="1"/>
    </xf>
    <xf numFmtId="0" fontId="6" fillId="0" borderId="12" xfId="13" applyFont="1" applyFill="1" applyBorder="1" applyAlignment="1">
      <alignment horizontal="left" vertical="center" wrapText="1"/>
    </xf>
    <xf numFmtId="0" fontId="8" fillId="2" borderId="12" xfId="0" applyFont="1" applyFill="1" applyBorder="1" applyAlignment="1">
      <alignment horizontal="left" vertical="center" wrapText="1"/>
    </xf>
    <xf numFmtId="0" fontId="10" fillId="2" borderId="3" xfId="0" applyFont="1" applyFill="1" applyBorder="1" applyAlignment="1">
      <alignment horizontal="center" vertical="center" wrapText="1"/>
    </xf>
    <xf numFmtId="0" fontId="0" fillId="2" borderId="3" xfId="0" applyFont="1" applyFill="1" applyBorder="1" applyAlignment="1">
      <alignment horizontal="left" vertical="center" wrapText="1"/>
    </xf>
    <xf numFmtId="9" fontId="8" fillId="0" borderId="16" xfId="0" applyNumberFormat="1" applyFont="1" applyFill="1" applyBorder="1" applyAlignment="1">
      <alignment horizontal="center" vertical="center" wrapText="1"/>
    </xf>
    <xf numFmtId="9" fontId="8" fillId="0" borderId="30" xfId="0" applyNumberFormat="1" applyFont="1" applyFill="1" applyBorder="1" applyAlignment="1">
      <alignment horizontal="center" vertical="center" wrapText="1"/>
    </xf>
    <xf numFmtId="9" fontId="8" fillId="0" borderId="27" xfId="0" applyNumberFormat="1" applyFont="1" applyFill="1" applyBorder="1" applyAlignment="1">
      <alignment horizontal="center" vertical="center" wrapText="1"/>
    </xf>
    <xf numFmtId="9" fontId="1" fillId="0" borderId="16" xfId="0" applyNumberFormat="1" applyFont="1" applyFill="1" applyBorder="1" applyAlignment="1">
      <alignment horizontal="center" vertical="center" wrapText="1"/>
    </xf>
    <xf numFmtId="9" fontId="1" fillId="0" borderId="14" xfId="0" applyNumberFormat="1" applyFont="1" applyFill="1" applyBorder="1" applyAlignment="1">
      <alignment horizontal="center" vertical="center" wrapText="1"/>
    </xf>
    <xf numFmtId="0" fontId="3" fillId="0" borderId="1" xfId="0" applyFont="1" applyFill="1" applyBorder="1" applyAlignment="1">
      <alignment horizontal="left" vertical="center" wrapText="1"/>
    </xf>
    <xf numFmtId="31" fontId="6" fillId="0" borderId="1" xfId="13" applyNumberFormat="1" applyFont="1" applyFill="1" applyBorder="1" applyAlignment="1">
      <alignment horizontal="center" vertical="center" wrapText="1"/>
    </xf>
    <xf numFmtId="31" fontId="3" fillId="2" borderId="16" xfId="0" applyNumberFormat="1" applyFont="1" applyFill="1" applyBorder="1" applyAlignment="1">
      <alignment horizontal="left" vertical="center" wrapText="1"/>
    </xf>
    <xf numFmtId="31" fontId="3" fillId="2" borderId="14" xfId="0" applyNumberFormat="1" applyFont="1" applyFill="1" applyBorder="1" applyAlignment="1">
      <alignment horizontal="left" vertical="center" wrapText="1"/>
    </xf>
    <xf numFmtId="176" fontId="8" fillId="2" borderId="14" xfId="0" applyNumberFormat="1" applyFont="1" applyFill="1" applyBorder="1" applyAlignment="1">
      <alignment horizontal="center" vertical="center" wrapText="1"/>
    </xf>
    <xf numFmtId="0" fontId="8" fillId="2" borderId="16" xfId="0" applyFont="1" applyFill="1" applyBorder="1" applyAlignment="1">
      <alignment horizontal="left" vertical="center" wrapText="1"/>
    </xf>
    <xf numFmtId="0" fontId="8" fillId="2" borderId="30" xfId="0" applyFont="1" applyFill="1" applyBorder="1" applyAlignment="1">
      <alignment horizontal="left" vertical="center" wrapText="1"/>
    </xf>
    <xf numFmtId="0" fontId="8" fillId="2" borderId="14" xfId="0" applyFont="1" applyFill="1" applyBorder="1" applyAlignment="1">
      <alignment horizontal="left" vertical="center" wrapText="1"/>
    </xf>
    <xf numFmtId="176" fontId="1" fillId="2" borderId="3" xfId="0" applyNumberFormat="1" applyFont="1" applyFill="1" applyBorder="1" applyAlignment="1">
      <alignment horizontal="left" vertical="center" wrapText="1"/>
    </xf>
    <xf numFmtId="176" fontId="4" fillId="2" borderId="3" xfId="0" applyNumberFormat="1" applyFont="1" applyFill="1" applyBorder="1" applyAlignment="1">
      <alignment horizontal="left" vertical="center" wrapText="1"/>
    </xf>
    <xf numFmtId="176" fontId="4" fillId="2" borderId="3" xfId="0" applyNumberFormat="1" applyFont="1" applyFill="1" applyBorder="1" applyAlignment="1">
      <alignment horizontal="center" vertical="center" wrapText="1"/>
    </xf>
    <xf numFmtId="31" fontId="3" fillId="2" borderId="3" xfId="0" applyNumberFormat="1" applyFont="1" applyFill="1" applyBorder="1" applyAlignment="1">
      <alignment horizontal="left" vertical="center" wrapText="1"/>
    </xf>
    <xf numFmtId="31" fontId="38" fillId="2" borderId="3" xfId="0" applyNumberFormat="1" applyFont="1" applyFill="1" applyBorder="1" applyAlignment="1">
      <alignment horizontal="left" vertical="center" wrapText="1"/>
    </xf>
    <xf numFmtId="31" fontId="3" fillId="2" borderId="32" xfId="0" applyNumberFormat="1" applyFont="1" applyFill="1" applyBorder="1" applyAlignment="1">
      <alignment horizontal="left" vertical="center" wrapText="1"/>
    </xf>
    <xf numFmtId="31" fontId="3" fillId="2" borderId="29" xfId="0" applyNumberFormat="1" applyFont="1" applyFill="1" applyBorder="1" applyAlignment="1">
      <alignment horizontal="left" vertical="center" wrapText="1"/>
    </xf>
    <xf numFmtId="31" fontId="0" fillId="2" borderId="32" xfId="0" applyNumberFormat="1" applyFont="1" applyFill="1" applyBorder="1" applyAlignment="1">
      <alignment horizontal="left" vertical="center" wrapText="1"/>
    </xf>
    <xf numFmtId="31" fontId="38" fillId="2" borderId="33" xfId="0" applyNumberFormat="1" applyFont="1" applyFill="1" applyBorder="1" applyAlignment="1">
      <alignment horizontal="left" vertical="center" wrapText="1"/>
    </xf>
    <xf numFmtId="0" fontId="8" fillId="2" borderId="19" xfId="0" applyFont="1" applyFill="1" applyBorder="1" applyAlignment="1">
      <alignment horizontal="left" vertical="center" wrapText="1"/>
    </xf>
    <xf numFmtId="0" fontId="8" fillId="2" borderId="35" xfId="0" applyFont="1" applyFill="1" applyBorder="1" applyAlignment="1">
      <alignment horizontal="left" vertical="center" wrapText="1"/>
    </xf>
    <xf numFmtId="0" fontId="8" fillId="2" borderId="33" xfId="0" applyFont="1" applyFill="1" applyBorder="1" applyAlignment="1">
      <alignment horizontal="left" vertical="center" wrapText="1"/>
    </xf>
    <xf numFmtId="0" fontId="1" fillId="2" borderId="2" xfId="0" applyFont="1" applyFill="1" applyBorder="1" applyAlignment="1">
      <alignment horizontal="left" vertical="center" wrapText="1"/>
    </xf>
    <xf numFmtId="0" fontId="1" fillId="2" borderId="10" xfId="0" applyFont="1" applyFill="1" applyBorder="1" applyAlignment="1">
      <alignment horizontal="center" vertical="center"/>
    </xf>
    <xf numFmtId="0" fontId="1" fillId="2" borderId="22"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28" xfId="0" applyFont="1" applyFill="1" applyBorder="1" applyAlignment="1">
      <alignment horizontal="center" vertical="center"/>
    </xf>
    <xf numFmtId="0" fontId="1" fillId="2" borderId="32" xfId="0" applyFont="1" applyFill="1" applyBorder="1" applyAlignment="1">
      <alignment horizontal="center" vertical="center" wrapText="1"/>
    </xf>
    <xf numFmtId="0" fontId="1" fillId="2" borderId="29"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4" xfId="0" applyFont="1" applyFill="1" applyBorder="1" applyAlignment="1">
      <alignment horizontal="center" vertical="center" wrapText="1"/>
    </xf>
    <xf numFmtId="31" fontId="3" fillId="2" borderId="3" xfId="0" applyNumberFormat="1" applyFont="1" applyFill="1" applyBorder="1" applyAlignment="1">
      <alignment horizontal="center" vertical="center" wrapText="1"/>
    </xf>
    <xf numFmtId="0" fontId="9" fillId="2" borderId="17" xfId="0" applyFont="1" applyFill="1" applyBorder="1" applyAlignment="1">
      <alignment horizontal="left" vertical="center" wrapText="1"/>
    </xf>
    <xf numFmtId="9" fontId="1" fillId="0" borderId="3" xfId="0" applyNumberFormat="1" applyFont="1" applyFill="1" applyBorder="1" applyAlignment="1">
      <alignment horizontal="center" vertical="center"/>
    </xf>
    <xf numFmtId="0" fontId="4" fillId="2" borderId="17" xfId="0" applyFont="1" applyFill="1" applyBorder="1" applyAlignment="1">
      <alignment horizontal="center" vertical="center" wrapText="1"/>
    </xf>
    <xf numFmtId="0" fontId="1" fillId="2" borderId="12" xfId="0" applyFont="1" applyFill="1" applyBorder="1" applyAlignment="1">
      <alignment horizontal="left" vertical="center"/>
    </xf>
    <xf numFmtId="0" fontId="4" fillId="2" borderId="12" xfId="0" applyFont="1" applyFill="1" applyBorder="1" applyAlignment="1">
      <alignment horizontal="center" vertical="center" wrapText="1"/>
    </xf>
    <xf numFmtId="0" fontId="4" fillId="2" borderId="1" xfId="0" applyFont="1" applyFill="1" applyBorder="1" applyAlignment="1">
      <alignment horizontal="left" vertical="center" wrapText="1"/>
    </xf>
    <xf numFmtId="31" fontId="8" fillId="2" borderId="1" xfId="0" applyNumberFormat="1" applyFont="1" applyFill="1" applyBorder="1" applyAlignment="1">
      <alignment horizontal="center" vertical="center" wrapText="1"/>
    </xf>
    <xf numFmtId="0" fontId="1" fillId="2" borderId="26" xfId="0" applyFont="1" applyFill="1" applyBorder="1" applyAlignment="1">
      <alignment horizontal="left" vertical="center"/>
    </xf>
    <xf numFmtId="0" fontId="1" fillId="2" borderId="30" xfId="0" applyFont="1" applyFill="1" applyBorder="1" applyAlignment="1">
      <alignment horizontal="left" vertical="center"/>
    </xf>
    <xf numFmtId="0" fontId="1" fillId="2" borderId="14" xfId="0" applyFont="1" applyFill="1" applyBorder="1" applyAlignment="1">
      <alignment horizontal="left" vertical="center"/>
    </xf>
    <xf numFmtId="0" fontId="9" fillId="2" borderId="1" xfId="0" applyFont="1" applyFill="1" applyBorder="1" applyAlignment="1">
      <alignment vertical="center" wrapText="1"/>
    </xf>
    <xf numFmtId="0" fontId="8" fillId="2" borderId="28" xfId="0" applyFont="1" applyFill="1" applyBorder="1" applyAlignment="1">
      <alignment horizontal="center" vertical="center" wrapText="1"/>
    </xf>
    <xf numFmtId="0" fontId="8" fillId="2" borderId="41" xfId="0" applyFont="1" applyFill="1" applyBorder="1" applyAlignment="1">
      <alignment horizontal="center" vertical="center" wrapText="1"/>
    </xf>
    <xf numFmtId="0" fontId="8" fillId="2" borderId="42" xfId="0" applyFont="1" applyFill="1" applyBorder="1" applyAlignment="1">
      <alignment horizontal="center" vertical="center" wrapText="1"/>
    </xf>
    <xf numFmtId="31" fontId="8" fillId="2" borderId="51" xfId="0" applyNumberFormat="1" applyFont="1" applyFill="1" applyBorder="1" applyAlignment="1">
      <alignment horizontal="center" vertical="center" wrapText="1"/>
    </xf>
    <xf numFmtId="31" fontId="8" fillId="2" borderId="24" xfId="0" applyNumberFormat="1" applyFont="1" applyFill="1" applyBorder="1" applyAlignment="1">
      <alignment horizontal="center" vertical="center" wrapText="1"/>
    </xf>
    <xf numFmtId="0" fontId="8" fillId="0" borderId="16" xfId="0" applyFont="1" applyFill="1" applyBorder="1" applyAlignment="1">
      <alignment horizontal="left" vertical="center" wrapText="1"/>
    </xf>
    <xf numFmtId="0" fontId="8" fillId="0" borderId="30" xfId="0" applyFont="1" applyFill="1" applyBorder="1" applyAlignment="1">
      <alignment horizontal="left" vertical="center" wrapText="1"/>
    </xf>
    <xf numFmtId="0" fontId="8" fillId="0" borderId="27" xfId="0" applyFont="1" applyFill="1" applyBorder="1" applyAlignment="1">
      <alignment horizontal="left" vertical="center" wrapText="1"/>
    </xf>
    <xf numFmtId="0" fontId="1" fillId="0" borderId="3" xfId="0" applyFont="1" applyFill="1" applyBorder="1" applyAlignment="1">
      <alignment horizontal="center" vertical="center"/>
    </xf>
    <xf numFmtId="0" fontId="1" fillId="2" borderId="41" xfId="0" applyFont="1" applyFill="1" applyBorder="1" applyAlignment="1">
      <alignment horizontal="center" vertical="center" wrapText="1"/>
    </xf>
    <xf numFmtId="0" fontId="33" fillId="3" borderId="17" xfId="0" applyFont="1" applyFill="1" applyBorder="1" applyAlignment="1">
      <alignment horizontal="center" vertical="center" wrapText="1"/>
    </xf>
    <xf numFmtId="0" fontId="33" fillId="3" borderId="12" xfId="0" applyFont="1" applyFill="1" applyBorder="1" applyAlignment="1">
      <alignment horizontal="center" vertical="center" wrapText="1"/>
    </xf>
    <xf numFmtId="0" fontId="3" fillId="3" borderId="18" xfId="16" applyFont="1" applyFill="1" applyBorder="1" applyAlignment="1">
      <alignment horizontal="center" vertical="center" wrapText="1"/>
    </xf>
    <xf numFmtId="0" fontId="3" fillId="3" borderId="25" xfId="16" applyFont="1" applyFill="1" applyBorder="1" applyAlignment="1">
      <alignment horizontal="center" vertical="center" wrapText="1"/>
    </xf>
    <xf numFmtId="31" fontId="3" fillId="2" borderId="52" xfId="0" applyNumberFormat="1" applyFont="1" applyFill="1" applyBorder="1" applyAlignment="1">
      <alignment horizontal="center" vertical="center" wrapText="1"/>
    </xf>
    <xf numFmtId="31" fontId="8" fillId="2" borderId="3" xfId="0" applyNumberFormat="1" applyFont="1" applyFill="1" applyBorder="1" applyAlignment="1">
      <alignment horizontal="center" vertical="center" wrapText="1"/>
    </xf>
    <xf numFmtId="31" fontId="89" fillId="2" borderId="1" xfId="20" applyNumberFormat="1" applyFill="1" applyBorder="1" applyAlignment="1">
      <alignment horizontal="left" vertical="center" wrapText="1"/>
    </xf>
    <xf numFmtId="0" fontId="0" fillId="0" borderId="16"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27" xfId="0" applyFont="1" applyFill="1" applyBorder="1" applyAlignment="1">
      <alignment horizontal="center" vertical="center" wrapText="1"/>
    </xf>
    <xf numFmtId="0" fontId="103" fillId="2" borderId="1" xfId="0" applyFont="1" applyFill="1" applyBorder="1" applyAlignment="1">
      <alignment horizontal="left" vertical="center" wrapText="1"/>
    </xf>
    <xf numFmtId="0" fontId="24" fillId="0" borderId="1" xfId="0" applyFont="1" applyBorder="1" applyAlignment="1">
      <alignment horizontal="left" vertical="center" wrapText="1"/>
    </xf>
    <xf numFmtId="0" fontId="3" fillId="4" borderId="1" xfId="0" applyFont="1" applyFill="1" applyBorder="1" applyAlignment="1">
      <alignment horizontal="left" vertical="center" wrapText="1"/>
    </xf>
    <xf numFmtId="0" fontId="25" fillId="0" borderId="3" xfId="0" applyFont="1" applyBorder="1" applyAlignment="1">
      <alignment horizontal="center" vertical="center" wrapText="1"/>
    </xf>
    <xf numFmtId="31" fontId="27" fillId="2" borderId="1" xfId="0" applyNumberFormat="1" applyFont="1" applyFill="1" applyBorder="1" applyAlignment="1">
      <alignment horizontal="left" vertical="center" wrapText="1"/>
    </xf>
    <xf numFmtId="0" fontId="1" fillId="0" borderId="16" xfId="0" applyFont="1" applyFill="1" applyBorder="1" applyAlignment="1">
      <alignment horizontal="center" vertical="center" wrapText="1"/>
    </xf>
    <xf numFmtId="0" fontId="1" fillId="0" borderId="30" xfId="0" applyFont="1" applyFill="1" applyBorder="1" applyAlignment="1">
      <alignment horizontal="center" vertical="center" wrapText="1"/>
    </xf>
    <xf numFmtId="0" fontId="1" fillId="0" borderId="27" xfId="0" applyFont="1" applyFill="1" applyBorder="1" applyAlignment="1">
      <alignment horizontal="center" vertical="center" wrapText="1"/>
    </xf>
    <xf numFmtId="31" fontId="24" fillId="2" borderId="1" xfId="0" applyNumberFormat="1" applyFont="1" applyFill="1" applyBorder="1" applyAlignment="1">
      <alignment horizontal="left" vertical="center" wrapText="1"/>
    </xf>
    <xf numFmtId="9" fontId="4" fillId="0" borderId="16" xfId="0" applyNumberFormat="1" applyFont="1" applyFill="1" applyBorder="1" applyAlignment="1">
      <alignment horizontal="center" vertical="center" wrapText="1"/>
    </xf>
    <xf numFmtId="9" fontId="4" fillId="0" borderId="30" xfId="0" applyNumberFormat="1" applyFont="1" applyFill="1" applyBorder="1" applyAlignment="1">
      <alignment horizontal="center" vertical="center" wrapText="1"/>
    </xf>
    <xf numFmtId="9" fontId="4" fillId="0" borderId="27"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0" fontId="1" fillId="0" borderId="14" xfId="0" applyFont="1" applyFill="1" applyBorder="1" applyAlignment="1">
      <alignment horizontal="center" vertical="center" wrapText="1"/>
    </xf>
    <xf numFmtId="0" fontId="90" fillId="0" borderId="0" xfId="0" applyFont="1" applyFill="1" applyBorder="1" applyAlignment="1">
      <alignment horizontal="center" vertical="center"/>
    </xf>
    <xf numFmtId="0" fontId="3" fillId="2" borderId="1" xfId="0" applyFont="1" applyFill="1" applyBorder="1" applyAlignment="1">
      <alignment horizontal="left" vertical="center" wrapText="1"/>
    </xf>
    <xf numFmtId="0" fontId="3" fillId="0" borderId="6" xfId="17" applyFont="1" applyFill="1" applyBorder="1" applyAlignment="1">
      <alignment horizontal="left" vertical="center"/>
    </xf>
    <xf numFmtId="0" fontId="3" fillId="0" borderId="1" xfId="17" applyFont="1" applyFill="1" applyBorder="1" applyAlignment="1">
      <alignment horizontal="left" vertical="center"/>
    </xf>
    <xf numFmtId="0" fontId="10" fillId="0" borderId="1" xfId="17" applyFont="1" applyFill="1" applyBorder="1" applyAlignment="1">
      <alignment horizontal="left" vertical="center" wrapText="1"/>
    </xf>
    <xf numFmtId="0" fontId="10" fillId="0" borderId="9" xfId="17" applyFont="1" applyFill="1" applyBorder="1" applyAlignment="1">
      <alignment horizontal="left" vertical="center" wrapText="1"/>
    </xf>
    <xf numFmtId="0" fontId="1" fillId="0" borderId="3" xfId="17" applyFont="1" applyFill="1" applyBorder="1" applyAlignment="1">
      <alignment horizontal="center" vertical="center" wrapText="1"/>
    </xf>
    <xf numFmtId="0" fontId="1" fillId="0" borderId="3" xfId="17" applyFont="1" applyFill="1" applyBorder="1" applyAlignment="1">
      <alignment horizontal="center" vertical="center"/>
    </xf>
    <xf numFmtId="0" fontId="4" fillId="0" borderId="3" xfId="17" applyFont="1" applyFill="1" applyBorder="1" applyAlignment="1">
      <alignment horizontal="left" vertical="center" wrapText="1"/>
    </xf>
    <xf numFmtId="0" fontId="4" fillId="0" borderId="7" xfId="17" applyFont="1" applyFill="1" applyBorder="1" applyAlignment="1">
      <alignment horizontal="left" vertical="center" wrapText="1"/>
    </xf>
    <xf numFmtId="0" fontId="13" fillId="0" borderId="1" xfId="17" applyFont="1" applyFill="1" applyBorder="1" applyAlignment="1">
      <alignment horizontal="left" vertical="center" wrapText="1"/>
    </xf>
    <xf numFmtId="0" fontId="13" fillId="0" borderId="9" xfId="17" applyFont="1" applyFill="1" applyBorder="1" applyAlignment="1">
      <alignment horizontal="left"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1" fillId="0" borderId="7" xfId="0" applyFont="1" applyBorder="1" applyAlignment="1">
      <alignment horizontal="left" vertical="center"/>
    </xf>
    <xf numFmtId="0" fontId="1" fillId="4" borderId="3" xfId="0" applyFont="1" applyFill="1" applyBorder="1" applyAlignment="1">
      <alignment horizontal="center" vertical="center" wrapText="1"/>
    </xf>
  </cellXfs>
  <cellStyles count="23">
    <cellStyle name="百分比" xfId="1" builtinId="5"/>
    <cellStyle name="常规" xfId="0" builtinId="0"/>
    <cellStyle name="常规 11" xfId="2"/>
    <cellStyle name="常规 11 3" xfId="3"/>
    <cellStyle name="常规 13" xfId="4"/>
    <cellStyle name="常规 14" xfId="5"/>
    <cellStyle name="常规 15 3" xfId="6"/>
    <cellStyle name="常规 2" xfId="7"/>
    <cellStyle name="常规_12月支付情况登记表" xfId="8"/>
    <cellStyle name="常规_2009年8月总表" xfId="9"/>
    <cellStyle name="常规_2月销售结算汇总表" xfId="10"/>
    <cellStyle name="常规_CJ05" xfId="11"/>
    <cellStyle name="常规_JSHZ" xfId="12"/>
    <cellStyle name="常规_Sheet1" xfId="13"/>
    <cellStyle name="常规_广东长盛基础工程有限公司（广州市新光快速路控制“收费”通信系统及收费站土建工程" xfId="14"/>
    <cellStyle name="常规_广州海珠区机关新办公楼及停车场配套工程" xfId="15"/>
    <cellStyle name="常规_广州市鱼坝船务公司（荔丰花园B幢）" xfId="16"/>
    <cellStyle name="常规_海珠区人民法院审判业务大楼" xfId="17"/>
    <cellStyle name="常规_外做混凝土05年" xfId="18"/>
    <cellStyle name="常规_外做混凝土05年_新洲16年1月结算表" xfId="19"/>
    <cellStyle name="超链接" xfId="20" builtinId="8"/>
    <cellStyle name="货币" xfId="21" builtinId="4"/>
    <cellStyle name="千位分隔" xfId="22"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38" Type="http://schemas.openxmlformats.org/officeDocument/2006/relationships/worksheet" Target="worksheets/sheet138.xml"/><Relationship Id="rId159" Type="http://schemas.openxmlformats.org/officeDocument/2006/relationships/worksheet" Target="worksheets/sheet159.xml"/><Relationship Id="rId170" Type="http://schemas.openxmlformats.org/officeDocument/2006/relationships/worksheet" Target="worksheets/sheet170.xml"/><Relationship Id="rId191" Type="http://schemas.openxmlformats.org/officeDocument/2006/relationships/worksheet" Target="worksheets/sheet191.xml"/><Relationship Id="rId205" Type="http://schemas.openxmlformats.org/officeDocument/2006/relationships/worksheet" Target="worksheets/sheet205.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53" Type="http://schemas.openxmlformats.org/officeDocument/2006/relationships/worksheet" Target="worksheets/sheet53.xml"/><Relationship Id="rId74" Type="http://schemas.openxmlformats.org/officeDocument/2006/relationships/worksheet" Target="worksheets/sheet74.xml"/><Relationship Id="rId128" Type="http://schemas.openxmlformats.org/officeDocument/2006/relationships/worksheet" Target="worksheets/sheet128.xml"/><Relationship Id="rId149" Type="http://schemas.openxmlformats.org/officeDocument/2006/relationships/worksheet" Target="worksheets/sheet149.xml"/><Relationship Id="rId5" Type="http://schemas.openxmlformats.org/officeDocument/2006/relationships/worksheet" Target="worksheets/sheet5.xml"/><Relationship Id="rId95" Type="http://schemas.openxmlformats.org/officeDocument/2006/relationships/worksheet" Target="worksheets/sheet95.xml"/><Relationship Id="rId160" Type="http://schemas.openxmlformats.org/officeDocument/2006/relationships/worksheet" Target="worksheets/sheet160.xml"/><Relationship Id="rId181" Type="http://schemas.openxmlformats.org/officeDocument/2006/relationships/worksheet" Target="worksheets/sheet181.xml"/><Relationship Id="rId216" Type="http://schemas.openxmlformats.org/officeDocument/2006/relationships/worksheet" Target="worksheets/sheet216.xml"/><Relationship Id="rId22" Type="http://schemas.openxmlformats.org/officeDocument/2006/relationships/worksheet" Target="worksheets/sheet22.xml"/><Relationship Id="rId43" Type="http://schemas.openxmlformats.org/officeDocument/2006/relationships/worksheet" Target="worksheets/sheet43.xml"/><Relationship Id="rId64" Type="http://schemas.openxmlformats.org/officeDocument/2006/relationships/worksheet" Target="worksheets/sheet64.xml"/><Relationship Id="rId118" Type="http://schemas.openxmlformats.org/officeDocument/2006/relationships/worksheet" Target="worksheets/sheet118.xml"/><Relationship Id="rId139" Type="http://schemas.openxmlformats.org/officeDocument/2006/relationships/worksheet" Target="worksheets/sheet139.xml"/><Relationship Id="rId85" Type="http://schemas.openxmlformats.org/officeDocument/2006/relationships/worksheet" Target="worksheets/sheet85.xml"/><Relationship Id="rId150" Type="http://schemas.openxmlformats.org/officeDocument/2006/relationships/worksheet" Target="worksheets/sheet150.xml"/><Relationship Id="rId171" Type="http://schemas.openxmlformats.org/officeDocument/2006/relationships/worksheet" Target="worksheets/sheet171.xml"/><Relationship Id="rId192" Type="http://schemas.openxmlformats.org/officeDocument/2006/relationships/worksheet" Target="worksheets/sheet192.xml"/><Relationship Id="rId206" Type="http://schemas.openxmlformats.org/officeDocument/2006/relationships/worksheet" Target="worksheets/sheet206.xml"/><Relationship Id="rId12" Type="http://schemas.openxmlformats.org/officeDocument/2006/relationships/worksheet" Target="worksheets/sheet12.xml"/><Relationship Id="rId33" Type="http://schemas.openxmlformats.org/officeDocument/2006/relationships/worksheet" Target="worksheets/sheet33.xml"/><Relationship Id="rId108" Type="http://schemas.openxmlformats.org/officeDocument/2006/relationships/worksheet" Target="worksheets/sheet108.xml"/><Relationship Id="rId129" Type="http://schemas.openxmlformats.org/officeDocument/2006/relationships/worksheet" Target="worksheets/sheet129.xml"/><Relationship Id="rId54" Type="http://schemas.openxmlformats.org/officeDocument/2006/relationships/worksheet" Target="worksheets/sheet54.xml"/><Relationship Id="rId75" Type="http://schemas.openxmlformats.org/officeDocument/2006/relationships/worksheet" Target="worksheets/sheet75.xml"/><Relationship Id="rId96" Type="http://schemas.openxmlformats.org/officeDocument/2006/relationships/worksheet" Target="worksheets/sheet96.xml"/><Relationship Id="rId140" Type="http://schemas.openxmlformats.org/officeDocument/2006/relationships/worksheet" Target="worksheets/sheet140.xml"/><Relationship Id="rId161" Type="http://schemas.openxmlformats.org/officeDocument/2006/relationships/worksheet" Target="worksheets/sheet161.xml"/><Relationship Id="rId182" Type="http://schemas.openxmlformats.org/officeDocument/2006/relationships/worksheet" Target="worksheets/sheet182.xml"/><Relationship Id="rId217" Type="http://schemas.openxmlformats.org/officeDocument/2006/relationships/theme" Target="theme/theme1.xml"/><Relationship Id="rId6" Type="http://schemas.openxmlformats.org/officeDocument/2006/relationships/worksheet" Target="worksheets/sheet6.xml"/><Relationship Id="rId23" Type="http://schemas.openxmlformats.org/officeDocument/2006/relationships/worksheet" Target="worksheets/sheet23.xml"/><Relationship Id="rId119" Type="http://schemas.openxmlformats.org/officeDocument/2006/relationships/worksheet" Target="worksheets/sheet119.xml"/><Relationship Id="rId44" Type="http://schemas.openxmlformats.org/officeDocument/2006/relationships/worksheet" Target="worksheets/sheet44.xml"/><Relationship Id="rId65" Type="http://schemas.openxmlformats.org/officeDocument/2006/relationships/worksheet" Target="worksheets/sheet65.xml"/><Relationship Id="rId86" Type="http://schemas.openxmlformats.org/officeDocument/2006/relationships/worksheet" Target="worksheets/sheet86.xml"/><Relationship Id="rId130" Type="http://schemas.openxmlformats.org/officeDocument/2006/relationships/worksheet" Target="worksheets/sheet130.xml"/><Relationship Id="rId151" Type="http://schemas.openxmlformats.org/officeDocument/2006/relationships/worksheet" Target="worksheets/sheet151.xml"/><Relationship Id="rId172" Type="http://schemas.openxmlformats.org/officeDocument/2006/relationships/worksheet" Target="worksheets/sheet172.xml"/><Relationship Id="rId193" Type="http://schemas.openxmlformats.org/officeDocument/2006/relationships/worksheet" Target="worksheets/sheet193.xml"/><Relationship Id="rId207" Type="http://schemas.openxmlformats.org/officeDocument/2006/relationships/worksheet" Target="worksheets/sheet207.xml"/><Relationship Id="rId13" Type="http://schemas.openxmlformats.org/officeDocument/2006/relationships/worksheet" Target="worksheets/sheet13.xml"/><Relationship Id="rId109" Type="http://schemas.openxmlformats.org/officeDocument/2006/relationships/worksheet" Target="worksheets/sheet109.xml"/><Relationship Id="rId34" Type="http://schemas.openxmlformats.org/officeDocument/2006/relationships/worksheet" Target="worksheets/sheet34.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20" Type="http://schemas.openxmlformats.org/officeDocument/2006/relationships/worksheet" Target="worksheets/sheet120.xml"/><Relationship Id="rId141" Type="http://schemas.openxmlformats.org/officeDocument/2006/relationships/worksheet" Target="worksheets/sheet141.xml"/><Relationship Id="rId7" Type="http://schemas.openxmlformats.org/officeDocument/2006/relationships/worksheet" Target="worksheets/sheet7.xml"/><Relationship Id="rId162" Type="http://schemas.openxmlformats.org/officeDocument/2006/relationships/worksheet" Target="worksheets/sheet162.xml"/><Relationship Id="rId183" Type="http://schemas.openxmlformats.org/officeDocument/2006/relationships/worksheet" Target="worksheets/sheet183.xml"/><Relationship Id="rId218" Type="http://schemas.openxmlformats.org/officeDocument/2006/relationships/styles" Target="styles.xml"/><Relationship Id="rId24" Type="http://schemas.openxmlformats.org/officeDocument/2006/relationships/worksheet" Target="worksheets/sheet24.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31" Type="http://schemas.openxmlformats.org/officeDocument/2006/relationships/worksheet" Target="worksheets/sheet131.xml"/><Relationship Id="rId152" Type="http://schemas.openxmlformats.org/officeDocument/2006/relationships/worksheet" Target="worksheets/sheet152.xml"/><Relationship Id="rId173" Type="http://schemas.openxmlformats.org/officeDocument/2006/relationships/worksheet" Target="worksheets/sheet173.xml"/><Relationship Id="rId194" Type="http://schemas.openxmlformats.org/officeDocument/2006/relationships/worksheet" Target="worksheets/sheet194.xml"/><Relationship Id="rId208" Type="http://schemas.openxmlformats.org/officeDocument/2006/relationships/worksheet" Target="worksheets/sheet208.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147" Type="http://schemas.openxmlformats.org/officeDocument/2006/relationships/worksheet" Target="worksheets/sheet147.xml"/><Relationship Id="rId168" Type="http://schemas.openxmlformats.org/officeDocument/2006/relationships/worksheet" Target="worksheets/sheet168.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worksheet" Target="worksheets/sheet142.xml"/><Relationship Id="rId163" Type="http://schemas.openxmlformats.org/officeDocument/2006/relationships/worksheet" Target="worksheets/sheet163.xml"/><Relationship Id="rId184" Type="http://schemas.openxmlformats.org/officeDocument/2006/relationships/worksheet" Target="worksheets/sheet184.xml"/><Relationship Id="rId189" Type="http://schemas.openxmlformats.org/officeDocument/2006/relationships/worksheet" Target="worksheets/sheet189.xml"/><Relationship Id="rId219" Type="http://schemas.openxmlformats.org/officeDocument/2006/relationships/sharedStrings" Target="sharedStrings.xml"/><Relationship Id="rId3" Type="http://schemas.openxmlformats.org/officeDocument/2006/relationships/worksheet" Target="worksheets/sheet3.xml"/><Relationship Id="rId214" Type="http://schemas.openxmlformats.org/officeDocument/2006/relationships/worksheet" Target="worksheets/sheet214.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137" Type="http://schemas.openxmlformats.org/officeDocument/2006/relationships/worksheet" Target="worksheets/sheet137.xml"/><Relationship Id="rId158" Type="http://schemas.openxmlformats.org/officeDocument/2006/relationships/worksheet" Target="worksheets/sheet158.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worksheet" Target="worksheets/sheet132.xml"/><Relationship Id="rId153" Type="http://schemas.openxmlformats.org/officeDocument/2006/relationships/worksheet" Target="worksheets/sheet153.xml"/><Relationship Id="rId174" Type="http://schemas.openxmlformats.org/officeDocument/2006/relationships/worksheet" Target="worksheets/sheet174.xml"/><Relationship Id="rId179" Type="http://schemas.openxmlformats.org/officeDocument/2006/relationships/worksheet" Target="worksheets/sheet179.xml"/><Relationship Id="rId195" Type="http://schemas.openxmlformats.org/officeDocument/2006/relationships/worksheet" Target="worksheets/sheet195.xml"/><Relationship Id="rId209" Type="http://schemas.openxmlformats.org/officeDocument/2006/relationships/worksheet" Target="worksheets/sheet209.xml"/><Relationship Id="rId190" Type="http://schemas.openxmlformats.org/officeDocument/2006/relationships/worksheet" Target="worksheets/sheet190.xml"/><Relationship Id="rId204" Type="http://schemas.openxmlformats.org/officeDocument/2006/relationships/worksheet" Target="worksheets/sheet204.xml"/><Relationship Id="rId220" Type="http://schemas.openxmlformats.org/officeDocument/2006/relationships/calcChain" Target="calcChain.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43" Type="http://schemas.openxmlformats.org/officeDocument/2006/relationships/worksheet" Target="worksheets/sheet143.xml"/><Relationship Id="rId148" Type="http://schemas.openxmlformats.org/officeDocument/2006/relationships/worksheet" Target="worksheets/sheet148.xml"/><Relationship Id="rId164" Type="http://schemas.openxmlformats.org/officeDocument/2006/relationships/worksheet" Target="worksheets/sheet164.xml"/><Relationship Id="rId169" Type="http://schemas.openxmlformats.org/officeDocument/2006/relationships/worksheet" Target="worksheets/sheet169.xml"/><Relationship Id="rId185" Type="http://schemas.openxmlformats.org/officeDocument/2006/relationships/worksheet" Target="worksheets/sheet185.xml"/><Relationship Id="rId4" Type="http://schemas.openxmlformats.org/officeDocument/2006/relationships/worksheet" Target="worksheets/sheet4.xml"/><Relationship Id="rId9" Type="http://schemas.openxmlformats.org/officeDocument/2006/relationships/worksheet" Target="worksheets/sheet9.xml"/><Relationship Id="rId180" Type="http://schemas.openxmlformats.org/officeDocument/2006/relationships/worksheet" Target="worksheets/sheet180.xml"/><Relationship Id="rId210" Type="http://schemas.openxmlformats.org/officeDocument/2006/relationships/worksheet" Target="worksheets/sheet210.xml"/><Relationship Id="rId215" Type="http://schemas.openxmlformats.org/officeDocument/2006/relationships/worksheet" Target="worksheets/sheet215.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54" Type="http://schemas.openxmlformats.org/officeDocument/2006/relationships/worksheet" Target="worksheets/sheet154.xml"/><Relationship Id="rId175" Type="http://schemas.openxmlformats.org/officeDocument/2006/relationships/worksheet" Target="worksheets/sheet175.xml"/><Relationship Id="rId196" Type="http://schemas.openxmlformats.org/officeDocument/2006/relationships/worksheet" Target="worksheets/sheet196.xml"/><Relationship Id="rId200" Type="http://schemas.openxmlformats.org/officeDocument/2006/relationships/worksheet" Target="worksheets/sheet200.xml"/><Relationship Id="rId16" Type="http://schemas.openxmlformats.org/officeDocument/2006/relationships/worksheet" Target="worksheets/sheet16.xml"/><Relationship Id="rId37" Type="http://schemas.openxmlformats.org/officeDocument/2006/relationships/worksheet" Target="worksheets/sheet37.xml"/><Relationship Id="rId58" Type="http://schemas.openxmlformats.org/officeDocument/2006/relationships/worksheet" Target="worksheets/sheet58.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44" Type="http://schemas.openxmlformats.org/officeDocument/2006/relationships/worksheet" Target="worksheets/sheet144.xml"/><Relationship Id="rId90" Type="http://schemas.openxmlformats.org/officeDocument/2006/relationships/worksheet" Target="worksheets/sheet90.xml"/><Relationship Id="rId165" Type="http://schemas.openxmlformats.org/officeDocument/2006/relationships/worksheet" Target="worksheets/sheet165.xml"/><Relationship Id="rId186" Type="http://schemas.openxmlformats.org/officeDocument/2006/relationships/worksheet" Target="worksheets/sheet186.xml"/><Relationship Id="rId211" Type="http://schemas.openxmlformats.org/officeDocument/2006/relationships/worksheet" Target="worksheets/sheet211.xml"/><Relationship Id="rId27" Type="http://schemas.openxmlformats.org/officeDocument/2006/relationships/worksheet" Target="worksheets/sheet27.xml"/><Relationship Id="rId48" Type="http://schemas.openxmlformats.org/officeDocument/2006/relationships/worksheet" Target="worksheets/sheet48.xml"/><Relationship Id="rId69" Type="http://schemas.openxmlformats.org/officeDocument/2006/relationships/worksheet" Target="worksheets/sheet69.xml"/><Relationship Id="rId113" Type="http://schemas.openxmlformats.org/officeDocument/2006/relationships/worksheet" Target="worksheets/sheet113.xml"/><Relationship Id="rId134" Type="http://schemas.openxmlformats.org/officeDocument/2006/relationships/worksheet" Target="worksheets/sheet134.xml"/><Relationship Id="rId80" Type="http://schemas.openxmlformats.org/officeDocument/2006/relationships/worksheet" Target="worksheets/sheet80.xml"/><Relationship Id="rId155" Type="http://schemas.openxmlformats.org/officeDocument/2006/relationships/worksheet" Target="worksheets/sheet155.xml"/><Relationship Id="rId176" Type="http://schemas.openxmlformats.org/officeDocument/2006/relationships/worksheet" Target="worksheets/sheet176.xml"/><Relationship Id="rId197" Type="http://schemas.openxmlformats.org/officeDocument/2006/relationships/worksheet" Target="worksheets/sheet197.xml"/><Relationship Id="rId201" Type="http://schemas.openxmlformats.org/officeDocument/2006/relationships/worksheet" Target="worksheets/sheet201.xml"/><Relationship Id="rId17" Type="http://schemas.openxmlformats.org/officeDocument/2006/relationships/worksheet" Target="worksheets/sheet17.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24" Type="http://schemas.openxmlformats.org/officeDocument/2006/relationships/worksheet" Target="worksheets/sheet124.xml"/><Relationship Id="rId70" Type="http://schemas.openxmlformats.org/officeDocument/2006/relationships/worksheet" Target="worksheets/sheet70.xml"/><Relationship Id="rId91" Type="http://schemas.openxmlformats.org/officeDocument/2006/relationships/worksheet" Target="worksheets/sheet91.xml"/><Relationship Id="rId145" Type="http://schemas.openxmlformats.org/officeDocument/2006/relationships/worksheet" Target="worksheets/sheet145.xml"/><Relationship Id="rId166" Type="http://schemas.openxmlformats.org/officeDocument/2006/relationships/worksheet" Target="worksheets/sheet166.xml"/><Relationship Id="rId187" Type="http://schemas.openxmlformats.org/officeDocument/2006/relationships/worksheet" Target="worksheets/sheet187.xml"/><Relationship Id="rId1" Type="http://schemas.openxmlformats.org/officeDocument/2006/relationships/worksheet" Target="worksheets/sheet1.xml"/><Relationship Id="rId212" Type="http://schemas.openxmlformats.org/officeDocument/2006/relationships/worksheet" Target="worksheets/sheet212.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60" Type="http://schemas.openxmlformats.org/officeDocument/2006/relationships/worksheet" Target="worksheets/sheet60.xml"/><Relationship Id="rId81" Type="http://schemas.openxmlformats.org/officeDocument/2006/relationships/worksheet" Target="worksheets/sheet81.xml"/><Relationship Id="rId135" Type="http://schemas.openxmlformats.org/officeDocument/2006/relationships/worksheet" Target="worksheets/sheet135.xml"/><Relationship Id="rId156" Type="http://schemas.openxmlformats.org/officeDocument/2006/relationships/worksheet" Target="worksheets/sheet156.xml"/><Relationship Id="rId177" Type="http://schemas.openxmlformats.org/officeDocument/2006/relationships/worksheet" Target="worksheets/sheet177.xml"/><Relationship Id="rId198" Type="http://schemas.openxmlformats.org/officeDocument/2006/relationships/worksheet" Target="worksheets/sheet198.xml"/><Relationship Id="rId202" Type="http://schemas.openxmlformats.org/officeDocument/2006/relationships/worksheet" Target="worksheets/sheet202.xml"/><Relationship Id="rId18" Type="http://schemas.openxmlformats.org/officeDocument/2006/relationships/worksheet" Target="worksheets/sheet18.xml"/><Relationship Id="rId39" Type="http://schemas.openxmlformats.org/officeDocument/2006/relationships/worksheet" Target="worksheets/sheet39.xml"/><Relationship Id="rId50" Type="http://schemas.openxmlformats.org/officeDocument/2006/relationships/worksheet" Target="worksheets/sheet50.xml"/><Relationship Id="rId104" Type="http://schemas.openxmlformats.org/officeDocument/2006/relationships/worksheet" Target="worksheets/sheet104.xml"/><Relationship Id="rId125" Type="http://schemas.openxmlformats.org/officeDocument/2006/relationships/worksheet" Target="worksheets/sheet125.xml"/><Relationship Id="rId146" Type="http://schemas.openxmlformats.org/officeDocument/2006/relationships/worksheet" Target="worksheets/sheet146.xml"/><Relationship Id="rId167" Type="http://schemas.openxmlformats.org/officeDocument/2006/relationships/worksheet" Target="worksheets/sheet167.xml"/><Relationship Id="rId188" Type="http://schemas.openxmlformats.org/officeDocument/2006/relationships/worksheet" Target="worksheets/sheet188.xml"/><Relationship Id="rId71" Type="http://schemas.openxmlformats.org/officeDocument/2006/relationships/worksheet" Target="worksheets/sheet71.xml"/><Relationship Id="rId92" Type="http://schemas.openxmlformats.org/officeDocument/2006/relationships/worksheet" Target="worksheets/sheet92.xml"/><Relationship Id="rId213" Type="http://schemas.openxmlformats.org/officeDocument/2006/relationships/worksheet" Target="worksheets/sheet213.xml"/><Relationship Id="rId2" Type="http://schemas.openxmlformats.org/officeDocument/2006/relationships/worksheet" Target="worksheets/sheet2.xml"/><Relationship Id="rId29" Type="http://schemas.openxmlformats.org/officeDocument/2006/relationships/worksheet" Target="worksheets/sheet29.xml"/><Relationship Id="rId40" Type="http://schemas.openxmlformats.org/officeDocument/2006/relationships/worksheet" Target="worksheets/sheet40.xml"/><Relationship Id="rId115" Type="http://schemas.openxmlformats.org/officeDocument/2006/relationships/worksheet" Target="worksheets/sheet115.xml"/><Relationship Id="rId136" Type="http://schemas.openxmlformats.org/officeDocument/2006/relationships/worksheet" Target="worksheets/sheet136.xml"/><Relationship Id="rId157" Type="http://schemas.openxmlformats.org/officeDocument/2006/relationships/worksheet" Target="worksheets/sheet157.xml"/><Relationship Id="rId178" Type="http://schemas.openxmlformats.org/officeDocument/2006/relationships/worksheet" Target="worksheets/sheet178.xml"/><Relationship Id="rId61" Type="http://schemas.openxmlformats.org/officeDocument/2006/relationships/worksheet" Target="worksheets/sheet61.xml"/><Relationship Id="rId82" Type="http://schemas.openxmlformats.org/officeDocument/2006/relationships/worksheet" Target="worksheets/sheet82.xml"/><Relationship Id="rId199" Type="http://schemas.openxmlformats.org/officeDocument/2006/relationships/worksheet" Target="worksheets/sheet199.xml"/><Relationship Id="rId203" Type="http://schemas.openxmlformats.org/officeDocument/2006/relationships/worksheet" Target="worksheets/sheet203.xml"/><Relationship Id="rId19" Type="http://schemas.openxmlformats.org/officeDocument/2006/relationships/worksheet" Target="worksheets/sheet1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5.jpe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1" Type="http://schemas.openxmlformats.org/officeDocument/2006/relationships/image" Target="../media/image9.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13</xdr:col>
      <xdr:colOff>647700</xdr:colOff>
      <xdr:row>0</xdr:row>
      <xdr:rowOff>190500</xdr:rowOff>
    </xdr:from>
    <xdr:to>
      <xdr:col>24</xdr:col>
      <xdr:colOff>104775</xdr:colOff>
      <xdr:row>11</xdr:row>
      <xdr:rowOff>133350</xdr:rowOff>
    </xdr:to>
    <xdr:pic>
      <xdr:nvPicPr>
        <xdr:cNvPr id="7787860" name="图片 1" descr="P_0(4TG1_ZXA]S54PNI{%TS"/>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649825" y="190500"/>
          <a:ext cx="10058400" cy="6429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142875</xdr:colOff>
      <xdr:row>24</xdr:row>
      <xdr:rowOff>38100</xdr:rowOff>
    </xdr:from>
    <xdr:to>
      <xdr:col>27</xdr:col>
      <xdr:colOff>600075</xdr:colOff>
      <xdr:row>26</xdr:row>
      <xdr:rowOff>180975</xdr:rowOff>
    </xdr:to>
    <xdr:pic>
      <xdr:nvPicPr>
        <xdr:cNvPr id="7791996" name="图片 1" descr="24777840976262278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592550" y="11725275"/>
          <a:ext cx="10058400"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95250</xdr:colOff>
      <xdr:row>27</xdr:row>
      <xdr:rowOff>276225</xdr:rowOff>
    </xdr:from>
    <xdr:to>
      <xdr:col>27</xdr:col>
      <xdr:colOff>552450</xdr:colOff>
      <xdr:row>29</xdr:row>
      <xdr:rowOff>285750</xdr:rowOff>
    </xdr:to>
    <xdr:pic>
      <xdr:nvPicPr>
        <xdr:cNvPr id="7791997" name="图片 1" descr="wxid_5oinzxnhtb1621_1504162278468_2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44925" y="13020675"/>
          <a:ext cx="1005840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228600</xdr:colOff>
      <xdr:row>31</xdr:row>
      <xdr:rowOff>114300</xdr:rowOff>
    </xdr:from>
    <xdr:to>
      <xdr:col>28</xdr:col>
      <xdr:colOff>0</xdr:colOff>
      <xdr:row>38</xdr:row>
      <xdr:rowOff>152400</xdr:rowOff>
    </xdr:to>
    <xdr:pic>
      <xdr:nvPicPr>
        <xdr:cNvPr id="7791998" name="图片 2" descr="8287569756@chatroom_1504086636140_9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6678275" y="14239875"/>
          <a:ext cx="10058400"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13</xdr:col>
      <xdr:colOff>180975</xdr:colOff>
      <xdr:row>0</xdr:row>
      <xdr:rowOff>9525</xdr:rowOff>
    </xdr:from>
    <xdr:to>
      <xdr:col>15</xdr:col>
      <xdr:colOff>514350</xdr:colOff>
      <xdr:row>3</xdr:row>
      <xdr:rowOff>495300</xdr:rowOff>
    </xdr:to>
    <xdr:pic>
      <xdr:nvPicPr>
        <xdr:cNvPr id="7787219" name="图片 1" descr="362815458924923101"/>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6211550" y="9525"/>
          <a:ext cx="1704975" cy="3124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13</xdr:col>
      <xdr:colOff>542925</xdr:colOff>
      <xdr:row>6</xdr:row>
      <xdr:rowOff>9525</xdr:rowOff>
    </xdr:from>
    <xdr:to>
      <xdr:col>28</xdr:col>
      <xdr:colOff>314325</xdr:colOff>
      <xdr:row>10</xdr:row>
      <xdr:rowOff>228600</xdr:rowOff>
    </xdr:to>
    <xdr:pic>
      <xdr:nvPicPr>
        <xdr:cNvPr id="7787220" name="图片 1" descr="8287569756@chatroom_1504086636140_9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573500" y="4838700"/>
          <a:ext cx="10058400" cy="1628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9525</xdr:colOff>
      <xdr:row>1</xdr:row>
      <xdr:rowOff>9525</xdr:rowOff>
    </xdr:from>
    <xdr:to>
      <xdr:col>18</xdr:col>
      <xdr:colOff>304800</xdr:colOff>
      <xdr:row>5</xdr:row>
      <xdr:rowOff>200025</xdr:rowOff>
    </xdr:to>
    <xdr:pic>
      <xdr:nvPicPr>
        <xdr:cNvPr id="7789732" name="图片 1" descr="wxid_e8hzbixiruya31_1468461655453_6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782925" y="742950"/>
          <a:ext cx="3038475" cy="2171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xdr:colOff>
      <xdr:row>41</xdr:row>
      <xdr:rowOff>9525</xdr:rowOff>
    </xdr:from>
    <xdr:to>
      <xdr:col>8</xdr:col>
      <xdr:colOff>1009650</xdr:colOff>
      <xdr:row>65</xdr:row>
      <xdr:rowOff>95250</xdr:rowOff>
    </xdr:to>
    <xdr:pic>
      <xdr:nvPicPr>
        <xdr:cNvPr id="7792803" name="图片 1" descr="WD64}[NW~8S[_45)QXH9$4V"/>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8259425"/>
          <a:ext cx="9934575" cy="442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9525</xdr:colOff>
      <xdr:row>46</xdr:row>
      <xdr:rowOff>9525</xdr:rowOff>
    </xdr:from>
    <xdr:to>
      <xdr:col>12</xdr:col>
      <xdr:colOff>266700</xdr:colOff>
      <xdr:row>47</xdr:row>
      <xdr:rowOff>28575</xdr:rowOff>
    </xdr:to>
    <xdr:pic>
      <xdr:nvPicPr>
        <xdr:cNvPr id="7792804" name="图片 2" descr="8288576845@chatroom_1498728446765_5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020300" y="19164300"/>
          <a:ext cx="3705225"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13</xdr:col>
      <xdr:colOff>9525</xdr:colOff>
      <xdr:row>6</xdr:row>
      <xdr:rowOff>9525</xdr:rowOff>
    </xdr:from>
    <xdr:to>
      <xdr:col>24</xdr:col>
      <xdr:colOff>9525</xdr:colOff>
      <xdr:row>34</xdr:row>
      <xdr:rowOff>142875</xdr:rowOff>
    </xdr:to>
    <xdr:pic>
      <xdr:nvPicPr>
        <xdr:cNvPr id="7755709" name="图片 1" descr="72019628452561511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00" y="5181600"/>
          <a:ext cx="7543800" cy="10058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absolute">
    <xdr:from>
      <xdr:col>4</xdr:col>
      <xdr:colOff>1047750</xdr:colOff>
      <xdr:row>118</xdr:row>
      <xdr:rowOff>38100</xdr:rowOff>
    </xdr:from>
    <xdr:to>
      <xdr:col>12</xdr:col>
      <xdr:colOff>1276350</xdr:colOff>
      <xdr:row>119</xdr:row>
      <xdr:rowOff>0</xdr:rowOff>
    </xdr:to>
    <xdr:pic>
      <xdr:nvPicPr>
        <xdr:cNvPr id="7738303" name="图片 41" descr="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76850" y="49463325"/>
          <a:ext cx="99060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gradFill rotWithShape="0">
          <a:gsLst>
            <a:gs pos="0">
              <a:srgbClr val="BBD5F0"/>
            </a:gs>
            <a:gs pos="100000">
              <a:srgbClr val="9CBEE0"/>
            </a:gs>
          </a:gsLst>
          <a:lin ang="5400000"/>
          <a:tileRect/>
        </a:gradFill>
        <a:ln w="15875" cap="flat" cmpd="sng">
          <a:solidFill>
            <a:srgbClr val="739CC3"/>
          </a:solidFill>
          <a:prstDash val="solid"/>
          <a:headEnd type="none" w="med" len="med"/>
          <a:tailEnd type="none" w="med" len="med"/>
        </a:ln>
      </a:spPr>
      <a:bodyPr/>
      <a:lstStyle/>
    </a:spDef>
  </a:objectDefaults>
  <a:extraClrSchemeLst/>
</a:theme>
</file>

<file path=xl/worksheets/_rels/sheet100.xml.rels><?xml version="1.0" encoding="UTF-8" standalone="yes"?>
<Relationships xmlns="http://schemas.openxmlformats.org/package/2006/relationships"><Relationship Id="rId2" Type="http://schemas.openxmlformats.org/officeDocument/2006/relationships/comments" Target="../comments44.xml"/><Relationship Id="rId1" Type="http://schemas.openxmlformats.org/officeDocument/2006/relationships/vmlDrawing" Target="../drawings/vmlDrawing44.vml"/></Relationships>
</file>

<file path=xl/worksheets/_rels/sheet102.xml.rels><?xml version="1.0" encoding="UTF-8" standalone="yes"?>
<Relationships xmlns="http://schemas.openxmlformats.org/package/2006/relationships"><Relationship Id="rId2" Type="http://schemas.openxmlformats.org/officeDocument/2006/relationships/comments" Target="../comments45.xml"/><Relationship Id="rId1" Type="http://schemas.openxmlformats.org/officeDocument/2006/relationships/vmlDrawing" Target="../drawings/vmlDrawing45.vml"/></Relationships>
</file>

<file path=xl/worksheets/_rels/sheet103.xml.rels><?xml version="1.0" encoding="UTF-8" standalone="yes"?>
<Relationships xmlns="http://schemas.openxmlformats.org/package/2006/relationships"><Relationship Id="rId2" Type="http://schemas.openxmlformats.org/officeDocument/2006/relationships/comments" Target="../comments46.xml"/><Relationship Id="rId1" Type="http://schemas.openxmlformats.org/officeDocument/2006/relationships/vmlDrawing" Target="../drawings/vmlDrawing46.vml"/></Relationships>
</file>

<file path=xl/worksheets/_rels/sheet104.xml.rels><?xml version="1.0" encoding="UTF-8" standalone="yes"?>
<Relationships xmlns="http://schemas.openxmlformats.org/package/2006/relationships"><Relationship Id="rId2" Type="http://schemas.openxmlformats.org/officeDocument/2006/relationships/comments" Target="../comments47.xml"/><Relationship Id="rId1" Type="http://schemas.openxmlformats.org/officeDocument/2006/relationships/vmlDrawing" Target="../drawings/vmlDrawing47.vml"/></Relationships>
</file>

<file path=xl/worksheets/_rels/sheet106.xml.rels><?xml version="1.0" encoding="UTF-8" standalone="yes"?>
<Relationships xmlns="http://schemas.openxmlformats.org/package/2006/relationships"><Relationship Id="rId2" Type="http://schemas.openxmlformats.org/officeDocument/2006/relationships/comments" Target="../comments48.xml"/><Relationship Id="rId1" Type="http://schemas.openxmlformats.org/officeDocument/2006/relationships/vmlDrawing" Target="../drawings/vmlDrawing48.vml"/></Relationships>
</file>

<file path=xl/worksheets/_rels/sheet107.xml.rels><?xml version="1.0" encoding="UTF-8" standalone="yes"?>
<Relationships xmlns="http://schemas.openxmlformats.org/package/2006/relationships"><Relationship Id="rId2" Type="http://schemas.openxmlformats.org/officeDocument/2006/relationships/comments" Target="../comments49.xml"/><Relationship Id="rId1" Type="http://schemas.openxmlformats.org/officeDocument/2006/relationships/vmlDrawing" Target="../drawings/vmlDrawing49.vml"/></Relationships>
</file>

<file path=xl/worksheets/_rels/sheet109.xml.rels><?xml version="1.0" encoding="UTF-8" standalone="yes"?>
<Relationships xmlns="http://schemas.openxmlformats.org/package/2006/relationships"><Relationship Id="rId2" Type="http://schemas.openxmlformats.org/officeDocument/2006/relationships/comments" Target="../comments50.xml"/><Relationship Id="rId1" Type="http://schemas.openxmlformats.org/officeDocument/2006/relationships/vmlDrawing" Target="../drawings/vmlDrawing50.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0.xml.rels><?xml version="1.0" encoding="UTF-8" standalone="yes"?>
<Relationships xmlns="http://schemas.openxmlformats.org/package/2006/relationships"><Relationship Id="rId2" Type="http://schemas.openxmlformats.org/officeDocument/2006/relationships/comments" Target="../comments51.xml"/><Relationship Id="rId1" Type="http://schemas.openxmlformats.org/officeDocument/2006/relationships/vmlDrawing" Target="../drawings/vmlDrawing51.vml"/></Relationships>
</file>

<file path=xl/worksheets/_rels/sheet111.xml.rels><?xml version="1.0" encoding="UTF-8" standalone="yes"?>
<Relationships xmlns="http://schemas.openxmlformats.org/package/2006/relationships"><Relationship Id="rId2" Type="http://schemas.openxmlformats.org/officeDocument/2006/relationships/comments" Target="../comments52.xml"/><Relationship Id="rId1" Type="http://schemas.openxmlformats.org/officeDocument/2006/relationships/vmlDrawing" Target="../drawings/vmlDrawing52.vml"/></Relationships>
</file>

<file path=xl/worksheets/_rels/sheet112.xml.rels><?xml version="1.0" encoding="UTF-8" standalone="yes"?>
<Relationships xmlns="http://schemas.openxmlformats.org/package/2006/relationships"><Relationship Id="rId2" Type="http://schemas.openxmlformats.org/officeDocument/2006/relationships/comments" Target="../comments53.xml"/><Relationship Id="rId1" Type="http://schemas.openxmlformats.org/officeDocument/2006/relationships/vmlDrawing" Target="../drawings/vmlDrawing53.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21.xml.rels><?xml version="1.0" encoding="UTF-8" standalone="yes"?>
<Relationships xmlns="http://schemas.openxmlformats.org/package/2006/relationships"><Relationship Id="rId2" Type="http://schemas.openxmlformats.org/officeDocument/2006/relationships/comments" Target="../comments54.xml"/><Relationship Id="rId1" Type="http://schemas.openxmlformats.org/officeDocument/2006/relationships/vmlDrawing" Target="../drawings/vmlDrawing54.vml"/></Relationships>
</file>

<file path=xl/worksheets/_rels/sheet122.xml.rels><?xml version="1.0" encoding="UTF-8" standalone="yes"?>
<Relationships xmlns="http://schemas.openxmlformats.org/package/2006/relationships"><Relationship Id="rId2" Type="http://schemas.openxmlformats.org/officeDocument/2006/relationships/comments" Target="../comments55.xml"/><Relationship Id="rId1" Type="http://schemas.openxmlformats.org/officeDocument/2006/relationships/vmlDrawing" Target="../drawings/vmlDrawing55.vml"/></Relationships>
</file>

<file path=xl/worksheets/_rels/sheet124.xml.rels><?xml version="1.0" encoding="UTF-8" standalone="yes"?>
<Relationships xmlns="http://schemas.openxmlformats.org/package/2006/relationships"><Relationship Id="rId2" Type="http://schemas.openxmlformats.org/officeDocument/2006/relationships/comments" Target="../comments56.xml"/><Relationship Id="rId1" Type="http://schemas.openxmlformats.org/officeDocument/2006/relationships/vmlDrawing" Target="../drawings/vmlDrawing56.vml"/></Relationships>
</file>

<file path=xl/worksheets/_rels/sheet126.xml.rels><?xml version="1.0" encoding="UTF-8" standalone="yes"?>
<Relationships xmlns="http://schemas.openxmlformats.org/package/2006/relationships"><Relationship Id="rId2" Type="http://schemas.openxmlformats.org/officeDocument/2006/relationships/comments" Target="../comments57.xml"/><Relationship Id="rId1" Type="http://schemas.openxmlformats.org/officeDocument/2006/relationships/vmlDrawing" Target="../drawings/vmlDrawing57.vml"/></Relationships>
</file>

<file path=xl/worksheets/_rels/sheet127.xml.rels><?xml version="1.0" encoding="UTF-8" standalone="yes"?>
<Relationships xmlns="http://schemas.openxmlformats.org/package/2006/relationships"><Relationship Id="rId2" Type="http://schemas.openxmlformats.org/officeDocument/2006/relationships/comments" Target="../comments58.xml"/><Relationship Id="rId1" Type="http://schemas.openxmlformats.org/officeDocument/2006/relationships/vmlDrawing" Target="../drawings/vmlDrawing58.vml"/></Relationships>
</file>

<file path=xl/worksheets/_rels/sheet12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4.xml.rels><?xml version="1.0" encoding="UTF-8" standalone="yes"?>
<Relationships xmlns="http://schemas.openxmlformats.org/package/2006/relationships"><Relationship Id="rId2" Type="http://schemas.openxmlformats.org/officeDocument/2006/relationships/comments" Target="../comments59.xml"/><Relationship Id="rId1" Type="http://schemas.openxmlformats.org/officeDocument/2006/relationships/vmlDrawing" Target="../drawings/vmlDrawing59.vml"/></Relationships>
</file>

<file path=xl/worksheets/_rels/sheet135.xml.rels><?xml version="1.0" encoding="UTF-8" standalone="yes"?>
<Relationships xmlns="http://schemas.openxmlformats.org/package/2006/relationships"><Relationship Id="rId2" Type="http://schemas.openxmlformats.org/officeDocument/2006/relationships/comments" Target="../comments60.xml"/><Relationship Id="rId1" Type="http://schemas.openxmlformats.org/officeDocument/2006/relationships/vmlDrawing" Target="../drawings/vmlDrawing60.vml"/></Relationships>
</file>

<file path=xl/worksheets/_rels/sheet138.xml.rels><?xml version="1.0" encoding="UTF-8" standalone="yes"?>
<Relationships xmlns="http://schemas.openxmlformats.org/package/2006/relationships"><Relationship Id="rId2" Type="http://schemas.openxmlformats.org/officeDocument/2006/relationships/comments" Target="../comments61.xml"/><Relationship Id="rId1" Type="http://schemas.openxmlformats.org/officeDocument/2006/relationships/vmlDrawing" Target="../drawings/vmlDrawing61.vml"/></Relationships>
</file>

<file path=xl/worksheets/_rels/sheet145.xml.rels><?xml version="1.0" encoding="UTF-8" standalone="yes"?>
<Relationships xmlns="http://schemas.openxmlformats.org/package/2006/relationships"><Relationship Id="rId2" Type="http://schemas.openxmlformats.org/officeDocument/2006/relationships/comments" Target="../comments62.xml"/><Relationship Id="rId1" Type="http://schemas.openxmlformats.org/officeDocument/2006/relationships/vmlDrawing" Target="../drawings/vmlDrawing62.vml"/></Relationships>
</file>

<file path=xl/worksheets/_rels/sheet146.xml.rels><?xml version="1.0" encoding="UTF-8" standalone="yes"?>
<Relationships xmlns="http://schemas.openxmlformats.org/package/2006/relationships"><Relationship Id="rId2" Type="http://schemas.openxmlformats.org/officeDocument/2006/relationships/comments" Target="../comments63.xml"/><Relationship Id="rId1" Type="http://schemas.openxmlformats.org/officeDocument/2006/relationships/vmlDrawing" Target="../drawings/vmlDrawing63.vml"/></Relationships>
</file>

<file path=xl/worksheets/_rels/sheet148.xml.rels><?xml version="1.0" encoding="UTF-8" standalone="yes"?>
<Relationships xmlns="http://schemas.openxmlformats.org/package/2006/relationships"><Relationship Id="rId2" Type="http://schemas.openxmlformats.org/officeDocument/2006/relationships/comments" Target="../comments64.xml"/><Relationship Id="rId1" Type="http://schemas.openxmlformats.org/officeDocument/2006/relationships/vmlDrawing" Target="../drawings/vmlDrawing64.vml"/></Relationships>
</file>

<file path=xl/worksheets/_rels/sheet149.xml.rels><?xml version="1.0" encoding="UTF-8" standalone="yes"?>
<Relationships xmlns="http://schemas.openxmlformats.org/package/2006/relationships"><Relationship Id="rId2" Type="http://schemas.openxmlformats.org/officeDocument/2006/relationships/comments" Target="../comments65.xml"/><Relationship Id="rId1" Type="http://schemas.openxmlformats.org/officeDocument/2006/relationships/vmlDrawing" Target="../drawings/vmlDrawing65.vml"/></Relationships>
</file>

<file path=xl/worksheets/_rels/sheet150.xml.rels><?xml version="1.0" encoding="UTF-8" standalone="yes"?>
<Relationships xmlns="http://schemas.openxmlformats.org/package/2006/relationships"><Relationship Id="rId2" Type="http://schemas.openxmlformats.org/officeDocument/2006/relationships/comments" Target="../comments66.xml"/><Relationship Id="rId1" Type="http://schemas.openxmlformats.org/officeDocument/2006/relationships/vmlDrawing" Target="../drawings/vmlDrawing66.vml"/></Relationships>
</file>

<file path=xl/worksheets/_rels/sheet151.xml.rels><?xml version="1.0" encoding="UTF-8" standalone="yes"?>
<Relationships xmlns="http://schemas.openxmlformats.org/package/2006/relationships"><Relationship Id="rId2" Type="http://schemas.openxmlformats.org/officeDocument/2006/relationships/comments" Target="../comments67.xml"/><Relationship Id="rId1" Type="http://schemas.openxmlformats.org/officeDocument/2006/relationships/vmlDrawing" Target="../drawings/vmlDrawing67.vml"/></Relationships>
</file>

<file path=xl/worksheets/_rels/sheet152.xml.rels><?xml version="1.0" encoding="UTF-8" standalone="yes"?>
<Relationships xmlns="http://schemas.openxmlformats.org/package/2006/relationships"><Relationship Id="rId2" Type="http://schemas.openxmlformats.org/officeDocument/2006/relationships/comments" Target="../comments68.xml"/><Relationship Id="rId1" Type="http://schemas.openxmlformats.org/officeDocument/2006/relationships/vmlDrawing" Target="../drawings/vmlDrawing68.vml"/></Relationships>
</file>

<file path=xl/worksheets/_rels/sheet154.xml.rels><?xml version="1.0" encoding="UTF-8" standalone="yes"?>
<Relationships xmlns="http://schemas.openxmlformats.org/package/2006/relationships"><Relationship Id="rId3" Type="http://schemas.openxmlformats.org/officeDocument/2006/relationships/comments" Target="../comments69.xml"/><Relationship Id="rId2" Type="http://schemas.openxmlformats.org/officeDocument/2006/relationships/vmlDrawing" Target="../drawings/vmlDrawing69.vml"/><Relationship Id="rId1" Type="http://schemas.openxmlformats.org/officeDocument/2006/relationships/drawing" Target="../drawings/drawing5.xml"/></Relationships>
</file>

<file path=xl/worksheets/_rels/sheet155.xml.rels><?xml version="1.0" encoding="UTF-8" standalone="yes"?>
<Relationships xmlns="http://schemas.openxmlformats.org/package/2006/relationships"><Relationship Id="rId2" Type="http://schemas.openxmlformats.org/officeDocument/2006/relationships/comments" Target="../comments70.xml"/><Relationship Id="rId1" Type="http://schemas.openxmlformats.org/officeDocument/2006/relationships/vmlDrawing" Target="../drawings/vmlDrawing70.vml"/></Relationships>
</file>

<file path=xl/worksheets/_rels/sheet156.xml.rels><?xml version="1.0" encoding="UTF-8" standalone="yes"?>
<Relationships xmlns="http://schemas.openxmlformats.org/package/2006/relationships"><Relationship Id="rId2" Type="http://schemas.openxmlformats.org/officeDocument/2006/relationships/comments" Target="../comments71.xml"/><Relationship Id="rId1" Type="http://schemas.openxmlformats.org/officeDocument/2006/relationships/vmlDrawing" Target="../drawings/vmlDrawing71.vml"/></Relationships>
</file>

<file path=xl/worksheets/_rels/sheet158.xml.rels><?xml version="1.0" encoding="UTF-8" standalone="yes"?>
<Relationships xmlns="http://schemas.openxmlformats.org/package/2006/relationships"><Relationship Id="rId2" Type="http://schemas.openxmlformats.org/officeDocument/2006/relationships/comments" Target="../comments72.xml"/><Relationship Id="rId1" Type="http://schemas.openxmlformats.org/officeDocument/2006/relationships/vmlDrawing" Target="../drawings/vmlDrawing72.vml"/></Relationships>
</file>

<file path=xl/worksheets/_rels/sheet16.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1.xml"/></Relationships>
</file>

<file path=xl/worksheets/_rels/sheet163.xml.rels><?xml version="1.0" encoding="UTF-8" standalone="yes"?>
<Relationships xmlns="http://schemas.openxmlformats.org/package/2006/relationships"><Relationship Id="rId2" Type="http://schemas.openxmlformats.org/officeDocument/2006/relationships/comments" Target="../comments73.xml"/><Relationship Id="rId1" Type="http://schemas.openxmlformats.org/officeDocument/2006/relationships/vmlDrawing" Target="../drawings/vmlDrawing73.vml"/></Relationships>
</file>

<file path=xl/worksheets/_rels/sheet167.xml.rels><?xml version="1.0" encoding="UTF-8" standalone="yes"?>
<Relationships xmlns="http://schemas.openxmlformats.org/package/2006/relationships"><Relationship Id="rId2" Type="http://schemas.openxmlformats.org/officeDocument/2006/relationships/comments" Target="../comments74.xml"/><Relationship Id="rId1" Type="http://schemas.openxmlformats.org/officeDocument/2006/relationships/vmlDrawing" Target="../drawings/vmlDrawing74.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71.xml.rels><?xml version="1.0" encoding="UTF-8" standalone="yes"?>
<Relationships xmlns="http://schemas.openxmlformats.org/package/2006/relationships"><Relationship Id="rId2" Type="http://schemas.openxmlformats.org/officeDocument/2006/relationships/comments" Target="../comments75.xml"/><Relationship Id="rId1" Type="http://schemas.openxmlformats.org/officeDocument/2006/relationships/vmlDrawing" Target="../drawings/vmlDrawing75.vml"/></Relationships>
</file>

<file path=xl/worksheets/_rels/sheet172.xml.rels><?xml version="1.0" encoding="UTF-8" standalone="yes"?>
<Relationships xmlns="http://schemas.openxmlformats.org/package/2006/relationships"><Relationship Id="rId2" Type="http://schemas.openxmlformats.org/officeDocument/2006/relationships/comments" Target="../comments76.xml"/><Relationship Id="rId1" Type="http://schemas.openxmlformats.org/officeDocument/2006/relationships/vmlDrawing" Target="../drawings/vmlDrawing76.vml"/></Relationships>
</file>

<file path=xl/worksheets/_rels/sheet174.xml.rels><?xml version="1.0" encoding="UTF-8" standalone="yes"?>
<Relationships xmlns="http://schemas.openxmlformats.org/package/2006/relationships"><Relationship Id="rId2" Type="http://schemas.openxmlformats.org/officeDocument/2006/relationships/comments" Target="../comments77.xml"/><Relationship Id="rId1" Type="http://schemas.openxmlformats.org/officeDocument/2006/relationships/vmlDrawing" Target="../drawings/vmlDrawing77.vml"/></Relationships>
</file>

<file path=xl/worksheets/_rels/sheet176.xml.rels><?xml version="1.0" encoding="UTF-8" standalone="yes"?>
<Relationships xmlns="http://schemas.openxmlformats.org/package/2006/relationships"><Relationship Id="rId2" Type="http://schemas.openxmlformats.org/officeDocument/2006/relationships/comments" Target="../comments78.xml"/><Relationship Id="rId1" Type="http://schemas.openxmlformats.org/officeDocument/2006/relationships/vmlDrawing" Target="../drawings/vmlDrawing78.vm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wc443445@qq.com&#65292;&#30005;&#35805;13500273797&#65292;&#25391;&#19994;&#22478;&#65292;&#26753;&#25991;&#25165;&#65307;&#28145;&#22323;&#24066;&#31119;&#30000;&#21306;&#32418;&#33620;&#35199;&#36335;8133&#21495;%20%20&#20892;&#31185;&#21830;&#21153;&#21150;&#20844;&#27004;8&#27004;&#32988;&#22823;&#25511;&#32929;&#37041;15812399071&#65307;&#28145;&#22323;&#24066;&#31119;&#30000;&#21306;&#32418;&#33620;&#35199;&#36335;8133&#21495;%20%20&#20892;&#31185;&#21830;&#21153;&#21150;&#20844;&#27004;8&#27004;&#32988;&#22823;&#25511;&#32929;&#37041;15812399071&#65307;&#28145;&#22323;&#24066;&#31119;&#30000;&#21306;&#32418;&#33620;&#35199;&#36335;8133&#21495;%20%20&#20892;&#31185;&#21830;&#21153;&#21150;&#20844;&#27004;8&#27004;&#32988;&#22823;&#25511;&#32929;&#28504;&#24037;18677178214" TargetMode="External"/></Relationships>
</file>

<file path=xl/worksheets/_rels/sheet181.xml.rels><?xml version="1.0" encoding="UTF-8" standalone="yes"?>
<Relationships xmlns="http://schemas.openxmlformats.org/package/2006/relationships"><Relationship Id="rId2" Type="http://schemas.openxmlformats.org/officeDocument/2006/relationships/comments" Target="../comments79.xml"/><Relationship Id="rId1" Type="http://schemas.openxmlformats.org/officeDocument/2006/relationships/vmlDrawing" Target="../drawings/vmlDrawing79.vml"/></Relationships>
</file>

<file path=xl/worksheets/_rels/sheet182.xml.rels><?xml version="1.0" encoding="UTF-8" standalone="yes"?>
<Relationships xmlns="http://schemas.openxmlformats.org/package/2006/relationships"><Relationship Id="rId3" Type="http://schemas.openxmlformats.org/officeDocument/2006/relationships/comments" Target="../comments80.xml"/><Relationship Id="rId2" Type="http://schemas.openxmlformats.org/officeDocument/2006/relationships/vmlDrawing" Target="../drawings/vmlDrawing80.vml"/><Relationship Id="rId1" Type="http://schemas.openxmlformats.org/officeDocument/2006/relationships/printerSettings" Target="../printerSettings/printerSettings4.bin"/></Relationships>
</file>

<file path=xl/worksheets/_rels/sheet183.xml.rels><?xml version="1.0" encoding="UTF-8" standalone="yes"?>
<Relationships xmlns="http://schemas.openxmlformats.org/package/2006/relationships"><Relationship Id="rId3" Type="http://schemas.openxmlformats.org/officeDocument/2006/relationships/comments" Target="../comments81.xml"/><Relationship Id="rId2" Type="http://schemas.openxmlformats.org/officeDocument/2006/relationships/vmlDrawing" Target="../drawings/vmlDrawing81.vml"/><Relationship Id="rId1" Type="http://schemas.openxmlformats.org/officeDocument/2006/relationships/drawing" Target="../drawings/drawing6.xml"/></Relationships>
</file>

<file path=xl/worksheets/_rels/sheet184.xml.rels><?xml version="1.0" encoding="UTF-8" standalone="yes"?>
<Relationships xmlns="http://schemas.openxmlformats.org/package/2006/relationships"><Relationship Id="rId2" Type="http://schemas.openxmlformats.org/officeDocument/2006/relationships/comments" Target="../comments82.xml"/><Relationship Id="rId1" Type="http://schemas.openxmlformats.org/officeDocument/2006/relationships/vmlDrawing" Target="../drawings/vmlDrawing82.vml"/></Relationships>
</file>

<file path=xl/worksheets/_rels/sheet185.xml.rels><?xml version="1.0" encoding="UTF-8" standalone="yes"?>
<Relationships xmlns="http://schemas.openxmlformats.org/package/2006/relationships"><Relationship Id="rId2" Type="http://schemas.openxmlformats.org/officeDocument/2006/relationships/comments" Target="../comments83.xml"/><Relationship Id="rId1" Type="http://schemas.openxmlformats.org/officeDocument/2006/relationships/vmlDrawing" Target="../drawings/vmlDrawing83.vml"/></Relationships>
</file>

<file path=xl/worksheets/_rels/sheet186.xml.rels><?xml version="1.0" encoding="UTF-8" standalone="yes"?>
<Relationships xmlns="http://schemas.openxmlformats.org/package/2006/relationships"><Relationship Id="rId2" Type="http://schemas.openxmlformats.org/officeDocument/2006/relationships/comments" Target="../comments84.xml"/><Relationship Id="rId1" Type="http://schemas.openxmlformats.org/officeDocument/2006/relationships/vmlDrawing" Target="../drawings/vmlDrawing84.vml"/></Relationships>
</file>

<file path=xl/worksheets/_rels/sheet187.xml.rels><?xml version="1.0" encoding="UTF-8" standalone="yes"?>
<Relationships xmlns="http://schemas.openxmlformats.org/package/2006/relationships"><Relationship Id="rId2" Type="http://schemas.openxmlformats.org/officeDocument/2006/relationships/comments" Target="../comments85.xml"/><Relationship Id="rId1" Type="http://schemas.openxmlformats.org/officeDocument/2006/relationships/vmlDrawing" Target="../drawings/vmlDrawing85.vml"/></Relationships>
</file>

<file path=xl/worksheets/_rels/sheet188.xml.rels><?xml version="1.0" encoding="UTF-8" standalone="yes"?>
<Relationships xmlns="http://schemas.openxmlformats.org/package/2006/relationships"><Relationship Id="rId2" Type="http://schemas.openxmlformats.org/officeDocument/2006/relationships/comments" Target="../comments86.xml"/><Relationship Id="rId1" Type="http://schemas.openxmlformats.org/officeDocument/2006/relationships/vmlDrawing" Target="../drawings/vmlDrawing86.vml"/></Relationships>
</file>

<file path=xl/worksheets/_rels/sheet189.xml.rels><?xml version="1.0" encoding="UTF-8" standalone="yes"?>
<Relationships xmlns="http://schemas.openxmlformats.org/package/2006/relationships"><Relationship Id="rId3" Type="http://schemas.openxmlformats.org/officeDocument/2006/relationships/comments" Target="../comments87.xml"/><Relationship Id="rId2" Type="http://schemas.openxmlformats.org/officeDocument/2006/relationships/vmlDrawing" Target="../drawings/vmlDrawing87.vml"/><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91.xml.rels><?xml version="1.0" encoding="UTF-8" standalone="yes"?>
<Relationships xmlns="http://schemas.openxmlformats.org/package/2006/relationships"><Relationship Id="rId2" Type="http://schemas.openxmlformats.org/officeDocument/2006/relationships/comments" Target="../comments88.xml"/><Relationship Id="rId1" Type="http://schemas.openxmlformats.org/officeDocument/2006/relationships/vmlDrawing" Target="../drawings/vmlDrawing88.vml"/></Relationships>
</file>

<file path=xl/worksheets/_rels/sheet192.xml.rels><?xml version="1.0" encoding="UTF-8" standalone="yes"?>
<Relationships xmlns="http://schemas.openxmlformats.org/package/2006/relationships"><Relationship Id="rId2" Type="http://schemas.openxmlformats.org/officeDocument/2006/relationships/comments" Target="../comments89.xml"/><Relationship Id="rId1" Type="http://schemas.openxmlformats.org/officeDocument/2006/relationships/vmlDrawing" Target="../drawings/vmlDrawing89.vml"/></Relationships>
</file>

<file path=xl/worksheets/_rels/sheet193.xml.rels><?xml version="1.0" encoding="UTF-8" standalone="yes"?>
<Relationships xmlns="http://schemas.openxmlformats.org/package/2006/relationships"><Relationship Id="rId2" Type="http://schemas.openxmlformats.org/officeDocument/2006/relationships/comments" Target="../comments90.xml"/><Relationship Id="rId1" Type="http://schemas.openxmlformats.org/officeDocument/2006/relationships/vmlDrawing" Target="../drawings/vmlDrawing90.vml"/></Relationships>
</file>

<file path=xl/worksheets/_rels/sheet194.xml.rels><?xml version="1.0" encoding="UTF-8" standalone="yes"?>
<Relationships xmlns="http://schemas.openxmlformats.org/package/2006/relationships"><Relationship Id="rId2" Type="http://schemas.openxmlformats.org/officeDocument/2006/relationships/comments" Target="../comments91.xml"/><Relationship Id="rId1" Type="http://schemas.openxmlformats.org/officeDocument/2006/relationships/vmlDrawing" Target="../drawings/vmlDrawing91.vml"/></Relationships>
</file>

<file path=xl/worksheets/_rels/sheet195.xml.rels><?xml version="1.0" encoding="UTF-8" standalone="yes"?>
<Relationships xmlns="http://schemas.openxmlformats.org/package/2006/relationships"><Relationship Id="rId2" Type="http://schemas.openxmlformats.org/officeDocument/2006/relationships/comments" Target="../comments92.xml"/><Relationship Id="rId1" Type="http://schemas.openxmlformats.org/officeDocument/2006/relationships/vmlDrawing" Target="../drawings/vmlDrawing92.vml"/></Relationships>
</file>

<file path=xl/worksheets/_rels/sheet197.xml.rels><?xml version="1.0" encoding="UTF-8" standalone="yes"?>
<Relationships xmlns="http://schemas.openxmlformats.org/package/2006/relationships"><Relationship Id="rId2" Type="http://schemas.openxmlformats.org/officeDocument/2006/relationships/comments" Target="../comments93.xml"/><Relationship Id="rId1" Type="http://schemas.openxmlformats.org/officeDocument/2006/relationships/vmlDrawing" Target="../drawings/vmlDrawing93.vml"/></Relationships>
</file>

<file path=xl/worksheets/_rels/sheet198.xml.rels><?xml version="1.0" encoding="UTF-8" standalone="yes"?>
<Relationships xmlns="http://schemas.openxmlformats.org/package/2006/relationships"><Relationship Id="rId2" Type="http://schemas.openxmlformats.org/officeDocument/2006/relationships/comments" Target="../comments94.xml"/><Relationship Id="rId1" Type="http://schemas.openxmlformats.org/officeDocument/2006/relationships/vmlDrawing" Target="../drawings/vmlDrawing94.vml"/></Relationships>
</file>

<file path=xl/worksheets/_rels/sheet199.xml.rels><?xml version="1.0" encoding="UTF-8" standalone="yes"?>
<Relationships xmlns="http://schemas.openxmlformats.org/package/2006/relationships"><Relationship Id="rId2" Type="http://schemas.openxmlformats.org/officeDocument/2006/relationships/comments" Target="../comments95.xml"/><Relationship Id="rId1" Type="http://schemas.openxmlformats.org/officeDocument/2006/relationships/vmlDrawing" Target="../drawings/vmlDrawing95.vml"/></Relationships>
</file>

<file path=xl/worksheets/_rels/sheet200.xml.rels><?xml version="1.0" encoding="UTF-8" standalone="yes"?>
<Relationships xmlns="http://schemas.openxmlformats.org/package/2006/relationships"><Relationship Id="rId3" Type="http://schemas.openxmlformats.org/officeDocument/2006/relationships/vmlDrawing" Target="../drawings/vmlDrawing96.vml"/><Relationship Id="rId2" Type="http://schemas.openxmlformats.org/officeDocument/2006/relationships/hyperlink" Target="mailto:657080234@qq.com&#40644;&#24037;" TargetMode="External"/><Relationship Id="rId1" Type="http://schemas.openxmlformats.org/officeDocument/2006/relationships/hyperlink" Target="mailto:657080234@qq.com&#40644;&#24037;" TargetMode="External"/><Relationship Id="rId4" Type="http://schemas.openxmlformats.org/officeDocument/2006/relationships/comments" Target="../comments96.xml"/></Relationships>
</file>

<file path=xl/worksheets/_rels/sheet202.xml.rels><?xml version="1.0" encoding="UTF-8" standalone="yes"?>
<Relationships xmlns="http://schemas.openxmlformats.org/package/2006/relationships"><Relationship Id="rId2" Type="http://schemas.openxmlformats.org/officeDocument/2006/relationships/comments" Target="../comments97.xml"/><Relationship Id="rId1" Type="http://schemas.openxmlformats.org/officeDocument/2006/relationships/vmlDrawing" Target="../drawings/vmlDrawing97.vml"/></Relationships>
</file>

<file path=xl/worksheets/_rels/sheet203.xml.rels><?xml version="1.0" encoding="UTF-8" standalone="yes"?>
<Relationships xmlns="http://schemas.openxmlformats.org/package/2006/relationships"><Relationship Id="rId2" Type="http://schemas.openxmlformats.org/officeDocument/2006/relationships/comments" Target="../comments98.xml"/><Relationship Id="rId1" Type="http://schemas.openxmlformats.org/officeDocument/2006/relationships/vmlDrawing" Target="../drawings/vmlDrawing98.vml"/></Relationships>
</file>

<file path=xl/worksheets/_rels/sheet216.xml.rels><?xml version="1.0" encoding="UTF-8" standalone="yes"?>
<Relationships xmlns="http://schemas.openxmlformats.org/package/2006/relationships"><Relationship Id="rId3" Type="http://schemas.openxmlformats.org/officeDocument/2006/relationships/comments" Target="../comments99.xml"/><Relationship Id="rId2" Type="http://schemas.openxmlformats.org/officeDocument/2006/relationships/vmlDrawing" Target="../drawings/vmlDrawing99.vml"/><Relationship Id="rId1" Type="http://schemas.openxmlformats.org/officeDocument/2006/relationships/drawing" Target="../drawings/drawing7.xml"/></Relationships>
</file>

<file path=xl/worksheets/_rels/sheet2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hyperlink" Target="mailto:&#37038;&#31665;15918634108@163.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3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36.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37.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1.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44.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45.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50.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55.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59.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drawing" Target="../drawings/drawing2.xml"/></Relationships>
</file>

<file path=xl/worksheets/_rels/sheet60.xml.rels><?xml version="1.0" encoding="UTF-8" standalone="yes"?>
<Relationships xmlns="http://schemas.openxmlformats.org/package/2006/relationships"><Relationship Id="rId2" Type="http://schemas.openxmlformats.org/officeDocument/2006/relationships/comments" Target="../comments30.xml"/><Relationship Id="rId1" Type="http://schemas.openxmlformats.org/officeDocument/2006/relationships/vmlDrawing" Target="../drawings/vmlDrawing30.vml"/></Relationships>
</file>

<file path=xl/worksheets/_rels/sheet61.xml.rels><?xml version="1.0" encoding="UTF-8" standalone="yes"?>
<Relationships xmlns="http://schemas.openxmlformats.org/package/2006/relationships"><Relationship Id="rId2" Type="http://schemas.openxmlformats.org/officeDocument/2006/relationships/comments" Target="../comments31.xml"/><Relationship Id="rId1" Type="http://schemas.openxmlformats.org/officeDocument/2006/relationships/vmlDrawing" Target="../drawings/vmlDrawing31.vml"/></Relationships>
</file>

<file path=xl/worksheets/_rels/sheet63.xml.rels><?xml version="1.0" encoding="UTF-8" standalone="yes"?>
<Relationships xmlns="http://schemas.openxmlformats.org/package/2006/relationships"><Relationship Id="rId2" Type="http://schemas.openxmlformats.org/officeDocument/2006/relationships/comments" Target="../comments32.xml"/><Relationship Id="rId1" Type="http://schemas.openxmlformats.org/officeDocument/2006/relationships/vmlDrawing" Target="../drawings/vmlDrawing32.v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0.xml.rels><?xml version="1.0" encoding="UTF-8" standalone="yes"?>
<Relationships xmlns="http://schemas.openxmlformats.org/package/2006/relationships"><Relationship Id="rId2" Type="http://schemas.openxmlformats.org/officeDocument/2006/relationships/comments" Target="../comments33.xml"/><Relationship Id="rId1" Type="http://schemas.openxmlformats.org/officeDocument/2006/relationships/vmlDrawing" Target="../drawings/vmlDrawing33.vml"/></Relationships>
</file>

<file path=xl/worksheets/_rels/sheet73.xml.rels><?xml version="1.0" encoding="UTF-8" standalone="yes"?>
<Relationships xmlns="http://schemas.openxmlformats.org/package/2006/relationships"><Relationship Id="rId2" Type="http://schemas.openxmlformats.org/officeDocument/2006/relationships/comments" Target="../comments34.xml"/><Relationship Id="rId1" Type="http://schemas.openxmlformats.org/officeDocument/2006/relationships/vmlDrawing" Target="../drawings/vmlDrawing34.vml"/></Relationships>
</file>

<file path=xl/worksheets/_rels/sheet74.xml.rels><?xml version="1.0" encoding="UTF-8" standalone="yes"?>
<Relationships xmlns="http://schemas.openxmlformats.org/package/2006/relationships"><Relationship Id="rId2" Type="http://schemas.openxmlformats.org/officeDocument/2006/relationships/comments" Target="../comments35.xml"/><Relationship Id="rId1" Type="http://schemas.openxmlformats.org/officeDocument/2006/relationships/vmlDrawing" Target="../drawings/vmlDrawing35.vml"/></Relationships>
</file>

<file path=xl/worksheets/_rels/sheet75.xml.rels><?xml version="1.0" encoding="UTF-8" standalone="yes"?>
<Relationships xmlns="http://schemas.openxmlformats.org/package/2006/relationships"><Relationship Id="rId2" Type="http://schemas.openxmlformats.org/officeDocument/2006/relationships/comments" Target="../comments36.xml"/><Relationship Id="rId1" Type="http://schemas.openxmlformats.org/officeDocument/2006/relationships/vmlDrawing" Target="../drawings/vmlDrawing3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92.xml.rels><?xml version="1.0" encoding="UTF-8" standalone="yes"?>
<Relationships xmlns="http://schemas.openxmlformats.org/package/2006/relationships"><Relationship Id="rId2" Type="http://schemas.openxmlformats.org/officeDocument/2006/relationships/comments" Target="../comments37.xml"/><Relationship Id="rId1" Type="http://schemas.openxmlformats.org/officeDocument/2006/relationships/vmlDrawing" Target="../drawings/vmlDrawing37.vml"/></Relationships>
</file>

<file path=xl/worksheets/_rels/sheet93.xml.rels><?xml version="1.0" encoding="UTF-8" standalone="yes"?>
<Relationships xmlns="http://schemas.openxmlformats.org/package/2006/relationships"><Relationship Id="rId2" Type="http://schemas.openxmlformats.org/officeDocument/2006/relationships/comments" Target="../comments38.xml"/><Relationship Id="rId1" Type="http://schemas.openxmlformats.org/officeDocument/2006/relationships/vmlDrawing" Target="../drawings/vmlDrawing38.vml"/></Relationships>
</file>

<file path=xl/worksheets/_rels/sheet94.xml.rels><?xml version="1.0" encoding="UTF-8" standalone="yes"?>
<Relationships xmlns="http://schemas.openxmlformats.org/package/2006/relationships"><Relationship Id="rId2" Type="http://schemas.openxmlformats.org/officeDocument/2006/relationships/comments" Target="../comments39.xml"/><Relationship Id="rId1" Type="http://schemas.openxmlformats.org/officeDocument/2006/relationships/vmlDrawing" Target="../drawings/vmlDrawing39.vml"/></Relationships>
</file>

<file path=xl/worksheets/_rels/sheet95.xml.rels><?xml version="1.0" encoding="UTF-8" standalone="yes"?>
<Relationships xmlns="http://schemas.openxmlformats.org/package/2006/relationships"><Relationship Id="rId2" Type="http://schemas.openxmlformats.org/officeDocument/2006/relationships/comments" Target="../comments40.xml"/><Relationship Id="rId1" Type="http://schemas.openxmlformats.org/officeDocument/2006/relationships/vmlDrawing" Target="../drawings/vmlDrawing40.vml"/></Relationships>
</file>

<file path=xl/worksheets/_rels/sheet96.xml.rels><?xml version="1.0" encoding="UTF-8" standalone="yes"?>
<Relationships xmlns="http://schemas.openxmlformats.org/package/2006/relationships"><Relationship Id="rId2" Type="http://schemas.openxmlformats.org/officeDocument/2006/relationships/comments" Target="../comments41.xml"/><Relationship Id="rId1" Type="http://schemas.openxmlformats.org/officeDocument/2006/relationships/vmlDrawing" Target="../drawings/vmlDrawing41.vml"/></Relationships>
</file>

<file path=xl/worksheets/_rels/sheet97.xml.rels><?xml version="1.0" encoding="UTF-8" standalone="yes"?>
<Relationships xmlns="http://schemas.openxmlformats.org/package/2006/relationships"><Relationship Id="rId2" Type="http://schemas.openxmlformats.org/officeDocument/2006/relationships/comments" Target="../comments42.xml"/><Relationship Id="rId1" Type="http://schemas.openxmlformats.org/officeDocument/2006/relationships/vmlDrawing" Target="../drawings/vmlDrawing42.vml"/></Relationships>
</file>

<file path=xl/worksheets/_rels/sheet99.xml.rels><?xml version="1.0" encoding="UTF-8" standalone="yes"?>
<Relationships xmlns="http://schemas.openxmlformats.org/package/2006/relationships"><Relationship Id="rId2" Type="http://schemas.openxmlformats.org/officeDocument/2006/relationships/comments" Target="../comments43.xml"/><Relationship Id="rId1" Type="http://schemas.openxmlformats.org/officeDocument/2006/relationships/vmlDrawing" Target="../drawings/vmlDrawing4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0"/>
  <sheetViews>
    <sheetView topLeftCell="A7" zoomScaleSheetLayoutView="100" workbookViewId="0">
      <pane activePane="bottomRight" state="frozen"/>
      <selection activeCell="I9" sqref="I9"/>
    </sheetView>
  </sheetViews>
  <sheetFormatPr defaultRowHeight="14.25"/>
  <cols>
    <col min="1" max="1" width="9" style="994"/>
    <col min="2" max="2" width="16.375" style="994" customWidth="1"/>
    <col min="3" max="3" width="13.5" style="994" customWidth="1"/>
    <col min="4" max="4" width="17.75" style="994" customWidth="1"/>
    <col min="5" max="5" width="16.375" style="994" customWidth="1"/>
    <col min="6" max="6" width="15.375" style="994" customWidth="1"/>
    <col min="7" max="7" width="16.875" style="994" customWidth="1"/>
    <col min="8" max="8" width="12.375" style="994" customWidth="1"/>
    <col min="9" max="9" width="13.625" style="994" customWidth="1"/>
    <col min="10" max="10" width="12.875" style="994" customWidth="1"/>
    <col min="11" max="11" width="15.375" style="994" customWidth="1"/>
    <col min="12" max="12" width="13.25" style="994" customWidth="1"/>
    <col min="13" max="13" width="9" style="994"/>
  </cols>
  <sheetData>
    <row r="1" spans="1:256" s="1510" customFormat="1" ht="30.95" customHeight="1">
      <c r="A1" s="1628" t="s">
        <v>0</v>
      </c>
      <c r="B1" s="1517" t="s">
        <v>1</v>
      </c>
      <c r="C1" s="1517" t="s">
        <v>2</v>
      </c>
      <c r="D1" s="1517" t="s">
        <v>3</v>
      </c>
      <c r="E1" s="1518" t="s">
        <v>4</v>
      </c>
      <c r="F1" s="1519" t="s">
        <v>5</v>
      </c>
      <c r="G1" s="1520" t="s">
        <v>6</v>
      </c>
      <c r="H1" s="1520" t="s">
        <v>7</v>
      </c>
      <c r="I1" s="1519" t="s">
        <v>8</v>
      </c>
      <c r="J1" s="1519" t="s">
        <v>9</v>
      </c>
      <c r="K1" s="1519" t="s">
        <v>10</v>
      </c>
      <c r="L1" s="1519" t="s">
        <v>11</v>
      </c>
    </row>
    <row r="2" spans="1:256" s="1510" customFormat="1" ht="30.95" customHeight="1">
      <c r="A2" s="1628"/>
      <c r="B2" s="1519" t="s">
        <v>12</v>
      </c>
      <c r="C2" s="1519" t="s">
        <v>13</v>
      </c>
      <c r="D2" s="1521" t="s">
        <v>14</v>
      </c>
      <c r="E2" s="1522" t="s">
        <v>15</v>
      </c>
      <c r="F2" s="1519" t="s">
        <v>16</v>
      </c>
      <c r="G2" s="1522" t="s">
        <v>17</v>
      </c>
      <c r="H2" s="1519" t="s">
        <v>18</v>
      </c>
      <c r="M2" s="1571"/>
    </row>
    <row r="3" spans="1:256" s="1511" customFormat="1" ht="36" customHeight="1">
      <c r="A3" s="1523" t="s">
        <v>19</v>
      </c>
      <c r="B3" s="1518" t="s">
        <v>20</v>
      </c>
      <c r="C3" s="1524"/>
      <c r="F3" s="1525"/>
      <c r="G3" s="1518"/>
      <c r="H3" s="1518"/>
      <c r="I3" s="1525"/>
      <c r="J3" s="1572"/>
      <c r="K3" s="1572"/>
      <c r="L3" s="1572"/>
      <c r="M3" s="1561"/>
    </row>
    <row r="4" spans="1:256" s="1511" customFormat="1" ht="44.1" customHeight="1">
      <c r="A4" s="1523" t="s">
        <v>21</v>
      </c>
      <c r="B4" s="1518" t="s">
        <v>22</v>
      </c>
      <c r="C4" s="1518" t="s">
        <v>23</v>
      </c>
      <c r="D4" s="1518" t="s">
        <v>24</v>
      </c>
      <c r="E4" s="1518" t="s">
        <v>25</v>
      </c>
      <c r="F4" s="1518"/>
      <c r="G4" s="1518"/>
      <c r="H4" s="1518"/>
      <c r="I4" s="1518"/>
      <c r="J4" s="1518"/>
      <c r="K4" s="1518"/>
      <c r="L4" s="1561"/>
      <c r="M4" s="1561"/>
    </row>
    <row r="5" spans="1:256" s="1511" customFormat="1" ht="39.950000000000003" customHeight="1">
      <c r="A5" s="1623" t="s">
        <v>26</v>
      </c>
      <c r="B5" s="1518" t="s">
        <v>27</v>
      </c>
      <c r="C5" s="1526" t="s">
        <v>28</v>
      </c>
      <c r="D5" s="1518" t="s">
        <v>29</v>
      </c>
      <c r="E5" s="1518" t="s">
        <v>30</v>
      </c>
      <c r="F5" s="1518" t="s">
        <v>31</v>
      </c>
      <c r="G5" s="1518" t="s">
        <v>32</v>
      </c>
      <c r="H5" s="1518" t="s">
        <v>33</v>
      </c>
      <c r="I5" s="1559" t="s">
        <v>34</v>
      </c>
      <c r="J5" s="1518" t="s">
        <v>35</v>
      </c>
      <c r="K5" s="1518" t="s">
        <v>36</v>
      </c>
      <c r="L5" s="1561"/>
      <c r="M5" s="1561"/>
    </row>
    <row r="6" spans="1:256" s="1512" customFormat="1" ht="39.950000000000003" customHeight="1">
      <c r="A6" s="1624"/>
      <c r="B6" s="1528" t="s">
        <v>37</v>
      </c>
      <c r="C6" s="1528" t="s">
        <v>38</v>
      </c>
      <c r="D6" s="1528" t="s">
        <v>39</v>
      </c>
      <c r="E6" s="1529" t="s">
        <v>40</v>
      </c>
      <c r="F6" s="1530" t="s">
        <v>41</v>
      </c>
      <c r="G6" s="1528" t="s">
        <v>42</v>
      </c>
      <c r="H6" s="1528" t="s">
        <v>43</v>
      </c>
      <c r="L6" s="1573"/>
      <c r="M6" s="1574"/>
    </row>
    <row r="7" spans="1:256" s="1513" customFormat="1" ht="35.1" customHeight="1">
      <c r="A7" s="1628" t="s">
        <v>44</v>
      </c>
      <c r="B7" s="1531" t="s">
        <v>45</v>
      </c>
      <c r="C7" s="1532" t="s">
        <v>46</v>
      </c>
      <c r="D7" s="1532" t="s">
        <v>47</v>
      </c>
      <c r="E7" s="1532" t="s">
        <v>48</v>
      </c>
      <c r="F7" s="1532" t="s">
        <v>49</v>
      </c>
      <c r="G7" s="1533" t="s">
        <v>50</v>
      </c>
      <c r="H7" s="1533" t="s">
        <v>51</v>
      </c>
      <c r="I7" s="1531" t="s">
        <v>52</v>
      </c>
      <c r="J7" s="1534" t="s">
        <v>53</v>
      </c>
      <c r="K7" s="1534" t="s">
        <v>54</v>
      </c>
      <c r="L7" s="1534" t="s">
        <v>55</v>
      </c>
      <c r="M7" s="1534"/>
    </row>
    <row r="8" spans="1:256" s="1513" customFormat="1" ht="35.25" customHeight="1">
      <c r="A8" s="1628"/>
      <c r="B8" s="1534" t="s">
        <v>56</v>
      </c>
      <c r="C8" s="1535" t="s">
        <v>57</v>
      </c>
      <c r="D8" s="1534" t="s">
        <v>58</v>
      </c>
      <c r="E8" s="1534" t="s">
        <v>59</v>
      </c>
      <c r="F8" s="1534" t="s">
        <v>60</v>
      </c>
      <c r="G8" s="1534" t="s">
        <v>61</v>
      </c>
      <c r="H8" s="1520" t="s">
        <v>62</v>
      </c>
      <c r="I8" s="1575" t="s">
        <v>63</v>
      </c>
      <c r="J8" s="1534" t="s">
        <v>64</v>
      </c>
      <c r="K8" s="1534" t="s">
        <v>65</v>
      </c>
      <c r="L8" s="1534" t="s">
        <v>66</v>
      </c>
      <c r="M8" s="1534"/>
    </row>
    <row r="9" spans="1:256" s="1513" customFormat="1" ht="35.25" customHeight="1">
      <c r="A9" s="1628"/>
      <c r="B9" s="1534" t="s">
        <v>67</v>
      </c>
      <c r="C9" s="1534" t="s">
        <v>68</v>
      </c>
      <c r="D9" s="1534" t="s">
        <v>69</v>
      </c>
      <c r="E9" s="1534" t="s">
        <v>70</v>
      </c>
      <c r="F9" s="1534" t="s">
        <v>71</v>
      </c>
      <c r="G9" s="1534" t="s">
        <v>72</v>
      </c>
      <c r="H9" s="1534" t="s">
        <v>73</v>
      </c>
      <c r="I9" s="1576" t="s">
        <v>74</v>
      </c>
      <c r="J9" s="1576" t="s">
        <v>75</v>
      </c>
      <c r="K9" s="1534" t="s">
        <v>76</v>
      </c>
      <c r="L9" s="1577" t="s">
        <v>77</v>
      </c>
    </row>
    <row r="10" spans="1:256" s="1513" customFormat="1" ht="36" customHeight="1">
      <c r="A10" s="1628"/>
      <c r="B10" s="1520" t="s">
        <v>78</v>
      </c>
      <c r="C10" s="1534" t="s">
        <v>79</v>
      </c>
      <c r="D10" s="1534" t="s">
        <v>80</v>
      </c>
      <c r="E10" s="1534" t="s">
        <v>81</v>
      </c>
      <c r="F10" s="1534" t="s">
        <v>82</v>
      </c>
      <c r="G10" s="1534" t="s">
        <v>83</v>
      </c>
      <c r="H10" s="1534" t="s">
        <v>84</v>
      </c>
      <c r="I10" s="1534" t="s">
        <v>85</v>
      </c>
      <c r="J10" s="1578" t="s">
        <v>86</v>
      </c>
      <c r="K10" s="1578" t="s">
        <v>87</v>
      </c>
    </row>
    <row r="11" spans="1:256" s="1512" customFormat="1" ht="0.95" customHeight="1">
      <c r="A11" s="1624"/>
    </row>
    <row r="12" spans="1:256" s="1093" customFormat="1" ht="27" customHeight="1">
      <c r="A12" s="1629" t="s">
        <v>88</v>
      </c>
      <c r="B12" s="1536" t="s">
        <v>89</v>
      </c>
      <c r="C12" s="1536" t="s">
        <v>90</v>
      </c>
      <c r="D12" s="1536" t="s">
        <v>91</v>
      </c>
      <c r="E12" s="1536" t="s">
        <v>92</v>
      </c>
      <c r="F12" s="1536" t="s">
        <v>93</v>
      </c>
      <c r="G12" s="1536" t="s">
        <v>94</v>
      </c>
      <c r="H12" s="1537" t="s">
        <v>95</v>
      </c>
      <c r="I12" s="1538" t="s">
        <v>96</v>
      </c>
      <c r="J12" s="1536" t="s">
        <v>97</v>
      </c>
      <c r="K12" s="1579" t="s">
        <v>98</v>
      </c>
      <c r="L12" s="1580" t="s">
        <v>99</v>
      </c>
      <c r="M12" s="1581"/>
    </row>
    <row r="13" spans="1:256" s="1512" customFormat="1" ht="32.1" customHeight="1">
      <c r="A13" s="1629"/>
      <c r="B13" s="1538" t="s">
        <v>100</v>
      </c>
      <c r="C13" s="1539" t="s">
        <v>101</v>
      </c>
      <c r="D13" s="1538" t="s">
        <v>102</v>
      </c>
      <c r="E13" s="1539" t="s">
        <v>103</v>
      </c>
      <c r="F13" s="1538" t="s">
        <v>104</v>
      </c>
      <c r="G13" s="1538" t="s">
        <v>100</v>
      </c>
      <c r="H13" s="1540" t="s">
        <v>105</v>
      </c>
      <c r="I13" s="1540" t="s">
        <v>106</v>
      </c>
      <c r="J13" s="1540" t="s">
        <v>107</v>
      </c>
      <c r="K13" s="1540" t="s">
        <v>108</v>
      </c>
      <c r="L13" s="1582" t="s">
        <v>109</v>
      </c>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row>
    <row r="14" spans="1:256" s="1514" customFormat="1" ht="39.950000000000003" customHeight="1">
      <c r="A14" s="1630"/>
      <c r="B14" s="1541" t="s">
        <v>110</v>
      </c>
      <c r="C14" s="1542" t="s">
        <v>111</v>
      </c>
      <c r="D14" s="1543" t="s">
        <v>112</v>
      </c>
      <c r="E14" s="1541" t="s">
        <v>113</v>
      </c>
      <c r="F14" s="1544" t="s">
        <v>114</v>
      </c>
      <c r="G14" s="1541" t="s">
        <v>115</v>
      </c>
      <c r="H14" s="1542" t="s">
        <v>116</v>
      </c>
    </row>
    <row r="15" spans="1:256" s="1093" customFormat="1" ht="41.1" customHeight="1">
      <c r="A15" s="1631" t="s">
        <v>117</v>
      </c>
      <c r="B15" s="1536" t="s">
        <v>118</v>
      </c>
      <c r="C15" s="1536" t="s">
        <v>119</v>
      </c>
      <c r="D15" s="1536" t="s">
        <v>120</v>
      </c>
      <c r="E15" s="1545" t="s">
        <v>121</v>
      </c>
      <c r="F15" s="1536" t="s">
        <v>122</v>
      </c>
      <c r="G15" s="1546" t="s">
        <v>123</v>
      </c>
      <c r="H15" s="1547" t="s">
        <v>124</v>
      </c>
      <c r="I15" s="1547" t="s">
        <v>125</v>
      </c>
      <c r="J15" s="1547" t="s">
        <v>126</v>
      </c>
      <c r="K15" s="1547" t="s">
        <v>127</v>
      </c>
      <c r="L15" s="1583" t="s">
        <v>128</v>
      </c>
    </row>
    <row r="16" spans="1:256" s="1510" customFormat="1" ht="33" customHeight="1">
      <c r="A16" s="1631"/>
      <c r="B16" s="1547" t="s">
        <v>129</v>
      </c>
      <c r="C16" s="1519" t="s">
        <v>130</v>
      </c>
      <c r="D16" s="1547" t="s">
        <v>131</v>
      </c>
      <c r="E16" s="1547" t="s">
        <v>132</v>
      </c>
      <c r="F16" s="1547" t="s">
        <v>133</v>
      </c>
      <c r="G16" s="1548" t="s">
        <v>134</v>
      </c>
      <c r="H16" s="1548" t="s">
        <v>127</v>
      </c>
      <c r="I16" s="1547" t="s">
        <v>135</v>
      </c>
      <c r="J16" s="1547" t="s">
        <v>136</v>
      </c>
      <c r="K16" s="1519" t="s">
        <v>137</v>
      </c>
      <c r="L16" s="1519" t="s">
        <v>138</v>
      </c>
      <c r="M16" s="1584" t="s">
        <v>139</v>
      </c>
      <c r="N16" s="1584" t="s">
        <v>140</v>
      </c>
      <c r="O16" s="1585" t="s">
        <v>141</v>
      </c>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row>
    <row r="17" spans="1:13" s="1511" customFormat="1" ht="32.1" customHeight="1">
      <c r="A17" s="1623" t="s">
        <v>142</v>
      </c>
      <c r="B17" s="1518" t="s">
        <v>143</v>
      </c>
      <c r="C17" s="1518" t="s">
        <v>144</v>
      </c>
      <c r="D17" s="1518" t="s">
        <v>145</v>
      </c>
      <c r="E17" s="1518" t="s">
        <v>146</v>
      </c>
      <c r="F17" s="1518" t="s">
        <v>147</v>
      </c>
      <c r="G17" s="1518" t="s">
        <v>148</v>
      </c>
      <c r="H17" s="1518" t="s">
        <v>149</v>
      </c>
      <c r="I17" s="1518" t="s">
        <v>150</v>
      </c>
      <c r="J17" s="1518" t="s">
        <v>151</v>
      </c>
      <c r="K17" s="1518"/>
      <c r="L17" s="1561"/>
      <c r="M17" s="1561"/>
    </row>
    <row r="18" spans="1:13" s="1512" customFormat="1" ht="33" customHeight="1">
      <c r="A18" s="1624"/>
      <c r="B18" s="1590" t="s">
        <v>152</v>
      </c>
      <c r="C18" s="1550" t="s">
        <v>153</v>
      </c>
      <c r="D18" s="1591" t="s">
        <v>154</v>
      </c>
      <c r="E18" s="1528" t="s">
        <v>155</v>
      </c>
      <c r="F18" s="1528" t="s">
        <v>156</v>
      </c>
      <c r="G18" s="1528" t="s">
        <v>157</v>
      </c>
      <c r="H18" s="1551" t="s">
        <v>158</v>
      </c>
      <c r="I18" s="1551" t="s">
        <v>159</v>
      </c>
      <c r="J18" s="1528" t="s">
        <v>160</v>
      </c>
      <c r="K18" s="1528" t="s">
        <v>161</v>
      </c>
      <c r="L18" s="1528" t="s">
        <v>162</v>
      </c>
      <c r="M18" s="1528" t="s">
        <v>163</v>
      </c>
    </row>
    <row r="19" spans="1:13" s="1512" customFormat="1" ht="45" customHeight="1">
      <c r="A19" s="1527" t="s">
        <v>164</v>
      </c>
      <c r="B19" s="1549" t="s">
        <v>165</v>
      </c>
      <c r="C19" s="1549" t="s">
        <v>166</v>
      </c>
      <c r="D19" s="1549" t="s">
        <v>167</v>
      </c>
      <c r="E19" s="1549" t="s">
        <v>168</v>
      </c>
      <c r="F19" s="1549" t="s">
        <v>169</v>
      </c>
      <c r="G19" s="1549" t="s">
        <v>170</v>
      </c>
      <c r="H19" s="1552" t="s">
        <v>171</v>
      </c>
      <c r="I19" s="1586" t="s">
        <v>172</v>
      </c>
      <c r="J19" s="1587" t="s">
        <v>173</v>
      </c>
      <c r="K19" s="1587" t="s">
        <v>174</v>
      </c>
      <c r="L19" s="1586" t="s">
        <v>175</v>
      </c>
      <c r="M19" s="1574"/>
    </row>
    <row r="20" spans="1:13" s="1513" customFormat="1" ht="45" customHeight="1">
      <c r="A20" s="1516" t="s">
        <v>176</v>
      </c>
      <c r="B20" s="1532" t="s">
        <v>177</v>
      </c>
      <c r="C20" s="1592" t="s">
        <v>178</v>
      </c>
      <c r="D20" s="1532"/>
      <c r="F20" s="1093"/>
      <c r="G20" s="1093"/>
      <c r="H20" s="1553"/>
      <c r="I20" s="1553"/>
      <c r="J20" s="1553" t="s">
        <v>179</v>
      </c>
      <c r="K20" s="1553"/>
      <c r="L20" s="1553"/>
      <c r="M20" s="1553"/>
    </row>
    <row r="21" spans="1:13" s="1515" customFormat="1" ht="30.95" customHeight="1">
      <c r="A21" s="1554" t="s">
        <v>180</v>
      </c>
      <c r="B21" s="1524" t="s">
        <v>181</v>
      </c>
      <c r="C21" s="1555" t="s">
        <v>182</v>
      </c>
      <c r="D21" s="1555" t="s">
        <v>183</v>
      </c>
      <c r="E21" s="1556" t="s">
        <v>184</v>
      </c>
      <c r="F21" s="1556" t="s">
        <v>185</v>
      </c>
      <c r="G21" s="1555" t="s">
        <v>186</v>
      </c>
      <c r="H21" s="1555" t="s">
        <v>187</v>
      </c>
      <c r="K21" s="1588"/>
      <c r="L21" s="1588"/>
      <c r="M21" s="1588"/>
    </row>
    <row r="22" spans="1:13" s="1511" customFormat="1" ht="39.950000000000003" customHeight="1">
      <c r="A22" s="1523" t="s">
        <v>188</v>
      </c>
      <c r="B22" s="1518" t="s">
        <v>189</v>
      </c>
      <c r="C22" s="1518" t="s">
        <v>190</v>
      </c>
      <c r="D22" s="1557" t="s">
        <v>191</v>
      </c>
      <c r="E22" s="1558" t="s">
        <v>192</v>
      </c>
      <c r="F22" s="1518" t="s">
        <v>193</v>
      </c>
      <c r="G22" s="1557" t="s">
        <v>194</v>
      </c>
      <c r="H22" s="1557" t="s">
        <v>195</v>
      </c>
      <c r="I22" s="1557" t="s">
        <v>196</v>
      </c>
      <c r="J22" s="1557" t="s">
        <v>197</v>
      </c>
      <c r="K22" s="1561"/>
      <c r="L22" s="1561"/>
      <c r="M22" s="1561"/>
    </row>
    <row r="23" spans="1:13" s="1511" customFormat="1" ht="30.95" customHeight="1">
      <c r="A23" s="1523" t="s">
        <v>198</v>
      </c>
      <c r="B23" s="1518" t="s">
        <v>199</v>
      </c>
      <c r="C23" s="1518" t="s">
        <v>200</v>
      </c>
      <c r="D23" s="1559" t="s">
        <v>201</v>
      </c>
      <c r="E23" s="1560" t="s">
        <v>202</v>
      </c>
      <c r="H23" s="1561"/>
      <c r="I23" s="1561"/>
      <c r="J23" s="1561"/>
      <c r="K23" s="1561"/>
      <c r="L23" s="1561"/>
      <c r="M23" s="1561"/>
    </row>
    <row r="24" spans="1:13" s="1511" customFormat="1" ht="30.95" customHeight="1">
      <c r="A24" s="1623" t="s">
        <v>203</v>
      </c>
      <c r="B24" s="1562" t="s">
        <v>204</v>
      </c>
      <c r="C24" s="1526" t="s">
        <v>205</v>
      </c>
      <c r="D24" s="1526" t="s">
        <v>206</v>
      </c>
      <c r="E24" s="1563" t="s">
        <v>207</v>
      </c>
      <c r="F24" s="1560" t="s">
        <v>208</v>
      </c>
      <c r="G24" s="1563" t="s">
        <v>209</v>
      </c>
      <c r="H24" s="1563" t="s">
        <v>210</v>
      </c>
      <c r="I24" s="1563" t="s">
        <v>211</v>
      </c>
      <c r="J24" s="1563" t="s">
        <v>212</v>
      </c>
      <c r="K24" s="1572"/>
      <c r="L24" s="1572"/>
      <c r="M24" s="1572"/>
    </row>
    <row r="25" spans="1:13" s="1512" customFormat="1" ht="30.95" customHeight="1">
      <c r="A25" s="1624"/>
      <c r="B25" s="1564" t="s">
        <v>213</v>
      </c>
      <c r="C25" s="1564" t="s">
        <v>214</v>
      </c>
      <c r="D25" s="1565" t="s">
        <v>215</v>
      </c>
      <c r="E25" s="1566" t="s">
        <v>216</v>
      </c>
      <c r="F25" s="1566" t="s">
        <v>217</v>
      </c>
      <c r="G25" s="1566" t="s">
        <v>218</v>
      </c>
      <c r="H25" s="1566" t="s">
        <v>219</v>
      </c>
      <c r="I25" s="1566"/>
      <c r="J25" s="1566"/>
      <c r="K25" s="1589"/>
      <c r="L25" s="1589"/>
      <c r="M25" s="1566"/>
    </row>
    <row r="26" spans="1:13" s="1513" customFormat="1" ht="30.95" customHeight="1">
      <c r="A26" s="1516" t="s">
        <v>220</v>
      </c>
      <c r="B26" s="1532" t="s">
        <v>221</v>
      </c>
      <c r="C26" s="1553"/>
      <c r="D26" s="1553"/>
      <c r="E26" s="1553"/>
      <c r="F26" s="1553"/>
      <c r="G26" s="1553"/>
      <c r="H26" s="1553"/>
      <c r="I26" s="1553"/>
      <c r="J26" s="1553"/>
      <c r="K26" s="1553"/>
      <c r="L26" s="1553"/>
      <c r="M26" s="1553"/>
    </row>
    <row r="27" spans="1:13" s="1511" customFormat="1" ht="30.95" customHeight="1">
      <c r="A27" s="1523" t="s">
        <v>222</v>
      </c>
      <c r="B27" s="1559" t="s">
        <v>223</v>
      </c>
      <c r="C27" s="1559" t="s">
        <v>224</v>
      </c>
      <c r="E27" s="1561"/>
      <c r="F27" s="1561"/>
      <c r="G27" s="1561"/>
      <c r="H27" s="1561"/>
      <c r="I27" s="1561"/>
      <c r="J27" s="1561"/>
      <c r="K27" s="1561"/>
      <c r="L27" s="1561"/>
      <c r="M27" s="1561"/>
    </row>
    <row r="28" spans="1:13" s="1511" customFormat="1" ht="30.95" customHeight="1">
      <c r="A28" s="1523" t="s">
        <v>225</v>
      </c>
      <c r="B28" s="1567" t="s">
        <v>226</v>
      </c>
      <c r="C28" s="1559" t="s">
        <v>227</v>
      </c>
      <c r="D28" s="1518"/>
      <c r="E28" s="1561"/>
      <c r="F28" s="1561"/>
      <c r="G28" s="1561"/>
      <c r="H28" s="1561"/>
      <c r="I28" s="1561"/>
      <c r="J28" s="1561"/>
      <c r="K28" s="1561"/>
      <c r="L28" s="1561"/>
      <c r="M28" s="1561"/>
    </row>
    <row r="29" spans="1:13" s="1511" customFormat="1" ht="30.95" customHeight="1">
      <c r="A29" s="1623" t="s">
        <v>228</v>
      </c>
      <c r="B29" s="1593" t="s">
        <v>229</v>
      </c>
      <c r="C29" s="1626" t="s">
        <v>230</v>
      </c>
      <c r="D29" s="1559" t="s">
        <v>231</v>
      </c>
      <c r="E29" s="1561"/>
      <c r="F29" s="1561"/>
      <c r="G29" s="1561"/>
      <c r="H29" s="1561"/>
      <c r="I29" s="1561"/>
      <c r="J29" s="1561"/>
      <c r="K29" s="1561"/>
      <c r="L29" s="1561"/>
      <c r="M29" s="1561"/>
    </row>
    <row r="30" spans="1:13" s="1513" customFormat="1" ht="24" customHeight="1">
      <c r="A30" s="1625"/>
      <c r="B30" s="1532" t="s">
        <v>232</v>
      </c>
      <c r="C30" s="1627"/>
      <c r="D30" s="1553"/>
      <c r="E30" s="1553"/>
      <c r="F30" s="1553"/>
      <c r="G30" s="1553"/>
      <c r="H30" s="1553"/>
      <c r="I30" s="1553"/>
      <c r="J30" s="1553"/>
      <c r="K30" s="1553"/>
      <c r="L30" s="1553"/>
      <c r="M30" s="1553"/>
    </row>
    <row r="31" spans="1:13" s="1513" customFormat="1" ht="26.1" customHeight="1">
      <c r="A31" s="1553"/>
      <c r="B31" s="1553"/>
      <c r="C31" s="1553"/>
      <c r="D31" s="1553"/>
      <c r="E31" s="1553"/>
      <c r="F31" s="1553"/>
      <c r="G31" s="1553"/>
      <c r="H31" s="1553"/>
      <c r="I31" s="1553"/>
      <c r="J31" s="1553"/>
      <c r="K31" s="1553"/>
      <c r="L31" s="1553"/>
      <c r="M31" s="1553"/>
    </row>
    <row r="32" spans="1:13" s="1513" customFormat="1" ht="26.1" customHeight="1">
      <c r="A32" s="1553"/>
      <c r="B32" s="272"/>
      <c r="C32" s="1553"/>
      <c r="D32" s="1553"/>
      <c r="E32" s="1553"/>
      <c r="F32" s="1553"/>
      <c r="G32" s="1553"/>
      <c r="H32" s="1553"/>
      <c r="I32" s="1553"/>
      <c r="J32" s="1553"/>
      <c r="K32" s="1553"/>
      <c r="L32" s="1553"/>
      <c r="M32" s="1553"/>
    </row>
    <row r="33" spans="1:256" s="1513" customFormat="1" ht="26.1" customHeight="1">
      <c r="A33" s="1553"/>
      <c r="B33" s="1510"/>
      <c r="C33" s="1510"/>
      <c r="D33" s="1553"/>
      <c r="E33" s="1553"/>
      <c r="F33" s="1553"/>
      <c r="G33" s="1553"/>
      <c r="H33" s="1553"/>
      <c r="I33" s="1553"/>
      <c r="J33" s="1553"/>
      <c r="K33" s="1553"/>
      <c r="L33" s="1553"/>
      <c r="M33" s="1553"/>
    </row>
    <row r="34" spans="1:256" s="272" customFormat="1" ht="26.1" customHeight="1">
      <c r="A34" s="1568"/>
      <c r="B34" s="1510"/>
      <c r="C34" s="1510"/>
      <c r="D34" s="1568"/>
      <c r="E34" s="1568"/>
      <c r="F34" s="1568"/>
      <c r="G34" s="1568"/>
      <c r="H34" s="1568"/>
      <c r="I34" s="1568"/>
      <c r="J34" s="1568"/>
      <c r="K34" s="1568"/>
      <c r="L34" s="1568"/>
      <c r="M34" s="1568"/>
    </row>
    <row r="35" spans="1:256" s="272" customFormat="1" ht="26.1" customHeight="1">
      <c r="A35" s="1568"/>
      <c r="B35" s="1568"/>
      <c r="C35" s="1568"/>
      <c r="D35" s="1568"/>
      <c r="E35" s="1568"/>
      <c r="F35" s="1568"/>
      <c r="G35" s="1568"/>
      <c r="H35" s="1568"/>
      <c r="I35" s="1568"/>
      <c r="J35" s="1568"/>
      <c r="K35" s="1568"/>
      <c r="L35" s="1568"/>
      <c r="M35" s="1568"/>
    </row>
    <row r="36" spans="1:256" ht="26.1" customHeight="1">
      <c r="E36" s="1569"/>
      <c r="F36" s="1570"/>
      <c r="G36" s="1570"/>
      <c r="H36" s="1570"/>
      <c r="I36" s="1568"/>
      <c r="J36" s="1570"/>
    </row>
    <row r="37" spans="1:256" s="1513" customFormat="1" ht="26.1" customHeight="1">
      <c r="A37" s="994"/>
      <c r="B37"/>
      <c r="C37"/>
      <c r="D37" s="994"/>
      <c r="E37" s="1570"/>
      <c r="F37" s="1570"/>
      <c r="G37" s="1570"/>
      <c r="H37" s="1570"/>
      <c r="I37" s="1568"/>
      <c r="J37" s="1570"/>
      <c r="K37" s="994"/>
      <c r="L37" s="994"/>
      <c r="M37" s="994"/>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row>
    <row r="38" spans="1:256" ht="26.1" customHeight="1">
      <c r="B38"/>
      <c r="C38"/>
      <c r="E38" s="1569"/>
      <c r="F38" s="1570"/>
      <c r="G38" s="1570"/>
      <c r="H38" s="1570"/>
      <c r="I38" s="1568"/>
      <c r="J38" s="1570"/>
    </row>
    <row r="39" spans="1:256" ht="26.1" customHeight="1">
      <c r="B39"/>
      <c r="C39"/>
      <c r="E39" s="1570"/>
      <c r="F39" s="1570"/>
      <c r="G39" s="1570"/>
      <c r="H39" s="1570"/>
      <c r="I39" s="1568"/>
      <c r="J39" s="1570"/>
    </row>
    <row r="40" spans="1:256" ht="26.1" customHeight="1">
      <c r="B40"/>
      <c r="C40"/>
      <c r="E40" s="1569" t="s">
        <v>233</v>
      </c>
      <c r="F40" s="1570"/>
      <c r="G40" s="1570"/>
      <c r="H40" s="1570"/>
      <c r="I40" s="1568"/>
    </row>
  </sheetData>
  <mergeCells count="9">
    <mergeCell ref="A24:A25"/>
    <mergeCell ref="A29:A30"/>
    <mergeCell ref="C29:C30"/>
    <mergeCell ref="A1:A2"/>
    <mergeCell ref="A5:A6"/>
    <mergeCell ref="A7:A11"/>
    <mergeCell ref="A12:A14"/>
    <mergeCell ref="A15:A16"/>
    <mergeCell ref="A17:A18"/>
  </mergeCells>
  <phoneticPr fontId="84" type="noConversion"/>
  <hyperlinks>
    <hyperlink ref="B3" location="'人和保障性住房（三个标段）'!A1" display="人和保障性住房（三个标段）"/>
    <hyperlink ref="B4" location="华盛大学城!A1" display="华盛大学城"/>
    <hyperlink ref="C4" location="五眼桥!A1" display="五眼桥"/>
    <hyperlink ref="D4" location="富林!A1" display="富林 竹料中学 橄榄公园 白云派出所"/>
    <hyperlink ref="E4" location="武警BC栋!A1" display="武警BC栋"/>
    <hyperlink ref="B5" location="金沙洲B37E02!A1" display="金沙洲B37E02"/>
    <hyperlink ref="C5" location="数字家庭!A1" display="数字家庭"/>
    <hyperlink ref="D5" location="珠岛花园!A1" display="珠岛花园"/>
    <hyperlink ref="E5" location="百信广场!A1" display="百信广场"/>
    <hyperlink ref="F5" location="赫基国际大厦!A1" display="赫基国际大厦"/>
    <hyperlink ref="G5" location="贵州武警公寓楼!A1" display="贵州武警公寓"/>
    <hyperlink ref="H5" location="瑞华武警公寓楼房!A1" display="瑞华武警公寓楼房"/>
    <hyperlink ref="C7" location="下西关涌!A1" display="下西关涌"/>
    <hyperlink ref="B12" location="保利琶洲!A1" display="保利琶洲"/>
    <hyperlink ref="C12" location="石湖停车场!A1" display="石湖停车场"/>
    <hyperlink ref="D12" location="坑口!A1" display="坑口"/>
    <hyperlink ref="E12" location="'番禺 天骄时代'!A1" display="番禺天骄时代"/>
    <hyperlink ref="F12" location="雅瑶!A1" display="雅瑶"/>
    <hyperlink ref="B15" location="省人民医院!A1" display="省人民医院"/>
    <hyperlink ref="C15" location="大塘商业中心!A1" display="大塘商业中心"/>
    <hyperlink ref="D15" location="茂达天骄时代!A1" display="茂达天骄时代"/>
    <hyperlink ref="F15" location="'涛景国际 '!A1" display="涛景国际"/>
    <hyperlink ref="B22" location="师范学院!A1" display="师范学院"/>
    <hyperlink ref="C22" location="广州大桥!A1" display="广州大桥"/>
    <hyperlink ref="B23" location="侨建大厦!A1" display="侨建大厦"/>
    <hyperlink ref="C23" location="联合交易园!A1" display="联合交易园"/>
    <hyperlink ref="B26" location="大塘小区!A1" display="大塘小区"/>
    <hyperlink ref="B30" location="起诉工地!A1" display="起诉工地"/>
    <hyperlink ref="B29" location="'东境建筑 李橄雄'!A1" display="东境建筑 李橄雄"/>
    <hyperlink ref="D7" location="沥滘马涌!A1" display="沥滘马涌"/>
    <hyperlink ref="G15" location="南方医院!A1" display="南方医院"/>
    <hyperlink ref="J12" location="南通广钢!A1" display="南通广钢"/>
    <hyperlink ref="J5" location="石井污水!A1" display="石井污水!A1"/>
    <hyperlink ref="C24" location="东圃公交改造工程!A1" display="东圃立交改造工程"/>
    <hyperlink ref="D24" location="名车博览会!A1" display="名车博览会"/>
    <hyperlink ref="K12" location="中太广钢!A1" display="中太广钢!A1"/>
    <hyperlink ref="B19" location="南方航空!A1" display="南方航空"/>
    <hyperlink ref="C19" location="'保利M1S2 '!A1" display="保利M1S2"/>
    <hyperlink ref="D19" location="大洲车辆段!A1" display="大洲车辆段"/>
    <hyperlink ref="E19" location="大洲车辆段施工2标!A1" display="大洲车辆段施工2标"/>
    <hyperlink ref="F19" location="' 超算 金融城 龙门苑'!A1" display="龙门苑"/>
    <hyperlink ref="B20" location="合祥供电项目!A1" display="合祥供电项目"/>
    <hyperlink ref="C20" location="'超级计算中心  金融城'!A1" display="超级计算中心  金融城"/>
    <hyperlink ref="G19" location="兴业国际仓储!A1" display="兴业国际仓储"/>
    <hyperlink ref="E21" location="广钢新城桩!A1" display="冠磊广钢新城桩"/>
    <hyperlink ref="B17" location="'杨箕村  杨箕村D栋'!A1" display="杨箕村  杨箕村D栋"/>
    <hyperlink ref="C17" location="富力海珠城!A1" display="富力海珠城"/>
    <hyperlink ref="D17" location="'天力金沙洲保障房  商业用房'!A1" display="天力金沙洲保障房  商业用房"/>
    <hyperlink ref="E17" location="中煤金沙洲保障房!A1" display="中煤金沙洲保障房"/>
    <hyperlink ref="F17" location="珠江帝景!A1" display="珠江帝景"/>
    <hyperlink ref="G17" location="南方钢厂二期二标!A1" display="南方钢厂二期二标"/>
    <hyperlink ref="H17" location="荣庆二期!A1" display="荣庆二期"/>
    <hyperlink ref="I17" location="中建三局杨箕村!A1" display="中建三局杨箕村"/>
    <hyperlink ref="J17" location="广发证券!A1" display="广发证券"/>
    <hyperlink ref="B18" location="'深圳建设 金碧花园'!A1" display="深圳建设 金碧花园"/>
    <hyperlink ref="F7" location="'菠萝山三标（南区）'!A1" display="菠萝山三标（南区）"/>
    <hyperlink ref="G12" location="水博苑!A1" display="水博苑"/>
    <hyperlink ref="K5" location="'菠萝山二标（标段四）'!A1" display="菠萝山二标（标段四）"/>
    <hyperlink ref="F21" location="纺织城!A1" display="纺织城"/>
    <hyperlink ref="F22" location="华发广钢新城!A1" display="华发广钢新城"/>
    <hyperlink ref="B21" location="湖南星沙江南西人防!A1" display="湖南星沙江南西人防"/>
    <hyperlink ref="C18" location="小新塘!A1" display="小新塘"/>
    <hyperlink ref="H15" location="'侨建 大厦'!A1" display="侨建 大厦"/>
    <hyperlink ref="I15" location="盛邦大厦!A1" display="盛邦大厦"/>
    <hyperlink ref="B13" location="红云涂料厂!A1" display="红云涂料厂"/>
    <hyperlink ref="C13" location="东新高速公路!A1" display="东新高速公路"/>
    <hyperlink ref="E24" location="中三保利广钢新城!A1" display="中三保利广钢新城!A1"/>
    <hyperlink ref="H12" location="中海广钢幼儿园!A1" display="中海广钢幼儿园"/>
    <hyperlink ref="B6" location="污水处理系统管网!A1" display="龙归污水处理系统管网"/>
    <hyperlink ref="B24" location="新墟村复建!A1" display="新墟村复建"/>
    <hyperlink ref="H19" location="中山大学球场!A1" display="中山大学球场"/>
    <hyperlink ref="D13" location="鸣翠花园!A1" display="鸣翠花园"/>
    <hyperlink ref="E13" location="广铝、远大总部经济大厦!A1" display="广铝、远大总部经济大厦"/>
    <hyperlink ref="C6" location="黄埔八标!A1" display="黄埔八标"/>
    <hyperlink ref="H7" location="龙苑城!A1" display="龙苑城"/>
    <hyperlink ref="J15" location="海珠涌拓宽工程!A1" display="海珠涌拓宽工程"/>
    <hyperlink ref="J24" location="花都都湖!A1" display="花都都湖"/>
    <hyperlink ref="I5" location="星港国际!A1" display="星港国际"/>
    <hyperlink ref="E18" location="碧讯幼儿园!A1" display="碧讯幼儿园"/>
    <hyperlink ref="F18" location="中慧睿元!A1" display="中慧睿元"/>
    <hyperlink ref="F13" location="恒辉广钢!A1" display="恒辉广钢"/>
    <hyperlink ref="B27" location="医药港!A1" display="医药港"/>
    <hyperlink ref="D6" location="奥园国际中心!A1" display="奥园国际中心"/>
    <hyperlink ref="J7" location="新华污水!A1" display="新华污水"/>
    <hyperlink ref="G13" location="红云涂料厂!A1" display="红云涂料厂"/>
    <hyperlink ref="I12" location="广纸地块项目!A1" display="广纸地块项目"/>
    <hyperlink ref="L7" location="动物园工程!A1" display="动物园工程"/>
    <hyperlink ref="B8" location="上诚万科新隆沙!A1" display="上诚万科新隆沙"/>
    <hyperlink ref="E7" location="黄埔东延线七标!A1" display="黄埔东延线七标"/>
    <hyperlink ref="K7" location="第八医院!A1" display="第八医院"/>
    <hyperlink ref="E6" location="钟落潭校区!A1" display="钟落潭校区"/>
    <hyperlink ref="F6" location="大坦沙污水处理!A1" display="大坦沙污水处理"/>
    <hyperlink ref="F24" location="中建三中海广钢!A1" display="中建三中海广钢C4c5栋"/>
    <hyperlink ref="B16" location="海航酒店!A1" display="海航酒店"/>
    <hyperlink ref="D16" location="金融城!A1" display="金融城"/>
    <hyperlink ref="C27" location="保利琶洲地块三!A1" display="保利琶洲地块三"/>
    <hyperlink ref="B28" location="国光智能电子!A1" display="国光智能电子"/>
    <hyperlink ref="C8" location="芳村高尔夫地块!A1" display="芳村高尔夫地块"/>
    <hyperlink ref="H13" location="中诚广钢!A1" display="中城广钢"/>
    <hyperlink ref="C28" location="山河广钢!A1" display="山河广钢"/>
    <hyperlink ref="I19" location="农垦科技中心!A1" display="农垦科技中心"/>
    <hyperlink ref="G18" location="笔村项目!A1" display="笔村项目"/>
    <hyperlink ref="D18" location="'小新塘 主体'!A1" display="小新塘 主体"/>
    <hyperlink ref="G7" location="太和镇医院!A1" display="太和镇医院"/>
    <hyperlink ref="G6" location="'石井-环西'!A1" display="石井-环西"/>
    <hyperlink ref="G24" location="中交集团南方总部!A1" display="中交集团南方总部"/>
    <hyperlink ref="H24" location="国际港航!A1" display="国际港航"/>
    <hyperlink ref="I24" location="出入境边防!A1" display="出入境边防"/>
    <hyperlink ref="B7" location="东沙大道!A1" display="东沙大道"/>
    <hyperlink ref="I13" location="唯品会!A1" display="唯品会"/>
    <hyperlink ref="J13" location="星河湾!A1" display="星河湾"/>
    <hyperlink ref="E8" location="天宸原著!A1" display="天宸原著"/>
    <hyperlink ref="G21" location="保利地产!A1" display="保利地产"/>
    <hyperlink ref="E16" location="慧源山庄!A1" display="慧源山庄"/>
    <hyperlink ref="H21" location="大一山庄!A1" display="大一山庄"/>
    <hyperlink ref="F16" location="时代天骄广场!A1" display="时代天骄广场"/>
    <hyperlink ref="G16" location="中岱国际品牌广场!A1" display="中岱国际品牌广场"/>
    <hyperlink ref="K13" location="芳村唯品会!A1" display="芳村唯品会"/>
    <hyperlink ref="H6" location="云产业园!A1" display="云产业园"/>
    <hyperlink ref="I16" location="科技楼!A1" display="科技楼"/>
    <hyperlink ref="F8" location="中国人民军!A1" display="中国人民解放军"/>
    <hyperlink ref="E15" location="哥弟总部!A1" display="哥弟总部"/>
    <hyperlink ref="D29" location="范围强!A1" display="范围强"/>
    <hyperlink ref="J8" location="科学城香山路道路!A1" display="科学城香山路道路"/>
    <hyperlink ref="K8" location="第一中学!A1" display="第一中学"/>
    <hyperlink ref="B25" location="小米科技!A1" display="小米科技"/>
    <hyperlink ref="B1" location="广新品牌!A1" display="广新品牌"/>
    <hyperlink ref="C1" location="画院!A1" display="画院"/>
    <hyperlink ref="D1" location="'1015工程项目'!A1" display="1015工程项目"/>
    <hyperlink ref="E1" location="广钢新城!A1" display="广钢新城"/>
    <hyperlink ref="G1" location="广佛线!A1" display="广佛线"/>
    <hyperlink ref="H1" location="花地河治理!A1" display="花地河治理!A1"/>
    <hyperlink ref="E2" location="广钢振业城!A1" display="广钢振业城"/>
    <hyperlink ref="J1" location="'会展中心-商学院'!A1" display="会展中心-商学院黄埔涌桥"/>
    <hyperlink ref="K1" location="荔港南湾!A1" display="荔港南湾"/>
    <hyperlink ref="L1" location="合鸿达大厦!A1" display="合鸿达大厦"/>
    <hyperlink ref="B2" location="金沙洲!A1" display="金沙洲"/>
    <hyperlink ref="C2" location="猎德、西朗!A1" display="猎德、西朗"/>
    <hyperlink ref="D2" location="复星南方总部!A1" display="复星南方总部"/>
    <hyperlink ref="F2" location="大坦沙!A1" display="大坦沙"/>
    <hyperlink ref="J16" location="芳村高尔夫!A1" display="芳村高尔夫"/>
    <hyperlink ref="C25" location="恒基中心!A1" display="恒基中心"/>
    <hyperlink ref="D23" location="金沙洲地块!A1" display="金沙洲地块"/>
    <hyperlink ref="L8" location="小东景!A1" display="小东景"/>
    <hyperlink ref="B9" location="菠萝山!A1" display="菠萝山"/>
    <hyperlink ref="C9" location="石榴岗!A1" display="石榴岗"/>
    <hyperlink ref="J19" location="佛教文化!A1" display="佛教文化"/>
    <hyperlink ref="K19" location="南洲路!A1" display="南洲路"/>
    <hyperlink ref="H18" location="解放军深圳旭生!A1" display="解放军深圳旭生"/>
    <hyperlink ref="I18" location="大学城足球训练基地!A1" display="大学城足球训练基地"/>
    <hyperlink ref="K16" location="变电站及输电监测中心!A1" display="变电站及输电监测中心"/>
    <hyperlink ref="L16" location="冼村!A1" display="冼村"/>
    <hyperlink ref="D9" location="科研办公楼!A1" display="科研办公楼"/>
    <hyperlink ref="D25" location="泰康商住楼!A1" display="泰康商住楼"/>
    <hyperlink ref="L13" location="芳村唯品会主体!A1" display="芳村唯品会主体"/>
    <hyperlink ref="J18" location="广钢新城开拓!A1" display="广钢新城开拓"/>
    <hyperlink ref="E9" location="白云机场商务航空!A1" display="白云机场商务航空"/>
    <hyperlink ref="F9" location="保瑞抗癌!A1" display="保瑞抗癌"/>
    <hyperlink ref="D8" location="新广从路二标!A1" display="新广从路二标"/>
    <hyperlink ref="F1" location="'广钢新城 (2期)'!A1" display="广钢新城 (2期)"/>
    <hyperlink ref="C16" location="'海航酒店 (2期)'!A1" display="海航酒店2期"/>
    <hyperlink ref="C21" location="绿地!A1" display="绿地"/>
    <hyperlink ref="D21" location="绿地2期!A1" display="绿地2期"/>
    <hyperlink ref="D22" location="正升东圃项目!A1" display="正升东圃项目一期二期"/>
    <hyperlink ref="E22" location="'正升东圃项目 (三期)'!A1" display="正升东圃项目三期"/>
    <hyperlink ref="G22" location="白云国际机场第三跑道!A1" display="白云国际机场第三跑道"/>
    <hyperlink ref="K15" location="航空护林!A1" display="航空护林"/>
    <hyperlink ref="L15" location="红十字会!A1" display="红十字会"/>
    <hyperlink ref="G9" location="医药研究!A1" display="医药研究"/>
    <hyperlink ref="E23" location="菠萝山二标!A1" display="菠萝山二标"/>
    <hyperlink ref="G8" location="小谷围大学城一标!A1" display="小谷围大学城一标"/>
    <hyperlink ref="H8" location="小谷围大学城二标!A1" display="小谷围大学城二标"/>
    <hyperlink ref="I8" location="小谷围大学城三标!A1" display="小谷围大学城三标"/>
    <hyperlink ref="H9" location="'科研办公楼 (恒盛)'!A1" display="科研办公楼 (恒盛)"/>
    <hyperlink ref="L12" location="江海大厦!A1" display="江海大厦"/>
    <hyperlink ref="J9" location="真光中学!A1" display="真光中学"/>
    <hyperlink ref="E25" location="保利广钢0809!A1" display="保利广钢0809"/>
    <hyperlink ref="I9" location="生物岛!A1" display="生物岛"/>
    <hyperlink ref="G2" location="广商中心!A1" display="广商中心"/>
    <hyperlink ref="K9" location="海珠生态城1标!A1" display="海珠生态城1标"/>
    <hyperlink ref="L9" location="海珠生态城2标!A1" display="海珠生态城2标"/>
    <hyperlink ref="B14" location="保利广钢!A1" display="保利广钢224"/>
    <hyperlink ref="B10" location="上城南站!A1" display="上城南站"/>
    <hyperlink ref="I1" location="商业楼主体项目!A1" display="商业楼主体项目"/>
    <hyperlink ref="H22" location="白云国际机场东区西地块!A1" display="白云国际机场东区西地块"/>
    <hyperlink ref="C10" location="天河干休所!A1" display="天河干休所"/>
    <hyperlink ref="H16" location="航空护林!A1" display="航空护林"/>
    <hyperlink ref="D10" location="花地河!A1" display="花地河"/>
    <hyperlink ref="K18" location="生物岛二地块!A1" display="生物岛二地块"/>
    <hyperlink ref="L18" location="西郊村!A1" display="西郊村"/>
    <hyperlink ref="E10" location="一江两岸!A1" display="一江两岸"/>
    <hyperlink ref="C14" location="金融科技大厦!A1" display="金融科技大厦"/>
    <hyperlink ref="D14" location="百花香料厂!A1" display="百花香料厂"/>
    <hyperlink ref="E14" location="猎德!A1" display="猎德处理厂"/>
    <hyperlink ref="L19" location="中山大学!A1" display="中山大学"/>
    <hyperlink ref="F25" location="北亭大社涌!A1" display="北亭大社涌"/>
    <hyperlink ref="F14" location="华发中央公园!A1" display="华发中央公园"/>
    <hyperlink ref="F10" location="美术馆!A1" display="美术馆"/>
    <hyperlink ref="G25" location="南亭大社涌!A1" display="南亭大社涌"/>
    <hyperlink ref="G10" location="呼吸中心!A1" display="呼吸中心"/>
    <hyperlink ref="H10" location="逸彩中心!A1" display="逸彩中心"/>
    <hyperlink ref="G14" location="二沙岛!A1" display="二沙岛"/>
    <hyperlink ref="I7" location="南方钢厂!A1" display="南方钢厂"/>
    <hyperlink ref="I22" location="第二高速公路!A1" display="第二高速公路"/>
    <hyperlink ref="J22" location="珠三角广佛线!A1" display="珠三角广佛线"/>
    <hyperlink ref="M16" location="云城花海!A1" display="云城花海"/>
    <hyperlink ref="I10" location="江高镇!A1" display="江高镇"/>
    <hyperlink ref="H25" location="迎宾大道!A1" display="迎宾大道"/>
    <hyperlink ref="H2" location="亚运城!A1" display="亚运城"/>
    <hyperlink ref="H14" location="'110KV番禺新城'!A1" display="110KV番禺新城"/>
    <hyperlink ref="N16" location="科大讯飞!A1" display="科大讯飞"/>
    <hyperlink ref="J10" location="白云嘉禾火车南站!A1" display="白云嘉禾火车南站"/>
    <hyperlink ref="K10" location="脑科医院!A1" display="脑科医院"/>
    <hyperlink ref="O16" location="冰交易市场!A1" display="冰交易市场"/>
    <hyperlink ref="M18" location="'220千伏隧道'!A1" display="220千伏隧道"/>
  </hyperlinks>
  <pageMargins left="0.75" right="0.75" top="1" bottom="1" header="0.51" footer="0.51"/>
  <pageSetup paperSize="9" orientation="portrait" horizontalDpi="200" verticalDpi="200"/>
  <headerFooter scaleWithDoc="0"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topLeftCell="A16" zoomScaleSheetLayoutView="100" workbookViewId="0">
      <selection activeCell="A20" sqref="A20"/>
    </sheetView>
  </sheetViews>
  <sheetFormatPr defaultColWidth="9" defaultRowHeight="14.25"/>
  <cols>
    <col min="1" max="1" width="13.5" customWidth="1"/>
    <col min="2" max="3" width="16.5" customWidth="1"/>
    <col min="4"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t="s">
        <v>443</v>
      </c>
      <c r="C1" s="1405" t="s">
        <v>444</v>
      </c>
      <c r="D1" s="1175"/>
      <c r="E1" s="1034" t="s">
        <v>236</v>
      </c>
      <c r="F1" s="1406"/>
      <c r="G1" s="656" t="s">
        <v>351</v>
      </c>
      <c r="H1" s="1407" t="s">
        <v>445</v>
      </c>
      <c r="I1" s="1652" t="s">
        <v>237</v>
      </c>
      <c r="J1" s="1656" t="s">
        <v>446</v>
      </c>
      <c r="K1" s="1657"/>
      <c r="L1" s="1658"/>
      <c r="M1" s="1654" t="s">
        <v>447</v>
      </c>
    </row>
    <row r="2" spans="1:13" ht="60" customHeight="1">
      <c r="A2" s="39" t="s">
        <v>240</v>
      </c>
      <c r="B2" s="1637" t="s">
        <v>448</v>
      </c>
      <c r="C2" s="1637"/>
      <c r="D2" s="41" t="s">
        <v>242</v>
      </c>
      <c r="E2" s="1666" t="s">
        <v>449</v>
      </c>
      <c r="F2" s="1667"/>
      <c r="G2" s="41" t="s">
        <v>243</v>
      </c>
      <c r="H2" s="1408" t="s">
        <v>450</v>
      </c>
      <c r="I2" s="1653"/>
      <c r="J2" s="1659"/>
      <c r="K2" s="1660"/>
      <c r="L2" s="1661"/>
      <c r="M2" s="1655"/>
    </row>
    <row r="3" spans="1:13" ht="87.95" customHeight="1">
      <c r="A3" s="39" t="s">
        <v>247</v>
      </c>
      <c r="B3" s="1637" t="s">
        <v>451</v>
      </c>
      <c r="C3" s="1637"/>
      <c r="D3" s="41" t="s">
        <v>249</v>
      </c>
      <c r="E3" s="186" t="s">
        <v>452</v>
      </c>
      <c r="F3" s="41" t="s">
        <v>251</v>
      </c>
      <c r="G3" s="41" t="s">
        <v>453</v>
      </c>
      <c r="H3" s="41" t="s">
        <v>252</v>
      </c>
      <c r="I3" s="90">
        <v>13826446388</v>
      </c>
      <c r="J3" s="91" t="s">
        <v>253</v>
      </c>
      <c r="K3" s="40" t="s">
        <v>454</v>
      </c>
      <c r="L3" s="15" t="s">
        <v>255</v>
      </c>
      <c r="M3" s="105" t="s">
        <v>382</v>
      </c>
    </row>
    <row r="4" spans="1:13" ht="47.25" customHeight="1">
      <c r="A4" s="39" t="s">
        <v>257</v>
      </c>
      <c r="B4" s="1637"/>
      <c r="C4" s="1637"/>
      <c r="D4" s="1637"/>
      <c r="E4" s="43" t="s">
        <v>258</v>
      </c>
      <c r="F4" s="1638"/>
      <c r="G4" s="1638"/>
      <c r="H4" s="1638"/>
      <c r="I4" s="1637"/>
      <c r="J4" s="1637"/>
      <c r="K4" s="15"/>
      <c r="L4" s="41" t="s">
        <v>360</v>
      </c>
      <c r="M4" s="105" t="s">
        <v>455</v>
      </c>
    </row>
    <row r="5" spans="1:13" ht="63" customHeight="1">
      <c r="A5" s="1036" t="s">
        <v>260</v>
      </c>
      <c r="B5" s="1664" t="s">
        <v>403</v>
      </c>
      <c r="C5" s="1664"/>
      <c r="D5" s="1664"/>
      <c r="E5" s="1633" t="s">
        <v>386</v>
      </c>
      <c r="F5" s="1633"/>
      <c r="G5" s="1633"/>
      <c r="H5" s="1633"/>
      <c r="I5" s="1649"/>
      <c r="J5" s="1650"/>
      <c r="K5" s="1650"/>
      <c r="L5" s="1651"/>
      <c r="M5" s="150"/>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6" customHeight="1">
      <c r="A7" s="1409" t="s">
        <v>456</v>
      </c>
      <c r="B7" s="1248">
        <v>473.5</v>
      </c>
      <c r="C7" s="1248">
        <v>122662.5</v>
      </c>
      <c r="D7" s="1067">
        <f>+B7</f>
        <v>473.5</v>
      </c>
      <c r="E7" s="1067">
        <f>C7</f>
        <v>122662.5</v>
      </c>
      <c r="F7" s="1067"/>
      <c r="G7" s="1245"/>
      <c r="H7" s="1414"/>
      <c r="I7" s="1415"/>
      <c r="J7" s="1415"/>
      <c r="K7" s="1416"/>
      <c r="L7" s="1417">
        <f t="shared" ref="L7:L19" si="0">E7-J7</f>
        <v>122662.5</v>
      </c>
      <c r="M7" s="1165"/>
    </row>
    <row r="8" spans="1:13" ht="36" customHeight="1">
      <c r="A8" s="1409">
        <v>42552</v>
      </c>
      <c r="B8" s="260">
        <v>129</v>
      </c>
      <c r="C8" s="1067">
        <v>38055</v>
      </c>
      <c r="D8" s="1248">
        <f t="shared" ref="D8:D19" si="1">B8+D7</f>
        <v>602.5</v>
      </c>
      <c r="E8" s="1248">
        <f t="shared" ref="E8:E19" si="2">C8+E7</f>
        <v>160717.5</v>
      </c>
      <c r="F8" s="1067"/>
      <c r="G8" s="1245"/>
      <c r="H8" s="1414">
        <f t="shared" ref="H8:H20" si="3">C7</f>
        <v>122662.5</v>
      </c>
      <c r="I8" s="1418"/>
      <c r="J8" s="1415"/>
      <c r="K8" s="1416">
        <f t="shared" ref="K8:K20" si="4">K7+H8-I8</f>
        <v>122662.5</v>
      </c>
      <c r="L8" s="1417">
        <f t="shared" si="0"/>
        <v>160717.5</v>
      </c>
      <c r="M8" s="1199"/>
    </row>
    <row r="9" spans="1:13" ht="36" customHeight="1">
      <c r="A9" s="1409">
        <v>42583</v>
      </c>
      <c r="B9" s="1067">
        <v>743</v>
      </c>
      <c r="C9" s="1067">
        <v>218900</v>
      </c>
      <c r="D9" s="1248">
        <f t="shared" si="1"/>
        <v>1345.5</v>
      </c>
      <c r="E9" s="1248">
        <f t="shared" si="2"/>
        <v>379617.5</v>
      </c>
      <c r="F9" s="1067"/>
      <c r="G9" s="1245"/>
      <c r="H9" s="1414">
        <f t="shared" si="3"/>
        <v>38055</v>
      </c>
      <c r="I9" s="1418"/>
      <c r="J9" s="1418"/>
      <c r="K9" s="1416">
        <f t="shared" si="4"/>
        <v>160717.5</v>
      </c>
      <c r="L9" s="1417">
        <f t="shared" si="0"/>
        <v>379617.5</v>
      </c>
      <c r="M9" s="412" t="s">
        <v>457</v>
      </c>
    </row>
    <row r="10" spans="1:13" ht="36" customHeight="1">
      <c r="A10" s="1413">
        <v>42614</v>
      </c>
      <c r="B10" s="1067">
        <v>378</v>
      </c>
      <c r="C10" s="1067">
        <v>111370</v>
      </c>
      <c r="D10" s="1248">
        <f t="shared" si="1"/>
        <v>1723.5</v>
      </c>
      <c r="E10" s="1248">
        <f t="shared" si="2"/>
        <v>490987.5</v>
      </c>
      <c r="F10" s="1067"/>
      <c r="G10" s="1245"/>
      <c r="H10" s="1414">
        <f t="shared" si="3"/>
        <v>218900</v>
      </c>
      <c r="I10" s="1418">
        <v>160717.5</v>
      </c>
      <c r="J10" s="1418">
        <f>I10</f>
        <v>160717.5</v>
      </c>
      <c r="K10" s="1416">
        <f t="shared" si="4"/>
        <v>218900</v>
      </c>
      <c r="L10" s="1417">
        <f t="shared" si="0"/>
        <v>330270</v>
      </c>
      <c r="M10" s="412"/>
    </row>
    <row r="11" spans="1:13" ht="36" customHeight="1">
      <c r="A11" s="1413">
        <v>42644</v>
      </c>
      <c r="B11" s="1067">
        <v>69</v>
      </c>
      <c r="C11" s="1067">
        <v>17620</v>
      </c>
      <c r="D11" s="1248">
        <f t="shared" si="1"/>
        <v>1792.5</v>
      </c>
      <c r="E11" s="1248">
        <f t="shared" si="2"/>
        <v>508607.5</v>
      </c>
      <c r="F11" s="1067"/>
      <c r="G11" s="1245"/>
      <c r="H11" s="1414">
        <f t="shared" si="3"/>
        <v>111370</v>
      </c>
      <c r="I11" s="1418"/>
      <c r="J11" s="1418">
        <f t="shared" ref="J11:J19" si="5">I11+J10</f>
        <v>160717.5</v>
      </c>
      <c r="K11" s="1416">
        <f t="shared" si="4"/>
        <v>330270</v>
      </c>
      <c r="L11" s="1417">
        <f t="shared" si="0"/>
        <v>347890</v>
      </c>
      <c r="M11" s="412" t="s">
        <v>458</v>
      </c>
    </row>
    <row r="12" spans="1:13" ht="36" customHeight="1">
      <c r="A12" s="1413">
        <v>42675</v>
      </c>
      <c r="B12" s="1067">
        <v>697</v>
      </c>
      <c r="C12" s="1067">
        <v>201265</v>
      </c>
      <c r="D12" s="1248">
        <f t="shared" si="1"/>
        <v>2489.5</v>
      </c>
      <c r="E12" s="1248">
        <f t="shared" si="2"/>
        <v>709872.5</v>
      </c>
      <c r="F12" s="1067"/>
      <c r="G12" s="1245"/>
      <c r="H12" s="1414">
        <f t="shared" si="3"/>
        <v>17620</v>
      </c>
      <c r="I12" s="1418"/>
      <c r="J12" s="1418">
        <f t="shared" si="5"/>
        <v>160717.5</v>
      </c>
      <c r="K12" s="1416">
        <f t="shared" si="4"/>
        <v>347890</v>
      </c>
      <c r="L12" s="1417">
        <f t="shared" si="0"/>
        <v>549155</v>
      </c>
      <c r="M12" s="412"/>
    </row>
    <row r="13" spans="1:13" ht="36" customHeight="1">
      <c r="A13" s="1413">
        <v>42705</v>
      </c>
      <c r="B13" s="1067">
        <v>792</v>
      </c>
      <c r="C13" s="1067">
        <v>239130</v>
      </c>
      <c r="D13" s="1248">
        <f t="shared" si="1"/>
        <v>3281.5</v>
      </c>
      <c r="E13" s="1248">
        <f t="shared" si="2"/>
        <v>949002.5</v>
      </c>
      <c r="F13" s="1067"/>
      <c r="G13" s="1245"/>
      <c r="H13" s="1414">
        <f t="shared" si="3"/>
        <v>201265</v>
      </c>
      <c r="I13" s="1418">
        <v>330270</v>
      </c>
      <c r="J13" s="1418">
        <f t="shared" si="5"/>
        <v>490987.5</v>
      </c>
      <c r="K13" s="1416">
        <f t="shared" si="4"/>
        <v>218885</v>
      </c>
      <c r="L13" s="1417">
        <f t="shared" si="0"/>
        <v>458015</v>
      </c>
      <c r="M13" s="412" t="s">
        <v>459</v>
      </c>
    </row>
    <row r="14" spans="1:13" ht="36" customHeight="1">
      <c r="A14" s="1413">
        <v>42736</v>
      </c>
      <c r="B14" s="1067">
        <v>0</v>
      </c>
      <c r="C14" s="1067">
        <v>0</v>
      </c>
      <c r="D14" s="1248">
        <f t="shared" si="1"/>
        <v>3281.5</v>
      </c>
      <c r="E14" s="1248">
        <f t="shared" si="2"/>
        <v>949002.5</v>
      </c>
      <c r="F14" s="1067"/>
      <c r="G14" s="1245"/>
      <c r="H14" s="1414">
        <f t="shared" si="3"/>
        <v>239130</v>
      </c>
      <c r="I14" s="1418">
        <v>218885</v>
      </c>
      <c r="J14" s="1418">
        <f t="shared" si="5"/>
        <v>709872.5</v>
      </c>
      <c r="K14" s="1416">
        <f t="shared" si="4"/>
        <v>239130</v>
      </c>
      <c r="L14" s="1417">
        <f t="shared" si="0"/>
        <v>239130</v>
      </c>
      <c r="M14" s="412"/>
    </row>
    <row r="15" spans="1:13" ht="36" customHeight="1">
      <c r="A15" s="1413">
        <v>42767</v>
      </c>
      <c r="B15" s="1067">
        <v>0</v>
      </c>
      <c r="C15" s="1067">
        <v>0</v>
      </c>
      <c r="D15" s="1248">
        <f t="shared" si="1"/>
        <v>3281.5</v>
      </c>
      <c r="E15" s="1248">
        <f t="shared" si="2"/>
        <v>949002.5</v>
      </c>
      <c r="F15" s="1067"/>
      <c r="G15" s="1245"/>
      <c r="H15" s="1414">
        <f t="shared" si="3"/>
        <v>0</v>
      </c>
      <c r="I15" s="1418"/>
      <c r="J15" s="1418">
        <f t="shared" si="5"/>
        <v>709872.5</v>
      </c>
      <c r="K15" s="1416">
        <f t="shared" si="4"/>
        <v>239130</v>
      </c>
      <c r="L15" s="1417">
        <f t="shared" si="0"/>
        <v>239130</v>
      </c>
      <c r="M15" s="412"/>
    </row>
    <row r="16" spans="1:13" ht="36" customHeight="1">
      <c r="A16" s="1413">
        <v>42795</v>
      </c>
      <c r="B16" s="1067">
        <v>38</v>
      </c>
      <c r="C16" s="1067">
        <v>11420</v>
      </c>
      <c r="D16" s="1248">
        <f t="shared" si="1"/>
        <v>3319.5</v>
      </c>
      <c r="E16" s="1248">
        <f t="shared" si="2"/>
        <v>960422.5</v>
      </c>
      <c r="F16" s="1067"/>
      <c r="G16" s="1245"/>
      <c r="H16" s="1414">
        <f t="shared" si="3"/>
        <v>0</v>
      </c>
      <c r="I16" s="1418"/>
      <c r="J16" s="1418">
        <f t="shared" si="5"/>
        <v>709872.5</v>
      </c>
      <c r="K16" s="1416">
        <f t="shared" si="4"/>
        <v>239130</v>
      </c>
      <c r="L16" s="1417">
        <f t="shared" si="0"/>
        <v>250550</v>
      </c>
      <c r="M16" s="412"/>
    </row>
    <row r="17" spans="1:13" ht="36" customHeight="1">
      <c r="A17" s="1413">
        <v>42826</v>
      </c>
      <c r="B17" s="1067">
        <v>46.5</v>
      </c>
      <c r="C17" s="1067">
        <v>15705</v>
      </c>
      <c r="D17" s="1248">
        <f t="shared" si="1"/>
        <v>3366</v>
      </c>
      <c r="E17" s="1248">
        <f t="shared" si="2"/>
        <v>976127.5</v>
      </c>
      <c r="F17" s="1067"/>
      <c r="G17" s="1245"/>
      <c r="H17" s="1414">
        <f t="shared" si="3"/>
        <v>11420</v>
      </c>
      <c r="I17" s="1418">
        <v>2000</v>
      </c>
      <c r="J17" s="1418">
        <f t="shared" si="5"/>
        <v>711872.5</v>
      </c>
      <c r="K17" s="1416">
        <f t="shared" si="4"/>
        <v>248550</v>
      </c>
      <c r="L17" s="1417">
        <f t="shared" si="0"/>
        <v>264255</v>
      </c>
      <c r="M17" s="412" t="s">
        <v>460</v>
      </c>
    </row>
    <row r="18" spans="1:13" ht="36" customHeight="1">
      <c r="A18" s="1413">
        <v>42856</v>
      </c>
      <c r="B18" s="1067">
        <v>14</v>
      </c>
      <c r="C18" s="1067">
        <v>4635</v>
      </c>
      <c r="D18" s="1248">
        <f t="shared" si="1"/>
        <v>3380</v>
      </c>
      <c r="E18" s="1248">
        <f t="shared" si="2"/>
        <v>980762.5</v>
      </c>
      <c r="F18" s="1067"/>
      <c r="G18" s="1245"/>
      <c r="H18" s="1414">
        <f t="shared" si="3"/>
        <v>15705</v>
      </c>
      <c r="I18" s="1418">
        <v>237130</v>
      </c>
      <c r="J18" s="1418">
        <f t="shared" si="5"/>
        <v>949002.5</v>
      </c>
      <c r="K18" s="1416">
        <f t="shared" si="4"/>
        <v>27125</v>
      </c>
      <c r="L18" s="1417">
        <f t="shared" si="0"/>
        <v>31760</v>
      </c>
      <c r="M18" s="412"/>
    </row>
    <row r="19" spans="1:13" ht="36" customHeight="1">
      <c r="A19" s="1413">
        <v>42948</v>
      </c>
      <c r="B19" s="1067"/>
      <c r="C19" s="1067"/>
      <c r="D19" s="1248">
        <f t="shared" si="1"/>
        <v>3380</v>
      </c>
      <c r="E19" s="1248">
        <f t="shared" si="2"/>
        <v>980762.5</v>
      </c>
      <c r="F19" s="1067"/>
      <c r="G19" s="1245"/>
      <c r="H19" s="1414">
        <f t="shared" si="3"/>
        <v>4635</v>
      </c>
      <c r="I19" s="1418"/>
      <c r="J19" s="1418">
        <f t="shared" si="5"/>
        <v>949002.5</v>
      </c>
      <c r="K19" s="1416">
        <f t="shared" si="4"/>
        <v>31760</v>
      </c>
      <c r="L19" s="1417">
        <f t="shared" si="0"/>
        <v>31760</v>
      </c>
      <c r="M19" s="412" t="s">
        <v>461</v>
      </c>
    </row>
    <row r="20" spans="1:13" ht="36" customHeight="1">
      <c r="A20" s="1413"/>
      <c r="B20" s="1067"/>
      <c r="C20" s="1067"/>
      <c r="D20" s="1067"/>
      <c r="E20" s="1067"/>
      <c r="F20" s="1067"/>
      <c r="G20" s="1245"/>
      <c r="H20" s="1414">
        <f t="shared" si="3"/>
        <v>0</v>
      </c>
      <c r="I20" s="1418"/>
      <c r="J20" s="1418"/>
      <c r="K20" s="1416">
        <f t="shared" si="4"/>
        <v>31760</v>
      </c>
      <c r="L20" s="259"/>
      <c r="M20" s="412"/>
    </row>
    <row r="21" spans="1:13" ht="36" customHeight="1">
      <c r="A21" s="1413"/>
      <c r="B21" s="1067"/>
      <c r="C21" s="1067"/>
      <c r="D21" s="1067"/>
      <c r="E21" s="1067"/>
      <c r="F21" s="1067"/>
      <c r="G21" s="1245"/>
      <c r="H21" s="1414"/>
      <c r="I21" s="1418"/>
      <c r="J21" s="1418"/>
      <c r="K21" s="1416"/>
      <c r="L21" s="259"/>
      <c r="M21" s="412"/>
    </row>
    <row r="22" spans="1:13" ht="36" customHeight="1">
      <c r="A22" s="1413"/>
      <c r="B22" s="1067"/>
      <c r="C22" s="1067"/>
      <c r="D22" s="1067"/>
      <c r="E22" s="1067"/>
      <c r="F22" s="1067"/>
      <c r="G22" s="1245"/>
      <c r="H22" s="1414"/>
      <c r="I22" s="1418"/>
      <c r="J22" s="1418"/>
      <c r="K22" s="1416"/>
      <c r="L22" s="259"/>
      <c r="M22" s="412"/>
    </row>
    <row r="23" spans="1:13" ht="36" customHeight="1">
      <c r="A23" s="1413"/>
      <c r="B23" s="1067"/>
      <c r="C23" s="1067"/>
      <c r="D23" s="1067"/>
      <c r="E23" s="1067"/>
      <c r="F23" s="1067"/>
      <c r="G23" s="1245"/>
      <c r="H23" s="1414"/>
      <c r="I23" s="1418"/>
      <c r="J23" s="1418"/>
      <c r="K23" s="1416"/>
      <c r="L23" s="259"/>
      <c r="M23" s="412"/>
    </row>
    <row r="24" spans="1:13" ht="36" customHeight="1">
      <c r="A24" s="1413"/>
      <c r="B24" s="1067"/>
      <c r="C24" s="1067"/>
      <c r="D24" s="1067"/>
      <c r="E24" s="1067"/>
      <c r="F24" s="1067"/>
      <c r="G24" s="1245"/>
      <c r="H24" s="1414"/>
      <c r="I24" s="1418"/>
      <c r="J24" s="1418"/>
      <c r="K24" s="1416"/>
      <c r="L24" s="259"/>
      <c r="M24" s="412"/>
    </row>
    <row r="25" spans="1:13" ht="36" customHeight="1">
      <c r="A25" s="1413"/>
      <c r="B25" s="1067"/>
      <c r="C25" s="1067"/>
      <c r="D25" s="1067"/>
      <c r="E25" s="1067"/>
      <c r="F25" s="1067"/>
      <c r="G25" s="1245"/>
      <c r="H25" s="1414"/>
      <c r="I25" s="1418"/>
      <c r="J25" s="1418"/>
      <c r="K25" s="1067"/>
      <c r="L25" s="259"/>
      <c r="M25" s="412"/>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topLeftCell="A28" zoomScaleSheetLayoutView="100" workbookViewId="0">
      <selection activeCell="I33" sqref="I33"/>
    </sheetView>
  </sheetViews>
  <sheetFormatPr defaultColWidth="9" defaultRowHeight="14.25"/>
  <cols>
    <col min="1" max="1" width="12.625" bestFit="1" customWidth="1"/>
    <col min="2" max="2" width="16.125" customWidth="1"/>
    <col min="3" max="3" width="14.125" customWidth="1"/>
    <col min="4" max="4" width="13.75" customWidth="1"/>
    <col min="5" max="5" width="18" customWidth="1"/>
    <col min="6" max="6" width="13.375" customWidth="1"/>
    <col min="7" max="7" width="13.875" customWidth="1"/>
    <col min="8" max="9" width="11.625" customWidth="1"/>
    <col min="10" max="10" width="12.25" customWidth="1"/>
    <col min="11" max="11" width="13.75" customWidth="1"/>
    <col min="12" max="12" width="13.625" customWidth="1"/>
    <col min="13" max="13" width="49.125" customWidth="1"/>
  </cols>
  <sheetData>
    <row r="1" spans="1:13" ht="45" customHeight="1">
      <c r="A1" s="1008" t="s">
        <v>348</v>
      </c>
      <c r="B1" s="1009">
        <v>42109</v>
      </c>
      <c r="C1" s="1830" t="s">
        <v>2451</v>
      </c>
      <c r="D1" s="1822"/>
      <c r="E1" s="1008" t="s">
        <v>236</v>
      </c>
      <c r="F1" s="1668" t="s">
        <v>2452</v>
      </c>
      <c r="G1" s="1811"/>
      <c r="H1" s="1811"/>
      <c r="I1" s="1638" t="s">
        <v>2453</v>
      </c>
      <c r="J1" s="1665" t="s">
        <v>2454</v>
      </c>
      <c r="K1" s="1665"/>
      <c r="L1" s="1665"/>
      <c r="M1" s="2002" t="s">
        <v>2455</v>
      </c>
    </row>
    <row r="2" spans="1:13" ht="42" customHeight="1">
      <c r="A2" s="41" t="s">
        <v>240</v>
      </c>
      <c r="B2" s="1637" t="s">
        <v>2456</v>
      </c>
      <c r="C2" s="1637"/>
      <c r="D2" s="41" t="s">
        <v>242</v>
      </c>
      <c r="E2" s="1638"/>
      <c r="F2" s="1638"/>
      <c r="G2" s="41" t="s">
        <v>243</v>
      </c>
      <c r="H2" s="1014" t="s">
        <v>2457</v>
      </c>
      <c r="I2" s="1638"/>
      <c r="J2" s="1665"/>
      <c r="K2" s="1665"/>
      <c r="L2" s="1665"/>
      <c r="M2" s="2002"/>
    </row>
    <row r="3" spans="1:13" ht="45.95" customHeight="1">
      <c r="A3" s="41" t="s">
        <v>247</v>
      </c>
      <c r="B3" s="1637" t="s">
        <v>2458</v>
      </c>
      <c r="C3" s="1637"/>
      <c r="D3" s="41" t="s">
        <v>249</v>
      </c>
      <c r="E3" s="186" t="s">
        <v>651</v>
      </c>
      <c r="F3" s="41" t="s">
        <v>251</v>
      </c>
      <c r="G3" s="41" t="s">
        <v>2459</v>
      </c>
      <c r="H3" s="41" t="s">
        <v>252</v>
      </c>
      <c r="I3" s="90">
        <v>13873172369</v>
      </c>
      <c r="J3" s="91" t="s">
        <v>253</v>
      </c>
      <c r="K3" s="40" t="s">
        <v>2460</v>
      </c>
      <c r="L3" s="15" t="s">
        <v>255</v>
      </c>
      <c r="M3" s="271" t="s">
        <v>2459</v>
      </c>
    </row>
    <row r="4" spans="1:13" ht="55.5" customHeight="1">
      <c r="A4" s="41" t="s">
        <v>257</v>
      </c>
      <c r="B4" s="1637"/>
      <c r="C4" s="1637"/>
      <c r="D4" s="1637"/>
      <c r="E4" s="43" t="s">
        <v>258</v>
      </c>
      <c r="F4" s="1638"/>
      <c r="G4" s="1638"/>
      <c r="H4" s="1638"/>
      <c r="I4" s="1637"/>
      <c r="J4" s="1637"/>
      <c r="K4" s="15"/>
      <c r="L4" s="41" t="s">
        <v>245</v>
      </c>
      <c r="M4" s="41" t="s">
        <v>2461</v>
      </c>
    </row>
    <row r="5" spans="1:13" ht="75" customHeight="1">
      <c r="A5" s="41" t="s">
        <v>260</v>
      </c>
      <c r="B5" s="1747" t="s">
        <v>2462</v>
      </c>
      <c r="C5" s="1747"/>
      <c r="D5" s="1747"/>
      <c r="E5" s="1747"/>
      <c r="F5" s="1647" t="s">
        <v>2463</v>
      </c>
      <c r="G5" s="1647"/>
      <c r="H5" s="1647"/>
      <c r="I5" s="1647"/>
      <c r="J5" s="1647"/>
      <c r="K5" s="1647"/>
      <c r="L5" s="150"/>
      <c r="M5" s="150" t="s">
        <v>2464</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365">
        <v>42095</v>
      </c>
      <c r="B7" s="360">
        <v>535</v>
      </c>
      <c r="C7" s="360">
        <v>166765</v>
      </c>
      <c r="D7" s="360">
        <f>B7</f>
        <v>535</v>
      </c>
      <c r="E7" s="360">
        <f>C7</f>
        <v>166765</v>
      </c>
      <c r="F7" s="360"/>
      <c r="G7" s="294">
        <f t="shared" ref="G7:G19" si="0">E7*0.2</f>
        <v>33353</v>
      </c>
      <c r="H7" s="360"/>
      <c r="I7" s="360"/>
      <c r="J7" s="360"/>
      <c r="K7" s="360"/>
      <c r="L7" s="360">
        <f t="shared" ref="L7:L33" si="1">E7-J7</f>
        <v>166765</v>
      </c>
      <c r="M7" s="360"/>
    </row>
    <row r="8" spans="1:13" s="977" customFormat="1" ht="36" customHeight="1">
      <c r="A8" s="365">
        <v>42125</v>
      </c>
      <c r="B8" s="360">
        <v>12257</v>
      </c>
      <c r="C8" s="360">
        <v>4045511</v>
      </c>
      <c r="D8" s="360">
        <f t="shared" ref="D8:D33" si="2">D7+B8</f>
        <v>12792</v>
      </c>
      <c r="E8" s="360">
        <f t="shared" ref="E8:E33" si="3">E7+C8</f>
        <v>4212276</v>
      </c>
      <c r="F8" s="360"/>
      <c r="G8" s="294">
        <f t="shared" si="0"/>
        <v>842455.20000000007</v>
      </c>
      <c r="H8" s="360">
        <f t="shared" ref="H8:H20" si="4">C7*0.8</f>
        <v>133412</v>
      </c>
      <c r="I8" s="360"/>
      <c r="J8" s="360">
        <f>I8+J7</f>
        <v>0</v>
      </c>
      <c r="K8" s="360">
        <f t="shared" ref="K8:K34" si="5">K7+H8-I8</f>
        <v>133412</v>
      </c>
      <c r="L8" s="360">
        <f t="shared" si="1"/>
        <v>4212276</v>
      </c>
      <c r="M8" s="360"/>
    </row>
    <row r="9" spans="1:13" s="977" customFormat="1" ht="36" customHeight="1">
      <c r="A9" s="365">
        <v>42156</v>
      </c>
      <c r="B9" s="360">
        <f>4450+4534</f>
        <v>8984</v>
      </c>
      <c r="C9" s="360">
        <f>1646275+1691127</f>
        <v>3337402</v>
      </c>
      <c r="D9" s="360">
        <f t="shared" si="2"/>
        <v>21776</v>
      </c>
      <c r="E9" s="360">
        <f t="shared" si="3"/>
        <v>7549678</v>
      </c>
      <c r="F9" s="360"/>
      <c r="G9" s="294">
        <f t="shared" si="0"/>
        <v>1509935.6</v>
      </c>
      <c r="H9" s="360">
        <f t="shared" si="4"/>
        <v>3236408.8000000003</v>
      </c>
      <c r="I9" s="360"/>
      <c r="J9" s="360"/>
      <c r="K9" s="360">
        <f t="shared" si="5"/>
        <v>3369820.8000000003</v>
      </c>
      <c r="L9" s="360">
        <f t="shared" si="1"/>
        <v>7549678</v>
      </c>
      <c r="M9" s="360"/>
    </row>
    <row r="10" spans="1:13" s="977" customFormat="1" ht="36" customHeight="1">
      <c r="A10" s="365">
        <v>42186</v>
      </c>
      <c r="B10" s="423">
        <v>5939</v>
      </c>
      <c r="C10" s="423">
        <v>2326672</v>
      </c>
      <c r="D10" s="360">
        <f t="shared" si="2"/>
        <v>27715</v>
      </c>
      <c r="E10" s="360">
        <f t="shared" si="3"/>
        <v>9876350</v>
      </c>
      <c r="F10" s="360"/>
      <c r="G10" s="294">
        <f t="shared" si="0"/>
        <v>1975270</v>
      </c>
      <c r="H10" s="360">
        <f t="shared" si="4"/>
        <v>2669921.6</v>
      </c>
      <c r="I10" s="360"/>
      <c r="J10" s="360"/>
      <c r="K10" s="360">
        <f t="shared" si="5"/>
        <v>6039742.4000000004</v>
      </c>
      <c r="L10" s="360">
        <f t="shared" si="1"/>
        <v>9876350</v>
      </c>
      <c r="M10" s="360"/>
    </row>
    <row r="11" spans="1:13" s="977" customFormat="1" ht="36" customHeight="1">
      <c r="A11" s="365">
        <v>42217</v>
      </c>
      <c r="B11" s="360">
        <v>8569</v>
      </c>
      <c r="C11" s="360">
        <v>3246022</v>
      </c>
      <c r="D11" s="360">
        <f t="shared" si="2"/>
        <v>36284</v>
      </c>
      <c r="E11" s="360">
        <f t="shared" si="3"/>
        <v>13122372</v>
      </c>
      <c r="F11" s="360"/>
      <c r="G11" s="294">
        <f t="shared" si="0"/>
        <v>2624474.4000000004</v>
      </c>
      <c r="H11" s="360">
        <f t="shared" si="4"/>
        <v>1861337.6</v>
      </c>
      <c r="I11" s="360">
        <v>2550000</v>
      </c>
      <c r="J11" s="360">
        <f t="shared" ref="J11:J33" si="6">J10+I11</f>
        <v>2550000</v>
      </c>
      <c r="K11" s="360">
        <f t="shared" si="5"/>
        <v>5351080</v>
      </c>
      <c r="L11" s="360">
        <f t="shared" si="1"/>
        <v>10572372</v>
      </c>
      <c r="M11" s="360" t="s">
        <v>2465</v>
      </c>
    </row>
    <row r="12" spans="1:13" s="977" customFormat="1" ht="36" customHeight="1">
      <c r="A12" s="365">
        <v>42248</v>
      </c>
      <c r="B12" s="360">
        <v>11992</v>
      </c>
      <c r="C12" s="360">
        <v>4222781</v>
      </c>
      <c r="D12" s="360">
        <f t="shared" si="2"/>
        <v>48276</v>
      </c>
      <c r="E12" s="360">
        <f t="shared" si="3"/>
        <v>17345153</v>
      </c>
      <c r="F12" s="360"/>
      <c r="G12" s="294">
        <f t="shared" si="0"/>
        <v>3469030.6</v>
      </c>
      <c r="H12" s="360">
        <f t="shared" si="4"/>
        <v>2596817.6</v>
      </c>
      <c r="I12" s="360">
        <f>200000+2669921.6</f>
        <v>2869921.6</v>
      </c>
      <c r="J12" s="360">
        <f t="shared" si="6"/>
        <v>5419921.5999999996</v>
      </c>
      <c r="K12" s="360">
        <f t="shared" si="5"/>
        <v>5077976</v>
      </c>
      <c r="L12" s="360">
        <f t="shared" si="1"/>
        <v>11925231.4</v>
      </c>
      <c r="M12" s="360" t="s">
        <v>2466</v>
      </c>
    </row>
    <row r="13" spans="1:13" s="977" customFormat="1" ht="36" customHeight="1">
      <c r="A13" s="365">
        <v>42278</v>
      </c>
      <c r="B13" s="360">
        <v>11231</v>
      </c>
      <c r="C13" s="360">
        <v>4026398</v>
      </c>
      <c r="D13" s="360">
        <f t="shared" si="2"/>
        <v>59507</v>
      </c>
      <c r="E13" s="360">
        <f t="shared" si="3"/>
        <v>21371551</v>
      </c>
      <c r="F13" s="360"/>
      <c r="G13" s="294">
        <f t="shared" si="0"/>
        <v>4274310.2</v>
      </c>
      <c r="H13" s="360">
        <f t="shared" si="4"/>
        <v>3378224.8000000003</v>
      </c>
      <c r="I13" s="360">
        <v>2481158.4</v>
      </c>
      <c r="J13" s="360">
        <f t="shared" si="6"/>
        <v>7901080</v>
      </c>
      <c r="K13" s="360">
        <f t="shared" si="5"/>
        <v>5975042.4000000004</v>
      </c>
      <c r="L13" s="360">
        <f t="shared" si="1"/>
        <v>13470471</v>
      </c>
      <c r="M13" s="412" t="s">
        <v>2467</v>
      </c>
    </row>
    <row r="14" spans="1:13" s="977" customFormat="1" ht="36" customHeight="1">
      <c r="A14" s="365">
        <v>42309</v>
      </c>
      <c r="B14" s="360">
        <v>12123</v>
      </c>
      <c r="C14" s="360">
        <v>4185359</v>
      </c>
      <c r="D14" s="360">
        <f t="shared" si="2"/>
        <v>71630</v>
      </c>
      <c r="E14" s="360">
        <f t="shared" si="3"/>
        <v>25556910</v>
      </c>
      <c r="F14" s="360"/>
      <c r="G14" s="294">
        <f t="shared" si="0"/>
        <v>5111382</v>
      </c>
      <c r="H14" s="360">
        <f t="shared" si="4"/>
        <v>3221118.4000000004</v>
      </c>
      <c r="I14" s="360">
        <v>2000000</v>
      </c>
      <c r="J14" s="360">
        <f t="shared" si="6"/>
        <v>9901080</v>
      </c>
      <c r="K14" s="360">
        <f t="shared" si="5"/>
        <v>7196160.8000000007</v>
      </c>
      <c r="L14" s="360">
        <f t="shared" si="1"/>
        <v>15655830</v>
      </c>
      <c r="M14" s="412" t="s">
        <v>2468</v>
      </c>
    </row>
    <row r="15" spans="1:13" s="977" customFormat="1" ht="48" customHeight="1">
      <c r="A15" s="365">
        <v>42339</v>
      </c>
      <c r="B15" s="360">
        <v>11423</v>
      </c>
      <c r="C15" s="360">
        <v>3784179</v>
      </c>
      <c r="D15" s="360">
        <f t="shared" si="2"/>
        <v>83053</v>
      </c>
      <c r="E15" s="360">
        <f t="shared" si="3"/>
        <v>29341089</v>
      </c>
      <c r="F15" s="360"/>
      <c r="G15" s="294">
        <f t="shared" si="0"/>
        <v>5868217.8000000007</v>
      </c>
      <c r="H15" s="360">
        <f t="shared" si="4"/>
        <v>3348287.2</v>
      </c>
      <c r="I15" s="360">
        <f>1975042.4+2000000</f>
        <v>3975042.4</v>
      </c>
      <c r="J15" s="360">
        <f t="shared" si="6"/>
        <v>13876122.4</v>
      </c>
      <c r="K15" s="360">
        <f t="shared" si="5"/>
        <v>6569405.5999999996</v>
      </c>
      <c r="L15" s="360">
        <f t="shared" si="1"/>
        <v>15464966.6</v>
      </c>
      <c r="M15" s="412" t="s">
        <v>2469</v>
      </c>
    </row>
    <row r="16" spans="1:13" s="977" customFormat="1" ht="36" customHeight="1">
      <c r="A16" s="365">
        <v>42370</v>
      </c>
      <c r="B16" s="360">
        <v>6523</v>
      </c>
      <c r="C16" s="360">
        <v>2122709</v>
      </c>
      <c r="D16" s="360">
        <f t="shared" si="2"/>
        <v>89576</v>
      </c>
      <c r="E16" s="360">
        <f t="shared" si="3"/>
        <v>31463798</v>
      </c>
      <c r="F16" s="360"/>
      <c r="G16" s="294">
        <f t="shared" si="0"/>
        <v>6292759.6000000006</v>
      </c>
      <c r="H16" s="360">
        <f t="shared" si="4"/>
        <v>3027343.2</v>
      </c>
      <c r="I16" s="360">
        <f>4021118.4+2548287.2</f>
        <v>6569405.5999999996</v>
      </c>
      <c r="J16" s="360">
        <f t="shared" si="6"/>
        <v>20445528</v>
      </c>
      <c r="K16" s="360">
        <f t="shared" si="5"/>
        <v>3027343.2000000011</v>
      </c>
      <c r="L16" s="360">
        <f t="shared" si="1"/>
        <v>11018270</v>
      </c>
      <c r="M16" s="412"/>
    </row>
    <row r="17" spans="1:13" s="977" customFormat="1" ht="36" customHeight="1">
      <c r="A17" s="365">
        <v>42401</v>
      </c>
      <c r="B17" s="360">
        <v>28</v>
      </c>
      <c r="C17" s="360">
        <v>8684</v>
      </c>
      <c r="D17" s="360">
        <f t="shared" si="2"/>
        <v>89604</v>
      </c>
      <c r="E17" s="360">
        <f t="shared" si="3"/>
        <v>31472482</v>
      </c>
      <c r="F17" s="360"/>
      <c r="G17" s="294">
        <f t="shared" si="0"/>
        <v>6294496.4000000004</v>
      </c>
      <c r="H17" s="360">
        <f t="shared" si="4"/>
        <v>1698167.2000000002</v>
      </c>
      <c r="I17" s="360"/>
      <c r="J17" s="360">
        <f t="shared" si="6"/>
        <v>20445528</v>
      </c>
      <c r="K17" s="360">
        <f t="shared" si="5"/>
        <v>4725510.4000000013</v>
      </c>
      <c r="L17" s="360">
        <f t="shared" si="1"/>
        <v>11026954</v>
      </c>
      <c r="M17" s="412" t="s">
        <v>2470</v>
      </c>
    </row>
    <row r="18" spans="1:13" s="977" customFormat="1" ht="66" customHeight="1">
      <c r="A18" s="365">
        <v>42430</v>
      </c>
      <c r="B18" s="360">
        <v>5897</v>
      </c>
      <c r="C18" s="360">
        <v>1662271</v>
      </c>
      <c r="D18" s="360">
        <f t="shared" si="2"/>
        <v>95501</v>
      </c>
      <c r="E18" s="360">
        <f t="shared" si="3"/>
        <v>33134753</v>
      </c>
      <c r="F18" s="360"/>
      <c r="G18" s="294">
        <f t="shared" si="0"/>
        <v>6626950.6000000006</v>
      </c>
      <c r="H18" s="360">
        <f t="shared" si="4"/>
        <v>6947.2000000000007</v>
      </c>
      <c r="I18" s="360">
        <v>1000000</v>
      </c>
      <c r="J18" s="360">
        <f t="shared" si="6"/>
        <v>21445528</v>
      </c>
      <c r="K18" s="360">
        <f t="shared" si="5"/>
        <v>3732457.6000000015</v>
      </c>
      <c r="L18" s="360">
        <f t="shared" si="1"/>
        <v>11689225</v>
      </c>
      <c r="M18" s="412" t="s">
        <v>2471</v>
      </c>
    </row>
    <row r="19" spans="1:13" s="977" customFormat="1" ht="36" customHeight="1">
      <c r="A19" s="365">
        <v>42461</v>
      </c>
      <c r="B19" s="360">
        <v>5243</v>
      </c>
      <c r="C19" s="360">
        <v>1463949</v>
      </c>
      <c r="D19" s="360">
        <f t="shared" si="2"/>
        <v>100744</v>
      </c>
      <c r="E19" s="360">
        <f t="shared" si="3"/>
        <v>34598702</v>
      </c>
      <c r="F19" s="360"/>
      <c r="G19" s="294">
        <f t="shared" si="0"/>
        <v>6919740.4000000004</v>
      </c>
      <c r="H19" s="360">
        <f t="shared" si="4"/>
        <v>1329816.8</v>
      </c>
      <c r="I19" s="360">
        <v>3500000</v>
      </c>
      <c r="J19" s="360">
        <f t="shared" si="6"/>
        <v>24945528</v>
      </c>
      <c r="K19" s="360">
        <f t="shared" si="5"/>
        <v>1562274.4000000013</v>
      </c>
      <c r="L19" s="360">
        <f t="shared" si="1"/>
        <v>9653174</v>
      </c>
      <c r="M19" s="412" t="s">
        <v>2472</v>
      </c>
    </row>
    <row r="20" spans="1:13" s="977" customFormat="1" ht="36" customHeight="1">
      <c r="A20" s="365">
        <v>42491</v>
      </c>
      <c r="B20" s="360">
        <v>2925</v>
      </c>
      <c r="C20" s="360">
        <v>832975</v>
      </c>
      <c r="D20" s="360">
        <f t="shared" si="2"/>
        <v>103669</v>
      </c>
      <c r="E20" s="360">
        <f t="shared" si="3"/>
        <v>35431677</v>
      </c>
      <c r="F20" s="360"/>
      <c r="G20" s="294">
        <f>E19*0.2-E19*0.1/3</f>
        <v>5766450.333333334</v>
      </c>
      <c r="H20" s="360">
        <f t="shared" si="4"/>
        <v>1171159.2</v>
      </c>
      <c r="I20" s="360"/>
      <c r="J20" s="360">
        <f t="shared" si="6"/>
        <v>24945528</v>
      </c>
      <c r="K20" s="360">
        <f t="shared" si="5"/>
        <v>2733433.6000000015</v>
      </c>
      <c r="L20" s="360">
        <f t="shared" si="1"/>
        <v>10486149</v>
      </c>
      <c r="M20" s="412" t="s">
        <v>2473</v>
      </c>
    </row>
    <row r="21" spans="1:13" s="977" customFormat="1" ht="36" customHeight="1">
      <c r="A21" s="365">
        <v>42522</v>
      </c>
      <c r="B21" s="360">
        <v>1853</v>
      </c>
      <c r="C21" s="360">
        <v>539039</v>
      </c>
      <c r="D21" s="360">
        <f t="shared" si="2"/>
        <v>105522</v>
      </c>
      <c r="E21" s="360">
        <f t="shared" si="3"/>
        <v>35970716</v>
      </c>
      <c r="F21" s="360"/>
      <c r="G21" s="294">
        <f>E19*0.2-E19*0.1*2/3</f>
        <v>4613160.2666666675</v>
      </c>
      <c r="H21" s="360">
        <f>C20+E19*0.1/3</f>
        <v>1986265.0666666667</v>
      </c>
      <c r="I21" s="360"/>
      <c r="J21" s="360">
        <f t="shared" si="6"/>
        <v>24945528</v>
      </c>
      <c r="K21" s="360">
        <f t="shared" si="5"/>
        <v>4719698.6666666679</v>
      </c>
      <c r="L21" s="360">
        <f t="shared" si="1"/>
        <v>11025188</v>
      </c>
      <c r="M21" s="1027" t="s">
        <v>2474</v>
      </c>
    </row>
    <row r="22" spans="1:13" s="977" customFormat="1" ht="36" customHeight="1">
      <c r="A22" s="365">
        <v>42552</v>
      </c>
      <c r="B22" s="360">
        <v>724</v>
      </c>
      <c r="C22" s="360">
        <v>212952</v>
      </c>
      <c r="D22" s="360">
        <f t="shared" si="2"/>
        <v>106246</v>
      </c>
      <c r="E22" s="360">
        <f t="shared" si="3"/>
        <v>36183668</v>
      </c>
      <c r="F22" s="360"/>
      <c r="G22" s="294">
        <f>E19*0.1</f>
        <v>3459870.2</v>
      </c>
      <c r="H22" s="360">
        <f>C21+E19*0.1/3</f>
        <v>1692329.0666666667</v>
      </c>
      <c r="I22" s="360">
        <v>1562274.4</v>
      </c>
      <c r="J22" s="360">
        <f t="shared" si="6"/>
        <v>26507802.399999999</v>
      </c>
      <c r="K22" s="360">
        <f t="shared" si="5"/>
        <v>4849753.333333334</v>
      </c>
      <c r="L22" s="360">
        <f t="shared" si="1"/>
        <v>9675865.6000000015</v>
      </c>
      <c r="M22" s="412" t="s">
        <v>2475</v>
      </c>
    </row>
    <row r="23" spans="1:13" s="977" customFormat="1" ht="54.95" customHeight="1">
      <c r="A23" s="365">
        <v>42583</v>
      </c>
      <c r="B23" s="360">
        <v>121</v>
      </c>
      <c r="C23" s="360">
        <v>35718</v>
      </c>
      <c r="D23" s="360">
        <f t="shared" si="2"/>
        <v>106367</v>
      </c>
      <c r="E23" s="360">
        <f t="shared" si="3"/>
        <v>36219386</v>
      </c>
      <c r="F23" s="360"/>
      <c r="G23" s="294"/>
      <c r="H23" s="360">
        <f>C22+E19*0.1/3</f>
        <v>1366242.0666666667</v>
      </c>
      <c r="I23" s="360">
        <v>1171159.2</v>
      </c>
      <c r="J23" s="360">
        <f t="shared" si="6"/>
        <v>27678961.599999998</v>
      </c>
      <c r="K23" s="360">
        <f t="shared" si="5"/>
        <v>5044836.2</v>
      </c>
      <c r="L23" s="360">
        <f t="shared" si="1"/>
        <v>8540424.4000000022</v>
      </c>
      <c r="M23" s="412" t="s">
        <v>2476</v>
      </c>
    </row>
    <row r="24" spans="1:13" s="977" customFormat="1" ht="53.1" customHeight="1">
      <c r="A24" s="365">
        <v>42614</v>
      </c>
      <c r="B24" s="360">
        <v>36</v>
      </c>
      <c r="C24" s="360">
        <v>10958</v>
      </c>
      <c r="D24" s="360">
        <f t="shared" si="2"/>
        <v>106403</v>
      </c>
      <c r="E24" s="360">
        <f t="shared" si="3"/>
        <v>36230344</v>
      </c>
      <c r="F24" s="360"/>
      <c r="G24" s="294"/>
      <c r="H24" s="360">
        <f t="shared" ref="H24:H30" si="7">C23+G22</f>
        <v>3495588.2</v>
      </c>
      <c r="I24" s="360">
        <v>666380</v>
      </c>
      <c r="J24" s="360">
        <f t="shared" si="6"/>
        <v>28345341.599999998</v>
      </c>
      <c r="K24" s="360">
        <f t="shared" si="5"/>
        <v>7874044.4000000004</v>
      </c>
      <c r="L24" s="360">
        <f t="shared" si="1"/>
        <v>7885002.4000000022</v>
      </c>
      <c r="M24" s="412"/>
    </row>
    <row r="25" spans="1:13" s="977" customFormat="1" ht="36" customHeight="1">
      <c r="A25" s="365">
        <v>42644</v>
      </c>
      <c r="B25" s="360">
        <v>229</v>
      </c>
      <c r="C25" s="360">
        <v>67322</v>
      </c>
      <c r="D25" s="360">
        <f t="shared" si="2"/>
        <v>106632</v>
      </c>
      <c r="E25" s="360">
        <f t="shared" si="3"/>
        <v>36297666</v>
      </c>
      <c r="F25" s="360"/>
      <c r="G25" s="294"/>
      <c r="H25" s="360">
        <f t="shared" si="7"/>
        <v>10958</v>
      </c>
      <c r="I25" s="360">
        <v>1700000</v>
      </c>
      <c r="J25" s="360">
        <f t="shared" si="6"/>
        <v>30045341.599999998</v>
      </c>
      <c r="K25" s="360">
        <f t="shared" si="5"/>
        <v>6185002.4000000004</v>
      </c>
      <c r="L25" s="360">
        <f t="shared" si="1"/>
        <v>6252324.4000000022</v>
      </c>
      <c r="M25" s="412" t="s">
        <v>2477</v>
      </c>
    </row>
    <row r="26" spans="1:13" s="977" customFormat="1" ht="36" customHeight="1">
      <c r="A26" s="365">
        <v>42675</v>
      </c>
      <c r="B26" s="360">
        <v>134</v>
      </c>
      <c r="C26" s="360">
        <v>40322</v>
      </c>
      <c r="D26" s="360">
        <f t="shared" si="2"/>
        <v>106766</v>
      </c>
      <c r="E26" s="360">
        <f t="shared" si="3"/>
        <v>36337988</v>
      </c>
      <c r="F26" s="360"/>
      <c r="G26" s="294"/>
      <c r="H26" s="360">
        <f t="shared" si="7"/>
        <v>67322</v>
      </c>
      <c r="I26" s="360">
        <v>1343167.7</v>
      </c>
      <c r="J26" s="360">
        <f t="shared" si="6"/>
        <v>31388509.299999997</v>
      </c>
      <c r="K26" s="360">
        <f t="shared" si="5"/>
        <v>4909156.7</v>
      </c>
      <c r="L26" s="360">
        <f t="shared" si="1"/>
        <v>4949478.700000003</v>
      </c>
      <c r="M26" s="412" t="s">
        <v>2478</v>
      </c>
    </row>
    <row r="27" spans="1:13" s="977" customFormat="1" ht="36" customHeight="1">
      <c r="A27" s="365">
        <v>42705</v>
      </c>
      <c r="B27" s="360">
        <v>47</v>
      </c>
      <c r="C27" s="360">
        <v>15046</v>
      </c>
      <c r="D27" s="360">
        <f t="shared" si="2"/>
        <v>106813</v>
      </c>
      <c r="E27" s="360">
        <f t="shared" si="3"/>
        <v>36353034</v>
      </c>
      <c r="F27" s="360"/>
      <c r="G27" s="294"/>
      <c r="H27" s="360">
        <f t="shared" si="7"/>
        <v>40322</v>
      </c>
      <c r="I27" s="360">
        <v>500000</v>
      </c>
      <c r="J27" s="360">
        <f t="shared" si="6"/>
        <v>31888509.299999997</v>
      </c>
      <c r="K27" s="360">
        <f t="shared" si="5"/>
        <v>4449478.7</v>
      </c>
      <c r="L27" s="360">
        <f t="shared" si="1"/>
        <v>4464524.700000003</v>
      </c>
      <c r="M27" s="412" t="s">
        <v>2479</v>
      </c>
    </row>
    <row r="28" spans="1:13" s="977" customFormat="1" ht="36" customHeight="1">
      <c r="A28" s="365">
        <v>42736</v>
      </c>
      <c r="B28" s="360">
        <v>46</v>
      </c>
      <c r="C28" s="360">
        <v>15398</v>
      </c>
      <c r="D28" s="360">
        <f t="shared" si="2"/>
        <v>106859</v>
      </c>
      <c r="E28" s="360">
        <f t="shared" si="3"/>
        <v>36368432</v>
      </c>
      <c r="F28" s="360"/>
      <c r="G28" s="294"/>
      <c r="H28" s="360">
        <f t="shared" si="7"/>
        <v>15046</v>
      </c>
      <c r="I28" s="360">
        <v>865989</v>
      </c>
      <c r="J28" s="360">
        <f t="shared" si="6"/>
        <v>32754498.299999997</v>
      </c>
      <c r="K28" s="360">
        <f t="shared" si="5"/>
        <v>3598535.7</v>
      </c>
      <c r="L28" s="360">
        <f t="shared" si="1"/>
        <v>3613933.700000003</v>
      </c>
      <c r="M28" s="412"/>
    </row>
    <row r="29" spans="1:13" s="977" customFormat="1" ht="36" customHeight="1">
      <c r="A29" s="365">
        <v>42767</v>
      </c>
      <c r="B29" s="360">
        <v>27</v>
      </c>
      <c r="C29" s="360">
        <v>8586</v>
      </c>
      <c r="D29" s="360">
        <f t="shared" si="2"/>
        <v>106886</v>
      </c>
      <c r="E29" s="360">
        <f t="shared" si="3"/>
        <v>36377018</v>
      </c>
      <c r="F29" s="360"/>
      <c r="G29" s="294"/>
      <c r="H29" s="360">
        <f t="shared" si="7"/>
        <v>15398</v>
      </c>
      <c r="I29" s="360"/>
      <c r="J29" s="360">
        <f t="shared" si="6"/>
        <v>32754498.299999997</v>
      </c>
      <c r="K29" s="360">
        <f t="shared" si="5"/>
        <v>3613933.7</v>
      </c>
      <c r="L29" s="360">
        <f t="shared" si="1"/>
        <v>3622519.700000003</v>
      </c>
      <c r="M29" s="412"/>
    </row>
    <row r="30" spans="1:13" s="977" customFormat="1" ht="36" customHeight="1">
      <c r="A30" s="365">
        <v>42795</v>
      </c>
      <c r="B30" s="360">
        <v>0</v>
      </c>
      <c r="C30" s="360">
        <v>0</v>
      </c>
      <c r="D30" s="360">
        <f t="shared" si="2"/>
        <v>106886</v>
      </c>
      <c r="E30" s="360">
        <f t="shared" si="3"/>
        <v>36377018</v>
      </c>
      <c r="F30" s="360"/>
      <c r="G30" s="294"/>
      <c r="H30" s="360">
        <f t="shared" si="7"/>
        <v>8586</v>
      </c>
      <c r="I30" s="360"/>
      <c r="J30" s="360">
        <f t="shared" si="6"/>
        <v>32754498.299999997</v>
      </c>
      <c r="K30" s="360">
        <f t="shared" si="5"/>
        <v>3622519.7</v>
      </c>
      <c r="L30" s="360">
        <f t="shared" si="1"/>
        <v>3622519.700000003</v>
      </c>
      <c r="M30" s="412"/>
    </row>
    <row r="31" spans="1:13" s="977" customFormat="1" ht="36" customHeight="1">
      <c r="A31" s="365">
        <v>42826</v>
      </c>
      <c r="B31" s="360">
        <v>0</v>
      </c>
      <c r="C31" s="360">
        <v>0</v>
      </c>
      <c r="D31" s="360">
        <f t="shared" si="2"/>
        <v>106886</v>
      </c>
      <c r="E31" s="360">
        <f t="shared" si="3"/>
        <v>36377018</v>
      </c>
      <c r="F31" s="360"/>
      <c r="G31" s="294"/>
      <c r="H31" s="360">
        <f>C30</f>
        <v>0</v>
      </c>
      <c r="I31" s="360"/>
      <c r="J31" s="360">
        <f t="shared" si="6"/>
        <v>32754498.299999997</v>
      </c>
      <c r="K31" s="360">
        <f t="shared" si="5"/>
        <v>3622519.7</v>
      </c>
      <c r="L31" s="360">
        <f t="shared" si="1"/>
        <v>3622519.700000003</v>
      </c>
      <c r="M31" s="412"/>
    </row>
    <row r="32" spans="1:13" s="977" customFormat="1" ht="36" customHeight="1">
      <c r="A32" s="365">
        <v>42887</v>
      </c>
      <c r="B32" s="360">
        <v>0</v>
      </c>
      <c r="C32" s="360">
        <v>0</v>
      </c>
      <c r="D32" s="360">
        <f t="shared" si="2"/>
        <v>106886</v>
      </c>
      <c r="E32" s="360">
        <f t="shared" si="3"/>
        <v>36377018</v>
      </c>
      <c r="F32" s="360"/>
      <c r="G32" s="294"/>
      <c r="H32" s="360">
        <f>C31</f>
        <v>0</v>
      </c>
      <c r="I32" s="360">
        <v>622519.69999999995</v>
      </c>
      <c r="J32" s="360">
        <f t="shared" si="6"/>
        <v>33377017.999999996</v>
      </c>
      <c r="K32" s="360">
        <f t="shared" si="5"/>
        <v>3000000</v>
      </c>
      <c r="L32" s="360">
        <f t="shared" si="1"/>
        <v>3000000.0000000037</v>
      </c>
      <c r="M32" s="412" t="s">
        <v>2480</v>
      </c>
    </row>
    <row r="33" spans="1:13" s="977" customFormat="1" ht="36" customHeight="1">
      <c r="A33" s="365">
        <v>42917</v>
      </c>
      <c r="B33" s="360">
        <v>0</v>
      </c>
      <c r="C33" s="360">
        <v>0</v>
      </c>
      <c r="D33" s="360">
        <f t="shared" si="2"/>
        <v>106886</v>
      </c>
      <c r="E33" s="360">
        <f t="shared" si="3"/>
        <v>36377018</v>
      </c>
      <c r="F33" s="360"/>
      <c r="G33" s="294"/>
      <c r="H33" s="360">
        <f>C32</f>
        <v>0</v>
      </c>
      <c r="I33" s="360">
        <v>1000000</v>
      </c>
      <c r="J33" s="360">
        <f t="shared" si="6"/>
        <v>34377018</v>
      </c>
      <c r="K33" s="360">
        <f t="shared" si="5"/>
        <v>2000000</v>
      </c>
      <c r="L33" s="360">
        <f t="shared" si="1"/>
        <v>2000000</v>
      </c>
      <c r="M33" s="412"/>
    </row>
    <row r="34" spans="1:13" s="977" customFormat="1" ht="36" customHeight="1">
      <c r="A34" s="365"/>
      <c r="B34" s="360"/>
      <c r="C34" s="360"/>
      <c r="D34" s="360"/>
      <c r="E34" s="360"/>
      <c r="F34" s="360"/>
      <c r="G34" s="294"/>
      <c r="H34" s="360"/>
      <c r="I34" s="360"/>
      <c r="J34" s="360"/>
      <c r="K34" s="360">
        <f t="shared" si="5"/>
        <v>2000000</v>
      </c>
      <c r="L34" s="360"/>
      <c r="M34" s="412"/>
    </row>
    <row r="35" spans="1:13" s="977" customFormat="1" ht="36" customHeight="1">
      <c r="A35" s="365"/>
      <c r="B35" s="360"/>
      <c r="C35" s="360"/>
      <c r="D35" s="360"/>
      <c r="E35" s="360"/>
      <c r="F35" s="360"/>
      <c r="G35" s="294"/>
      <c r="H35" s="360"/>
      <c r="I35" s="360"/>
      <c r="J35" s="360"/>
      <c r="K35" s="360"/>
      <c r="L35" s="360"/>
      <c r="M35" s="412"/>
    </row>
    <row r="36" spans="1:13" s="977" customFormat="1" ht="36" customHeight="1">
      <c r="A36" s="1002"/>
      <c r="B36" s="360"/>
      <c r="C36" s="360"/>
      <c r="D36" s="360"/>
      <c r="E36" s="360"/>
      <c r="F36" s="360"/>
      <c r="G36" s="294"/>
      <c r="H36" s="360"/>
      <c r="I36" s="360"/>
      <c r="J36" s="360"/>
      <c r="K36" s="360"/>
      <c r="L36" s="360"/>
      <c r="M36" s="412"/>
    </row>
    <row r="37" spans="1:13" ht="36" customHeight="1"/>
  </sheetData>
  <mergeCells count="13">
    <mergeCell ref="I1:I2"/>
    <mergeCell ref="M1:M2"/>
    <mergeCell ref="J1:L2"/>
    <mergeCell ref="C1:D1"/>
    <mergeCell ref="F1:H1"/>
    <mergeCell ref="B2:C2"/>
    <mergeCell ref="E2:F2"/>
    <mergeCell ref="B3:C3"/>
    <mergeCell ref="B4:D4"/>
    <mergeCell ref="F4:H4"/>
    <mergeCell ref="I4:J4"/>
    <mergeCell ref="B5:E5"/>
    <mergeCell ref="F5:K5"/>
  </mergeCells>
  <phoneticPr fontId="84" type="noConversion"/>
  <pageMargins left="0.75" right="0.75" top="1" bottom="1" header="0.51" footer="0.51"/>
  <pageSetup paperSize="9" orientation="portrait" verticalDpi="200"/>
  <headerFooter scaleWithDoc="0" alignWithMargins="0"/>
  <legacy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8"/>
  <sheetViews>
    <sheetView topLeftCell="A25" zoomScaleSheetLayoutView="100" workbookViewId="0">
      <selection activeCell="M25" sqref="M25"/>
    </sheetView>
  </sheetViews>
  <sheetFormatPr defaultColWidth="9" defaultRowHeight="14.25"/>
  <cols>
    <col min="1" max="1" width="12.625" bestFit="1"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2.25" customWidth="1"/>
    <col min="11" max="11" width="13.75" customWidth="1"/>
    <col min="12" max="12" width="13.875" customWidth="1"/>
    <col min="13" max="13" width="42.625" customWidth="1"/>
  </cols>
  <sheetData>
    <row r="1" spans="1:13" ht="45" customHeight="1">
      <c r="A1" s="1008" t="s">
        <v>348</v>
      </c>
      <c r="B1" s="1009"/>
      <c r="C1" s="1822" t="s">
        <v>2481</v>
      </c>
      <c r="D1" s="1822"/>
      <c r="E1" s="1008" t="s">
        <v>236</v>
      </c>
      <c r="F1" s="1668"/>
      <c r="G1" s="1811"/>
      <c r="H1" s="1811"/>
      <c r="I1" s="1638" t="s">
        <v>237</v>
      </c>
      <c r="J1" s="1664" t="s">
        <v>2482</v>
      </c>
      <c r="K1" s="1664"/>
      <c r="L1" s="1664"/>
      <c r="M1" s="2002" t="s">
        <v>2483</v>
      </c>
    </row>
    <row r="2" spans="1:13" ht="80.099999999999994" customHeight="1">
      <c r="A2" s="41" t="s">
        <v>240</v>
      </c>
      <c r="B2" s="1637" t="s">
        <v>2484</v>
      </c>
      <c r="C2" s="1637"/>
      <c r="D2" s="41" t="s">
        <v>242</v>
      </c>
      <c r="E2" s="1638" t="s">
        <v>2485</v>
      </c>
      <c r="F2" s="1638"/>
      <c r="G2" s="41" t="s">
        <v>243</v>
      </c>
      <c r="H2" s="90" t="s">
        <v>2486</v>
      </c>
      <c r="I2" s="1638"/>
      <c r="J2" s="1664"/>
      <c r="K2" s="1664"/>
      <c r="L2" s="1664"/>
      <c r="M2" s="2002"/>
    </row>
    <row r="3" spans="1:13" ht="45.95" customHeight="1">
      <c r="A3" s="41" t="s">
        <v>247</v>
      </c>
      <c r="B3" s="1637" t="s">
        <v>2487</v>
      </c>
      <c r="C3" s="1637"/>
      <c r="D3" s="41" t="s">
        <v>249</v>
      </c>
      <c r="E3" s="186">
        <v>60000</v>
      </c>
      <c r="F3" s="41" t="s">
        <v>251</v>
      </c>
      <c r="G3" s="41" t="s">
        <v>2488</v>
      </c>
      <c r="H3" s="41" t="s">
        <v>252</v>
      </c>
      <c r="I3" s="90">
        <v>13928895260</v>
      </c>
      <c r="J3" s="91" t="s">
        <v>253</v>
      </c>
      <c r="K3" s="40"/>
      <c r="L3" s="15" t="s">
        <v>255</v>
      </c>
      <c r="M3" s="271" t="s">
        <v>2489</v>
      </c>
    </row>
    <row r="4" spans="1:13" ht="55.5" customHeight="1">
      <c r="A4" s="41" t="s">
        <v>257</v>
      </c>
      <c r="B4" s="1637"/>
      <c r="C4" s="1637"/>
      <c r="D4" s="1637"/>
      <c r="E4" s="43" t="s">
        <v>258</v>
      </c>
      <c r="F4" s="1638"/>
      <c r="G4" s="1638"/>
      <c r="H4" s="1638"/>
      <c r="I4" s="1637"/>
      <c r="J4" s="1637"/>
      <c r="K4" s="15"/>
      <c r="L4" s="41" t="s">
        <v>245</v>
      </c>
      <c r="M4" s="41" t="s">
        <v>2490</v>
      </c>
    </row>
    <row r="5" spans="1:13" ht="75" customHeight="1">
      <c r="A5" s="41" t="s">
        <v>260</v>
      </c>
      <c r="B5" s="1747" t="s">
        <v>2491</v>
      </c>
      <c r="C5" s="1747"/>
      <c r="D5" s="1747"/>
      <c r="E5" s="1747"/>
      <c r="F5" s="1647" t="s">
        <v>2492</v>
      </c>
      <c r="G5" s="1647"/>
      <c r="H5" s="1647"/>
      <c r="I5" s="1647"/>
      <c r="J5" s="1647"/>
      <c r="K5" s="1647"/>
      <c r="L5" s="150"/>
      <c r="M5" s="150"/>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365">
        <v>42156</v>
      </c>
      <c r="B7" s="360">
        <v>14975</v>
      </c>
      <c r="C7" s="360">
        <v>5139657.5</v>
      </c>
      <c r="D7" s="360">
        <f>B7</f>
        <v>14975</v>
      </c>
      <c r="E7" s="360">
        <f>C7</f>
        <v>5139657.5</v>
      </c>
      <c r="F7" s="360"/>
      <c r="G7" s="360">
        <f>E7*0.2</f>
        <v>1027931.5</v>
      </c>
      <c r="H7" s="360"/>
      <c r="I7" s="360"/>
      <c r="J7" s="360"/>
      <c r="K7" s="360"/>
      <c r="L7" s="360">
        <f t="shared" ref="L7:L25" si="0">E7-J7</f>
        <v>5139657.5</v>
      </c>
      <c r="M7" s="360"/>
    </row>
    <row r="8" spans="1:13" s="977" customFormat="1" ht="36" customHeight="1">
      <c r="A8" s="365">
        <v>42186</v>
      </c>
      <c r="B8" s="360">
        <v>13237</v>
      </c>
      <c r="C8" s="360">
        <v>4348390</v>
      </c>
      <c r="D8" s="360">
        <f t="shared" ref="D8:D25" si="1">D7+B8</f>
        <v>28212</v>
      </c>
      <c r="E8" s="360">
        <f t="shared" ref="E8:E25" si="2">E7+C8</f>
        <v>9488047.5</v>
      </c>
      <c r="F8" s="360"/>
      <c r="G8" s="360">
        <f t="shared" ref="G8:G15" si="3">E8*0.2</f>
        <v>1897609.5</v>
      </c>
      <c r="H8" s="360">
        <f>C7*0.8</f>
        <v>4111726</v>
      </c>
      <c r="I8" s="360"/>
      <c r="J8" s="360"/>
      <c r="K8" s="360">
        <f t="shared" ref="K8:K26" si="4">K7+H8-I8</f>
        <v>4111726</v>
      </c>
      <c r="L8" s="360">
        <f t="shared" si="0"/>
        <v>9488047.5</v>
      </c>
      <c r="M8" s="360"/>
    </row>
    <row r="9" spans="1:13" s="977" customFormat="1" ht="36" customHeight="1">
      <c r="A9" s="365">
        <v>42217</v>
      </c>
      <c r="B9" s="360">
        <v>8462.5</v>
      </c>
      <c r="C9" s="360">
        <v>2931330</v>
      </c>
      <c r="D9" s="360">
        <f t="shared" si="1"/>
        <v>36674.5</v>
      </c>
      <c r="E9" s="360">
        <f t="shared" si="2"/>
        <v>12419377.5</v>
      </c>
      <c r="F9" s="360"/>
      <c r="G9" s="360">
        <f t="shared" si="3"/>
        <v>2483875.5</v>
      </c>
      <c r="H9" s="360">
        <f t="shared" ref="H9:H19" si="5">C8*0.8</f>
        <v>3478712</v>
      </c>
      <c r="I9" s="360">
        <f>2000000</f>
        <v>2000000</v>
      </c>
      <c r="J9" s="360">
        <f t="shared" ref="J9:J25" si="6">J8+I9</f>
        <v>2000000</v>
      </c>
      <c r="K9" s="360">
        <f t="shared" si="4"/>
        <v>5590438</v>
      </c>
      <c r="L9" s="360">
        <f t="shared" si="0"/>
        <v>10419377.5</v>
      </c>
      <c r="M9" s="360" t="s">
        <v>2493</v>
      </c>
    </row>
    <row r="10" spans="1:13" s="977" customFormat="1" ht="36" customHeight="1">
      <c r="A10" s="365">
        <v>42248</v>
      </c>
      <c r="B10" s="360">
        <v>7463.5</v>
      </c>
      <c r="C10" s="360">
        <v>2489860</v>
      </c>
      <c r="D10" s="360">
        <f t="shared" si="1"/>
        <v>44138</v>
      </c>
      <c r="E10" s="360">
        <f t="shared" si="2"/>
        <v>14909237.5</v>
      </c>
      <c r="F10" s="360"/>
      <c r="G10" s="360">
        <f t="shared" si="3"/>
        <v>2981847.5</v>
      </c>
      <c r="H10" s="360">
        <f t="shared" si="5"/>
        <v>2345064</v>
      </c>
      <c r="I10" s="423">
        <v>1000000</v>
      </c>
      <c r="J10" s="360">
        <f t="shared" si="6"/>
        <v>3000000</v>
      </c>
      <c r="K10" s="360">
        <f t="shared" si="4"/>
        <v>6935502</v>
      </c>
      <c r="L10" s="360">
        <f t="shared" si="0"/>
        <v>11909237.5</v>
      </c>
      <c r="M10" s="360" t="s">
        <v>1116</v>
      </c>
    </row>
    <row r="11" spans="1:13" s="977" customFormat="1" ht="36" customHeight="1">
      <c r="A11" s="365">
        <v>42278</v>
      </c>
      <c r="B11" s="360">
        <v>5935</v>
      </c>
      <c r="C11" s="360">
        <v>1867625</v>
      </c>
      <c r="D11" s="360">
        <f t="shared" si="1"/>
        <v>50073</v>
      </c>
      <c r="E11" s="360">
        <f t="shared" si="2"/>
        <v>16776862.5</v>
      </c>
      <c r="F11" s="360"/>
      <c r="G11" s="360">
        <f t="shared" si="3"/>
        <v>3355372.5</v>
      </c>
      <c r="H11" s="360">
        <f t="shared" si="5"/>
        <v>1991888</v>
      </c>
      <c r="I11" s="360">
        <v>5000000</v>
      </c>
      <c r="J11" s="360">
        <f t="shared" si="6"/>
        <v>8000000</v>
      </c>
      <c r="K11" s="360">
        <f t="shared" si="4"/>
        <v>3927390</v>
      </c>
      <c r="L11" s="360">
        <f t="shared" si="0"/>
        <v>8776862.5</v>
      </c>
      <c r="M11" s="360" t="s">
        <v>2494</v>
      </c>
    </row>
    <row r="12" spans="1:13" s="977" customFormat="1" ht="36" customHeight="1">
      <c r="A12" s="365">
        <v>42309</v>
      </c>
      <c r="B12" s="360">
        <v>7983.5</v>
      </c>
      <c r="C12" s="360">
        <v>2397455</v>
      </c>
      <c r="D12" s="360">
        <f t="shared" si="1"/>
        <v>58056.5</v>
      </c>
      <c r="E12" s="360">
        <f t="shared" si="2"/>
        <v>19174317.5</v>
      </c>
      <c r="F12" s="360"/>
      <c r="G12" s="360">
        <f t="shared" si="3"/>
        <v>3834863.5</v>
      </c>
      <c r="H12" s="360">
        <f t="shared" si="5"/>
        <v>1494100</v>
      </c>
      <c r="I12" s="360"/>
      <c r="J12" s="360">
        <f t="shared" si="6"/>
        <v>8000000</v>
      </c>
      <c r="K12" s="360">
        <f t="shared" si="4"/>
        <v>5421490</v>
      </c>
      <c r="L12" s="360">
        <f t="shared" si="0"/>
        <v>11174317.5</v>
      </c>
      <c r="M12" s="360"/>
    </row>
    <row r="13" spans="1:13" s="977" customFormat="1" ht="36" customHeight="1">
      <c r="A13" s="365">
        <v>42339</v>
      </c>
      <c r="B13" s="360">
        <v>3264</v>
      </c>
      <c r="C13" s="360">
        <v>981755</v>
      </c>
      <c r="D13" s="360">
        <f t="shared" si="1"/>
        <v>61320.5</v>
      </c>
      <c r="E13" s="360">
        <f t="shared" si="2"/>
        <v>20156072.5</v>
      </c>
      <c r="F13" s="360"/>
      <c r="G13" s="360">
        <f t="shared" si="3"/>
        <v>4031214.5</v>
      </c>
      <c r="H13" s="360">
        <f t="shared" si="5"/>
        <v>1917964</v>
      </c>
      <c r="I13" s="360"/>
      <c r="J13" s="360">
        <f t="shared" si="6"/>
        <v>8000000</v>
      </c>
      <c r="K13" s="360">
        <f t="shared" si="4"/>
        <v>7339454</v>
      </c>
      <c r="L13" s="360">
        <f t="shared" si="0"/>
        <v>12156072.5</v>
      </c>
      <c r="M13" s="360"/>
    </row>
    <row r="14" spans="1:13" s="977" customFormat="1" ht="36" customHeight="1">
      <c r="A14" s="365">
        <v>42370</v>
      </c>
      <c r="B14" s="360">
        <v>307.5</v>
      </c>
      <c r="C14" s="360">
        <v>92642.5</v>
      </c>
      <c r="D14" s="360">
        <f t="shared" si="1"/>
        <v>61628</v>
      </c>
      <c r="E14" s="360">
        <f t="shared" si="2"/>
        <v>20248715</v>
      </c>
      <c r="F14" s="360"/>
      <c r="G14" s="360">
        <f t="shared" si="3"/>
        <v>4049743</v>
      </c>
      <c r="H14" s="406">
        <f t="shared" si="5"/>
        <v>785404</v>
      </c>
      <c r="I14" s="360">
        <v>4000000</v>
      </c>
      <c r="J14" s="360">
        <f t="shared" si="6"/>
        <v>12000000</v>
      </c>
      <c r="K14" s="360">
        <f t="shared" si="4"/>
        <v>4124858</v>
      </c>
      <c r="L14" s="360">
        <f t="shared" si="0"/>
        <v>8248715</v>
      </c>
      <c r="M14" s="421" t="s">
        <v>2495</v>
      </c>
    </row>
    <row r="15" spans="1:13" s="977" customFormat="1" ht="36" customHeight="1">
      <c r="A15" s="365">
        <v>42401</v>
      </c>
      <c r="B15" s="360">
        <v>46</v>
      </c>
      <c r="C15" s="360">
        <v>13220</v>
      </c>
      <c r="D15" s="360">
        <f t="shared" si="1"/>
        <v>61674</v>
      </c>
      <c r="E15" s="360">
        <f t="shared" si="2"/>
        <v>20261935</v>
      </c>
      <c r="F15" s="360"/>
      <c r="G15" s="360">
        <f t="shared" si="3"/>
        <v>4052387</v>
      </c>
      <c r="H15" s="360">
        <f t="shared" si="5"/>
        <v>74114</v>
      </c>
      <c r="I15" s="360">
        <v>3000000</v>
      </c>
      <c r="J15" s="360">
        <f t="shared" si="6"/>
        <v>15000000</v>
      </c>
      <c r="K15" s="360">
        <f t="shared" si="4"/>
        <v>1198972</v>
      </c>
      <c r="L15" s="360">
        <f t="shared" si="0"/>
        <v>5261935</v>
      </c>
      <c r="M15" s="360" t="s">
        <v>2496</v>
      </c>
    </row>
    <row r="16" spans="1:13" s="977" customFormat="1" ht="36" customHeight="1">
      <c r="A16" s="365">
        <v>42430</v>
      </c>
      <c r="B16" s="360">
        <v>307.5</v>
      </c>
      <c r="C16" s="360">
        <v>91597.5</v>
      </c>
      <c r="D16" s="360">
        <f t="shared" si="1"/>
        <v>61981.5</v>
      </c>
      <c r="E16" s="360">
        <f t="shared" si="2"/>
        <v>20353532.5</v>
      </c>
      <c r="F16" s="360"/>
      <c r="G16" s="360">
        <f t="shared" ref="G16:G23" si="7">E16*0.2</f>
        <v>4070706.5</v>
      </c>
      <c r="H16" s="360">
        <f t="shared" si="5"/>
        <v>10576</v>
      </c>
      <c r="I16" s="360"/>
      <c r="J16" s="360">
        <f t="shared" si="6"/>
        <v>15000000</v>
      </c>
      <c r="K16" s="360">
        <f t="shared" si="4"/>
        <v>1209548</v>
      </c>
      <c r="L16" s="360">
        <f t="shared" si="0"/>
        <v>5353532.5</v>
      </c>
      <c r="M16" s="360"/>
    </row>
    <row r="17" spans="1:13" s="977" customFormat="1" ht="36" customHeight="1">
      <c r="A17" s="365">
        <v>42461</v>
      </c>
      <c r="B17" s="360">
        <v>719.5</v>
      </c>
      <c r="C17" s="360">
        <v>223505</v>
      </c>
      <c r="D17" s="360">
        <f t="shared" si="1"/>
        <v>62701</v>
      </c>
      <c r="E17" s="360">
        <f t="shared" si="2"/>
        <v>20577037.5</v>
      </c>
      <c r="F17" s="360"/>
      <c r="G17" s="360">
        <f t="shared" si="7"/>
        <v>4115407.5</v>
      </c>
      <c r="H17" s="360">
        <f t="shared" si="5"/>
        <v>73278</v>
      </c>
      <c r="I17" s="360"/>
      <c r="J17" s="360">
        <f t="shared" si="6"/>
        <v>15000000</v>
      </c>
      <c r="K17" s="360">
        <f t="shared" si="4"/>
        <v>1282826</v>
      </c>
      <c r="L17" s="360">
        <f t="shared" si="0"/>
        <v>5577037.5</v>
      </c>
      <c r="M17" s="360"/>
    </row>
    <row r="18" spans="1:13" s="977" customFormat="1" ht="36" customHeight="1">
      <c r="A18" s="365">
        <v>42491</v>
      </c>
      <c r="B18" s="360">
        <v>2638</v>
      </c>
      <c r="C18" s="360">
        <v>800075</v>
      </c>
      <c r="D18" s="360">
        <f t="shared" si="1"/>
        <v>65339</v>
      </c>
      <c r="E18" s="360">
        <f t="shared" si="2"/>
        <v>21377112.5</v>
      </c>
      <c r="F18" s="360"/>
      <c r="G18" s="360">
        <f t="shared" si="7"/>
        <v>4275422.5</v>
      </c>
      <c r="H18" s="360">
        <f t="shared" si="5"/>
        <v>178804</v>
      </c>
      <c r="I18" s="360"/>
      <c r="J18" s="360">
        <f t="shared" si="6"/>
        <v>15000000</v>
      </c>
      <c r="K18" s="360">
        <f t="shared" si="4"/>
        <v>1461630</v>
      </c>
      <c r="L18" s="360">
        <f t="shared" si="0"/>
        <v>6377112.5</v>
      </c>
      <c r="M18" s="360"/>
    </row>
    <row r="19" spans="1:13" s="977" customFormat="1" ht="36" customHeight="1">
      <c r="A19" s="365">
        <v>42522</v>
      </c>
      <c r="B19" s="360">
        <v>1214</v>
      </c>
      <c r="C19" s="360">
        <v>379665</v>
      </c>
      <c r="D19" s="360">
        <f t="shared" si="1"/>
        <v>66553</v>
      </c>
      <c r="E19" s="360">
        <f t="shared" si="2"/>
        <v>21756777.5</v>
      </c>
      <c r="F19" s="360"/>
      <c r="G19" s="360">
        <f t="shared" si="7"/>
        <v>4351355.5</v>
      </c>
      <c r="H19" s="360">
        <f t="shared" si="5"/>
        <v>640060</v>
      </c>
      <c r="I19" s="360"/>
      <c r="J19" s="360">
        <f t="shared" si="6"/>
        <v>15000000</v>
      </c>
      <c r="K19" s="360">
        <f t="shared" si="4"/>
        <v>2101690</v>
      </c>
      <c r="L19" s="360">
        <f t="shared" si="0"/>
        <v>6756777.5</v>
      </c>
      <c r="M19" s="360" t="s">
        <v>2497</v>
      </c>
    </row>
    <row r="20" spans="1:13" s="977" customFormat="1" ht="36" customHeight="1">
      <c r="A20" s="365">
        <v>42552</v>
      </c>
      <c r="B20" s="360">
        <v>582</v>
      </c>
      <c r="C20" s="360">
        <v>181545</v>
      </c>
      <c r="D20" s="360">
        <f t="shared" si="1"/>
        <v>67135</v>
      </c>
      <c r="E20" s="360">
        <f t="shared" si="2"/>
        <v>21938322.5</v>
      </c>
      <c r="F20" s="360"/>
      <c r="G20" s="360">
        <f t="shared" si="7"/>
        <v>4387664.5</v>
      </c>
      <c r="H20" s="360">
        <f t="shared" ref="H20:H25" si="8">C19*0.8</f>
        <v>303732</v>
      </c>
      <c r="I20" s="360">
        <v>1200000</v>
      </c>
      <c r="J20" s="360">
        <f t="shared" si="6"/>
        <v>16200000</v>
      </c>
      <c r="K20" s="360">
        <f t="shared" si="4"/>
        <v>1205422</v>
      </c>
      <c r="L20" s="360">
        <f t="shared" si="0"/>
        <v>5738322.5</v>
      </c>
      <c r="M20" s="360" t="s">
        <v>2498</v>
      </c>
    </row>
    <row r="21" spans="1:13" s="977" customFormat="1" ht="36" customHeight="1">
      <c r="A21" s="365">
        <v>42583</v>
      </c>
      <c r="B21" s="360">
        <v>68</v>
      </c>
      <c r="C21" s="360">
        <v>20250</v>
      </c>
      <c r="D21" s="360">
        <f t="shared" si="1"/>
        <v>67203</v>
      </c>
      <c r="E21" s="360">
        <f t="shared" si="2"/>
        <v>21958572.5</v>
      </c>
      <c r="F21" s="360"/>
      <c r="G21" s="360">
        <f t="shared" si="7"/>
        <v>4391714.5</v>
      </c>
      <c r="H21" s="360">
        <f t="shared" si="8"/>
        <v>145236</v>
      </c>
      <c r="I21" s="360"/>
      <c r="J21" s="360">
        <f t="shared" si="6"/>
        <v>16200000</v>
      </c>
      <c r="K21" s="360">
        <f t="shared" si="4"/>
        <v>1350658</v>
      </c>
      <c r="L21" s="360">
        <f t="shared" si="0"/>
        <v>5758572.5</v>
      </c>
      <c r="M21" s="412" t="s">
        <v>2499</v>
      </c>
    </row>
    <row r="22" spans="1:13" s="977" customFormat="1" ht="36" customHeight="1">
      <c r="A22" s="365">
        <v>42614</v>
      </c>
      <c r="B22" s="360">
        <v>288</v>
      </c>
      <c r="C22" s="360">
        <v>87780</v>
      </c>
      <c r="D22" s="360">
        <f t="shared" si="1"/>
        <v>67491</v>
      </c>
      <c r="E22" s="360">
        <f t="shared" si="2"/>
        <v>22046352.5</v>
      </c>
      <c r="F22" s="360"/>
      <c r="G22" s="360">
        <f t="shared" si="7"/>
        <v>4409270.5</v>
      </c>
      <c r="H22" s="360">
        <f t="shared" si="8"/>
        <v>16200</v>
      </c>
      <c r="I22" s="360"/>
      <c r="J22" s="360">
        <f t="shared" si="6"/>
        <v>16200000</v>
      </c>
      <c r="K22" s="360">
        <f t="shared" si="4"/>
        <v>1366858</v>
      </c>
      <c r="L22" s="360">
        <f t="shared" si="0"/>
        <v>5846352.5</v>
      </c>
      <c r="M22" s="360"/>
    </row>
    <row r="23" spans="1:13" s="977" customFormat="1" ht="36" customHeight="1">
      <c r="A23" s="365">
        <v>42644</v>
      </c>
      <c r="B23" s="360">
        <v>156</v>
      </c>
      <c r="C23" s="360">
        <v>46910</v>
      </c>
      <c r="D23" s="360">
        <f t="shared" si="1"/>
        <v>67647</v>
      </c>
      <c r="E23" s="360">
        <f t="shared" si="2"/>
        <v>22093262.5</v>
      </c>
      <c r="F23" s="360"/>
      <c r="G23" s="360">
        <f t="shared" si="7"/>
        <v>4418652.5</v>
      </c>
      <c r="H23" s="360">
        <f t="shared" si="8"/>
        <v>70224</v>
      </c>
      <c r="I23" s="360">
        <v>1500000</v>
      </c>
      <c r="J23" s="360">
        <f t="shared" si="6"/>
        <v>17700000</v>
      </c>
      <c r="K23" s="360">
        <f t="shared" si="4"/>
        <v>-62918</v>
      </c>
      <c r="L23" s="360">
        <f t="shared" si="0"/>
        <v>4393262.5</v>
      </c>
      <c r="M23" s="360" t="s">
        <v>2500</v>
      </c>
    </row>
    <row r="24" spans="1:13" s="977" customFormat="1" ht="36" customHeight="1">
      <c r="A24" s="365">
        <v>42736</v>
      </c>
      <c r="B24" s="360">
        <v>0</v>
      </c>
      <c r="C24" s="360">
        <v>0</v>
      </c>
      <c r="D24" s="360">
        <f t="shared" si="1"/>
        <v>67647</v>
      </c>
      <c r="E24" s="360">
        <f t="shared" si="2"/>
        <v>22093262.5</v>
      </c>
      <c r="F24" s="360"/>
      <c r="G24" s="360"/>
      <c r="H24" s="360">
        <f t="shared" si="8"/>
        <v>37528</v>
      </c>
      <c r="I24" s="360">
        <v>3000000</v>
      </c>
      <c r="J24" s="360">
        <f t="shared" si="6"/>
        <v>20700000</v>
      </c>
      <c r="K24" s="360">
        <f t="shared" si="4"/>
        <v>-3025390</v>
      </c>
      <c r="L24" s="360">
        <f t="shared" si="0"/>
        <v>1393262.5</v>
      </c>
      <c r="M24" s="360"/>
    </row>
    <row r="25" spans="1:13" s="977" customFormat="1" ht="36" customHeight="1">
      <c r="A25" s="365">
        <v>42917</v>
      </c>
      <c r="B25" s="360">
        <v>0</v>
      </c>
      <c r="C25" s="360">
        <v>0</v>
      </c>
      <c r="D25" s="360">
        <f t="shared" si="1"/>
        <v>67647</v>
      </c>
      <c r="E25" s="360">
        <f t="shared" si="2"/>
        <v>22093262.5</v>
      </c>
      <c r="F25" s="360"/>
      <c r="G25" s="360"/>
      <c r="H25" s="360">
        <f t="shared" si="8"/>
        <v>0</v>
      </c>
      <c r="I25" s="360"/>
      <c r="J25" s="360">
        <f t="shared" si="6"/>
        <v>20700000</v>
      </c>
      <c r="K25" s="360">
        <f t="shared" si="4"/>
        <v>-3025390</v>
      </c>
      <c r="L25" s="360">
        <f t="shared" si="0"/>
        <v>1393262.5</v>
      </c>
      <c r="M25" s="360" t="s">
        <v>2501</v>
      </c>
    </row>
    <row r="26" spans="1:13" s="977" customFormat="1" ht="36" customHeight="1">
      <c r="A26" s="365"/>
      <c r="B26" s="360"/>
      <c r="C26" s="360"/>
      <c r="D26" s="360"/>
      <c r="E26" s="360"/>
      <c r="F26" s="360"/>
      <c r="G26" s="360"/>
      <c r="H26" s="360">
        <f>C25</f>
        <v>0</v>
      </c>
      <c r="I26" s="360"/>
      <c r="J26" s="360"/>
      <c r="K26" s="360">
        <f t="shared" si="4"/>
        <v>-3025390</v>
      </c>
      <c r="L26" s="360"/>
      <c r="M26" s="360"/>
    </row>
    <row r="27" spans="1:13" s="977" customFormat="1" ht="36" customHeight="1">
      <c r="A27" s="365"/>
      <c r="B27" s="360"/>
      <c r="C27" s="360"/>
      <c r="D27" s="360"/>
      <c r="E27" s="360"/>
      <c r="F27" s="360"/>
      <c r="G27" s="360"/>
      <c r="H27" s="360"/>
      <c r="I27" s="360"/>
      <c r="J27" s="360"/>
      <c r="K27" s="360"/>
      <c r="L27" s="360"/>
      <c r="M27" s="360"/>
    </row>
    <row r="28" spans="1:13" s="977" customFormat="1" ht="36" customHeight="1">
      <c r="A28" s="365"/>
      <c r="B28" s="360"/>
      <c r="C28" s="360"/>
      <c r="D28" s="360"/>
      <c r="E28" s="360"/>
      <c r="F28" s="360"/>
      <c r="G28" s="360"/>
      <c r="H28" s="360"/>
      <c r="I28" s="360"/>
      <c r="J28" s="360"/>
      <c r="K28" s="360"/>
      <c r="L28" s="360"/>
      <c r="M28" s="360"/>
    </row>
    <row r="29" spans="1:13" s="977" customFormat="1" ht="36" customHeight="1">
      <c r="A29" s="365"/>
      <c r="B29" s="360"/>
      <c r="C29" s="360"/>
      <c r="D29" s="360"/>
      <c r="E29" s="360"/>
      <c r="F29" s="360"/>
      <c r="G29" s="360"/>
      <c r="H29" s="360"/>
      <c r="I29" s="360"/>
      <c r="J29" s="360"/>
      <c r="K29" s="360"/>
      <c r="L29" s="360"/>
      <c r="M29" s="360"/>
    </row>
    <row r="30" spans="1:13" s="977" customFormat="1" ht="36" customHeight="1">
      <c r="A30" s="1002"/>
      <c r="B30" s="360"/>
      <c r="C30" s="360"/>
      <c r="D30" s="360"/>
      <c r="E30" s="360"/>
      <c r="F30" s="360"/>
      <c r="G30" s="360"/>
      <c r="H30" s="360"/>
      <c r="I30" s="360"/>
      <c r="J30" s="360"/>
      <c r="K30" s="360"/>
      <c r="L30" s="360"/>
      <c r="M30" s="360"/>
    </row>
    <row r="31" spans="1:13" ht="36" customHeight="1"/>
    <row r="48" spans="6:6">
      <c r="F48" s="758"/>
    </row>
  </sheetData>
  <mergeCells count="13">
    <mergeCell ref="I1:I2"/>
    <mergeCell ref="M1:M2"/>
    <mergeCell ref="J1:L2"/>
    <mergeCell ref="C1:D1"/>
    <mergeCell ref="F1:H1"/>
    <mergeCell ref="B2:C2"/>
    <mergeCell ref="E2:F2"/>
    <mergeCell ref="B3:C3"/>
    <mergeCell ref="B4:D4"/>
    <mergeCell ref="F4:H4"/>
    <mergeCell ref="I4:J4"/>
    <mergeCell ref="B5:E5"/>
    <mergeCell ref="F5:K5"/>
  </mergeCells>
  <phoneticPr fontId="84" type="noConversion"/>
  <pageMargins left="0.75" right="0.75" top="1" bottom="1" header="0.51" footer="0.51"/>
  <pageSetup paperSize="9" orientation="portrait" verticalDpi="200"/>
  <headerFooter scaleWithDoc="0" alignWithMargins="0"/>
</worksheet>
</file>

<file path=xl/worksheets/sheet1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6"/>
  <sheetViews>
    <sheetView topLeftCell="A19" zoomScaleSheetLayoutView="100" workbookViewId="0">
      <selection activeCell="A23" sqref="A23"/>
    </sheetView>
  </sheetViews>
  <sheetFormatPr defaultColWidth="9" defaultRowHeight="14.25"/>
  <cols>
    <col min="1" max="1" width="12.625" bestFit="1" customWidth="1"/>
    <col min="2" max="2" width="16.125" customWidth="1"/>
    <col min="3" max="3" width="14.125" customWidth="1"/>
    <col min="4" max="4" width="13.75" customWidth="1"/>
    <col min="5" max="5" width="18" customWidth="1"/>
    <col min="6" max="6" width="13.375" customWidth="1"/>
    <col min="7" max="7" width="11.5" customWidth="1"/>
    <col min="8" max="8" width="14" customWidth="1"/>
    <col min="9" max="9" width="11.625" customWidth="1"/>
    <col min="10" max="10" width="13.875" customWidth="1"/>
    <col min="11" max="11" width="14" customWidth="1"/>
    <col min="12" max="12" width="13.25" customWidth="1"/>
    <col min="13" max="13" width="37.125" customWidth="1"/>
  </cols>
  <sheetData>
    <row r="1" spans="1:13" ht="45" customHeight="1">
      <c r="A1" s="1008" t="s">
        <v>348</v>
      </c>
      <c r="B1" s="1009">
        <v>42426</v>
      </c>
      <c r="C1" s="1822" t="s">
        <v>2502</v>
      </c>
      <c r="D1" s="1822"/>
      <c r="E1" s="1008" t="s">
        <v>236</v>
      </c>
      <c r="F1" s="286"/>
      <c r="G1" s="1010" t="s">
        <v>351</v>
      </c>
      <c r="H1" s="58" t="s">
        <v>2503</v>
      </c>
      <c r="I1" s="1638" t="s">
        <v>237</v>
      </c>
      <c r="J1" s="2007" t="s">
        <v>2504</v>
      </c>
      <c r="K1" s="2007"/>
      <c r="L1" s="2007"/>
      <c r="M1" s="2006" t="s">
        <v>2505</v>
      </c>
    </row>
    <row r="2" spans="1:13" ht="42" customHeight="1">
      <c r="A2" s="41" t="s">
        <v>240</v>
      </c>
      <c r="B2" s="1637" t="s">
        <v>553</v>
      </c>
      <c r="C2" s="1637"/>
      <c r="D2" s="41" t="s">
        <v>242</v>
      </c>
      <c r="E2" s="1638"/>
      <c r="F2" s="1638"/>
      <c r="G2" s="41" t="s">
        <v>243</v>
      </c>
      <c r="H2" s="997">
        <v>0.03</v>
      </c>
      <c r="I2" s="1638"/>
      <c r="J2" s="2007"/>
      <c r="K2" s="2007"/>
      <c r="L2" s="2007"/>
      <c r="M2" s="2006"/>
    </row>
    <row r="3" spans="1:13" ht="45.95" customHeight="1">
      <c r="A3" s="41" t="s">
        <v>247</v>
      </c>
      <c r="B3" s="1637" t="s">
        <v>2506</v>
      </c>
      <c r="C3" s="1637"/>
      <c r="D3" s="41" t="s">
        <v>249</v>
      </c>
      <c r="E3" s="186">
        <v>40000</v>
      </c>
      <c r="F3" s="41" t="s">
        <v>251</v>
      </c>
      <c r="G3" s="41"/>
      <c r="H3" s="41" t="s">
        <v>252</v>
      </c>
      <c r="I3" s="90"/>
      <c r="J3" s="91" t="s">
        <v>253</v>
      </c>
      <c r="K3" s="40"/>
      <c r="L3" s="15" t="s">
        <v>255</v>
      </c>
      <c r="M3" s="271" t="s">
        <v>2507</v>
      </c>
    </row>
    <row r="4" spans="1:13" ht="53.1" customHeight="1">
      <c r="A4" s="41" t="s">
        <v>2508</v>
      </c>
      <c r="B4" s="1637" t="s">
        <v>2509</v>
      </c>
      <c r="C4" s="1637"/>
      <c r="D4" s="1637"/>
      <c r="E4" s="43" t="s">
        <v>258</v>
      </c>
      <c r="F4" s="1638"/>
      <c r="G4" s="1638"/>
      <c r="H4" s="1638"/>
      <c r="I4" s="1828" t="s">
        <v>2510</v>
      </c>
      <c r="J4" s="1836"/>
      <c r="K4" s="2005"/>
      <c r="L4" s="41" t="s">
        <v>245</v>
      </c>
      <c r="M4" s="41" t="s">
        <v>2511</v>
      </c>
    </row>
    <row r="5" spans="1:13" ht="59.1" customHeight="1">
      <c r="A5" s="41" t="s">
        <v>260</v>
      </c>
      <c r="B5" s="2001" t="s">
        <v>2512</v>
      </c>
      <c r="C5" s="2001"/>
      <c r="D5" s="2001"/>
      <c r="E5" s="2001"/>
      <c r="F5" s="1665" t="s">
        <v>2513</v>
      </c>
      <c r="G5" s="1665"/>
      <c r="H5" s="1665"/>
      <c r="I5" s="1665"/>
      <c r="J5" s="1665"/>
      <c r="K5" s="1665"/>
      <c r="L5" s="150"/>
      <c r="M5" s="150"/>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365">
        <v>42401</v>
      </c>
      <c r="B7" s="360">
        <v>159.5</v>
      </c>
      <c r="C7" s="360">
        <v>50482.5</v>
      </c>
      <c r="D7" s="360">
        <f>B7</f>
        <v>159.5</v>
      </c>
      <c r="E7" s="360">
        <f>C7</f>
        <v>50482.5</v>
      </c>
      <c r="F7" s="360"/>
      <c r="G7" s="360">
        <f>E7*0.2</f>
        <v>10096.5</v>
      </c>
      <c r="H7" s="360"/>
      <c r="I7" s="360"/>
      <c r="J7" s="360"/>
      <c r="K7" s="360"/>
      <c r="L7" s="360">
        <f t="shared" ref="L7:L22" si="0">E7-J7</f>
        <v>50482.5</v>
      </c>
      <c r="M7" s="360"/>
    </row>
    <row r="8" spans="1:13" s="977" customFormat="1" ht="36" customHeight="1">
      <c r="A8" s="365">
        <v>42430</v>
      </c>
      <c r="B8" s="360">
        <v>11867</v>
      </c>
      <c r="C8" s="360">
        <v>3493210</v>
      </c>
      <c r="D8" s="360">
        <f t="shared" ref="D8:D22" si="1">D7+B8</f>
        <v>12026.5</v>
      </c>
      <c r="E8" s="360">
        <f t="shared" ref="E8:E22" si="2">E7+C8</f>
        <v>3543692.5</v>
      </c>
      <c r="F8" s="360"/>
      <c r="G8" s="360">
        <f>E8*0.2</f>
        <v>708738.5</v>
      </c>
      <c r="H8" s="360"/>
      <c r="I8" s="360"/>
      <c r="J8" s="360"/>
      <c r="K8" s="360">
        <f t="shared" ref="K8:K23" si="3">K7+H8-I8</f>
        <v>0</v>
      </c>
      <c r="L8" s="360">
        <f t="shared" si="0"/>
        <v>3543692.5</v>
      </c>
      <c r="M8" s="360"/>
    </row>
    <row r="9" spans="1:13" s="977" customFormat="1" ht="36" customHeight="1">
      <c r="A9" s="365">
        <v>42461</v>
      </c>
      <c r="B9" s="360">
        <v>10438</v>
      </c>
      <c r="C9" s="360">
        <v>3078130</v>
      </c>
      <c r="D9" s="360">
        <f t="shared" si="1"/>
        <v>22464.5</v>
      </c>
      <c r="E9" s="360">
        <f t="shared" si="2"/>
        <v>6621822.5</v>
      </c>
      <c r="F9" s="360"/>
      <c r="G9" s="360">
        <f t="shared" ref="G9:G22" si="4">E8*0.2+C9</f>
        <v>3786868.5</v>
      </c>
      <c r="H9" s="360">
        <f t="shared" ref="H9:H22" si="5">C7*0.8</f>
        <v>40386</v>
      </c>
      <c r="I9" s="360"/>
      <c r="J9" s="360"/>
      <c r="K9" s="360">
        <f t="shared" si="3"/>
        <v>40386</v>
      </c>
      <c r="L9" s="360">
        <f t="shared" si="0"/>
        <v>6621822.5</v>
      </c>
      <c r="M9" s="360"/>
    </row>
    <row r="10" spans="1:13" s="977" customFormat="1" ht="36" customHeight="1">
      <c r="A10" s="365">
        <v>42491</v>
      </c>
      <c r="B10" s="360">
        <v>6055.5</v>
      </c>
      <c r="C10" s="360">
        <v>1780380</v>
      </c>
      <c r="D10" s="360">
        <f t="shared" si="1"/>
        <v>28520</v>
      </c>
      <c r="E10" s="360">
        <f t="shared" si="2"/>
        <v>8402202.5</v>
      </c>
      <c r="F10" s="360"/>
      <c r="G10" s="360">
        <f t="shared" si="4"/>
        <v>3104744.5</v>
      </c>
      <c r="H10" s="360">
        <f t="shared" si="5"/>
        <v>2794568</v>
      </c>
      <c r="I10" s="360"/>
      <c r="J10" s="360"/>
      <c r="K10" s="360">
        <f t="shared" si="3"/>
        <v>2834954</v>
      </c>
      <c r="L10" s="360">
        <f t="shared" si="0"/>
        <v>8402202.5</v>
      </c>
      <c r="M10" s="360" t="s">
        <v>2514</v>
      </c>
    </row>
    <row r="11" spans="1:13" s="977" customFormat="1" ht="36" customHeight="1">
      <c r="A11" s="365">
        <v>42522</v>
      </c>
      <c r="B11" s="360">
        <v>5093</v>
      </c>
      <c r="C11" s="360">
        <v>1442147.5</v>
      </c>
      <c r="D11" s="360">
        <f t="shared" si="1"/>
        <v>33613</v>
      </c>
      <c r="E11" s="360">
        <f t="shared" si="2"/>
        <v>9844350</v>
      </c>
      <c r="F11" s="360"/>
      <c r="G11" s="360">
        <f t="shared" si="4"/>
        <v>3122588</v>
      </c>
      <c r="H11" s="360">
        <f t="shared" si="5"/>
        <v>2462504</v>
      </c>
      <c r="I11" s="360">
        <v>2800000</v>
      </c>
      <c r="J11" s="360">
        <f t="shared" ref="J11:J22" si="6">I11+J10</f>
        <v>2800000</v>
      </c>
      <c r="K11" s="360">
        <f t="shared" si="3"/>
        <v>2497458</v>
      </c>
      <c r="L11" s="360">
        <f t="shared" si="0"/>
        <v>7044350</v>
      </c>
      <c r="M11" s="360"/>
    </row>
    <row r="12" spans="1:13" s="977" customFormat="1" ht="36" customHeight="1">
      <c r="A12" s="365">
        <v>42552</v>
      </c>
      <c r="B12" s="360">
        <v>3956.5</v>
      </c>
      <c r="C12" s="360">
        <v>1138192.5</v>
      </c>
      <c r="D12" s="360">
        <f t="shared" si="1"/>
        <v>37569.5</v>
      </c>
      <c r="E12" s="360">
        <f t="shared" si="2"/>
        <v>10982542.5</v>
      </c>
      <c r="F12" s="360"/>
      <c r="G12" s="360">
        <f t="shared" si="4"/>
        <v>3107062.5</v>
      </c>
      <c r="H12" s="360">
        <f t="shared" si="5"/>
        <v>1424304</v>
      </c>
      <c r="I12" s="360"/>
      <c r="J12" s="360">
        <f t="shared" si="6"/>
        <v>2800000</v>
      </c>
      <c r="K12" s="360">
        <f t="shared" si="3"/>
        <v>3921762</v>
      </c>
      <c r="L12" s="360">
        <f t="shared" si="0"/>
        <v>8182542.5</v>
      </c>
      <c r="M12" s="360" t="s">
        <v>2515</v>
      </c>
    </row>
    <row r="13" spans="1:13" s="977" customFormat="1" ht="36" customHeight="1">
      <c r="A13" s="365">
        <v>42583</v>
      </c>
      <c r="B13" s="360">
        <v>1369.5</v>
      </c>
      <c r="C13" s="360">
        <v>402597.5</v>
      </c>
      <c r="D13" s="360">
        <f t="shared" si="1"/>
        <v>38939</v>
      </c>
      <c r="E13" s="360">
        <f t="shared" si="2"/>
        <v>11385140</v>
      </c>
      <c r="F13" s="360"/>
      <c r="G13" s="360">
        <f t="shared" si="4"/>
        <v>2599106</v>
      </c>
      <c r="H13" s="360">
        <f t="shared" si="5"/>
        <v>1153718</v>
      </c>
      <c r="I13" s="360">
        <v>2497458</v>
      </c>
      <c r="J13" s="360">
        <f t="shared" si="6"/>
        <v>5297458</v>
      </c>
      <c r="K13" s="360">
        <f t="shared" si="3"/>
        <v>2578022</v>
      </c>
      <c r="L13" s="360">
        <f t="shared" si="0"/>
        <v>6087682</v>
      </c>
      <c r="M13" s="360" t="s">
        <v>2516</v>
      </c>
    </row>
    <row r="14" spans="1:13" s="977" customFormat="1" ht="36" customHeight="1">
      <c r="A14" s="365">
        <v>42614</v>
      </c>
      <c r="B14" s="360">
        <v>585</v>
      </c>
      <c r="C14" s="360">
        <v>176865</v>
      </c>
      <c r="D14" s="360">
        <f t="shared" si="1"/>
        <v>39524</v>
      </c>
      <c r="E14" s="360">
        <f t="shared" si="2"/>
        <v>11562005</v>
      </c>
      <c r="F14" s="360"/>
      <c r="G14" s="360">
        <f t="shared" si="4"/>
        <v>2453893</v>
      </c>
      <c r="H14" s="360">
        <f t="shared" si="5"/>
        <v>910554</v>
      </c>
      <c r="I14" s="360"/>
      <c r="J14" s="360">
        <f t="shared" si="6"/>
        <v>5297458</v>
      </c>
      <c r="K14" s="360">
        <f t="shared" si="3"/>
        <v>3488576</v>
      </c>
      <c r="L14" s="360">
        <f t="shared" si="0"/>
        <v>6264547</v>
      </c>
      <c r="M14" s="360" t="s">
        <v>2517</v>
      </c>
    </row>
    <row r="15" spans="1:13" s="977" customFormat="1" ht="36" customHeight="1">
      <c r="A15" s="365">
        <v>42644</v>
      </c>
      <c r="B15" s="360">
        <v>1031</v>
      </c>
      <c r="C15" s="360">
        <v>306350</v>
      </c>
      <c r="D15" s="360">
        <f t="shared" si="1"/>
        <v>40555</v>
      </c>
      <c r="E15" s="360">
        <f t="shared" si="2"/>
        <v>11868355</v>
      </c>
      <c r="F15" s="360"/>
      <c r="G15" s="360">
        <f t="shared" si="4"/>
        <v>2618751</v>
      </c>
      <c r="H15" s="360">
        <f t="shared" si="5"/>
        <v>322078</v>
      </c>
      <c r="I15" s="360">
        <v>2000000</v>
      </c>
      <c r="J15" s="360">
        <f t="shared" si="6"/>
        <v>7297458</v>
      </c>
      <c r="K15" s="360">
        <f t="shared" si="3"/>
        <v>1810654</v>
      </c>
      <c r="L15" s="360">
        <f t="shared" si="0"/>
        <v>4570897</v>
      </c>
      <c r="M15" s="360" t="s">
        <v>2518</v>
      </c>
    </row>
    <row r="16" spans="1:13" s="977" customFormat="1" ht="36" customHeight="1">
      <c r="A16" s="365">
        <v>42675</v>
      </c>
      <c r="B16" s="360">
        <v>361</v>
      </c>
      <c r="C16" s="360">
        <v>111210</v>
      </c>
      <c r="D16" s="360">
        <f t="shared" si="1"/>
        <v>40916</v>
      </c>
      <c r="E16" s="360">
        <f t="shared" si="2"/>
        <v>11979565</v>
      </c>
      <c r="F16" s="360"/>
      <c r="G16" s="360">
        <f t="shared" si="4"/>
        <v>2484881</v>
      </c>
      <c r="H16" s="360">
        <f t="shared" si="5"/>
        <v>141492</v>
      </c>
      <c r="I16" s="360"/>
      <c r="J16" s="360">
        <f t="shared" si="6"/>
        <v>7297458</v>
      </c>
      <c r="K16" s="360">
        <f t="shared" si="3"/>
        <v>1952146</v>
      </c>
      <c r="L16" s="360">
        <f t="shared" si="0"/>
        <v>4682107</v>
      </c>
      <c r="M16" s="360"/>
    </row>
    <row r="17" spans="1:13" s="977" customFormat="1" ht="36" customHeight="1">
      <c r="A17" s="365">
        <v>42705</v>
      </c>
      <c r="B17" s="360">
        <v>546</v>
      </c>
      <c r="C17" s="360">
        <v>184075</v>
      </c>
      <c r="D17" s="360">
        <f t="shared" si="1"/>
        <v>41462</v>
      </c>
      <c r="E17" s="360">
        <f t="shared" si="2"/>
        <v>12163640</v>
      </c>
      <c r="F17" s="360"/>
      <c r="G17" s="360">
        <f t="shared" si="4"/>
        <v>2579988</v>
      </c>
      <c r="H17" s="360">
        <f t="shared" si="5"/>
        <v>245080</v>
      </c>
      <c r="I17" s="360"/>
      <c r="J17" s="360">
        <f t="shared" si="6"/>
        <v>7297458</v>
      </c>
      <c r="K17" s="360">
        <f t="shared" si="3"/>
        <v>2197226</v>
      </c>
      <c r="L17" s="360">
        <f t="shared" si="0"/>
        <v>4866182</v>
      </c>
      <c r="M17" s="360"/>
    </row>
    <row r="18" spans="1:13" s="977" customFormat="1" ht="36" customHeight="1">
      <c r="A18" s="365">
        <v>42736</v>
      </c>
      <c r="B18" s="360">
        <v>622.5</v>
      </c>
      <c r="C18" s="360">
        <v>210417.5</v>
      </c>
      <c r="D18" s="360">
        <f t="shared" si="1"/>
        <v>42084.5</v>
      </c>
      <c r="E18" s="360">
        <f t="shared" si="2"/>
        <v>12374057.5</v>
      </c>
      <c r="F18" s="360"/>
      <c r="G18" s="360">
        <f t="shared" si="4"/>
        <v>2643145.5</v>
      </c>
      <c r="H18" s="360">
        <f t="shared" si="5"/>
        <v>88968</v>
      </c>
      <c r="I18" s="360"/>
      <c r="J18" s="360">
        <f t="shared" si="6"/>
        <v>7297458</v>
      </c>
      <c r="K18" s="360">
        <f t="shared" si="3"/>
        <v>2286194</v>
      </c>
      <c r="L18" s="360">
        <f t="shared" si="0"/>
        <v>5076599.5</v>
      </c>
      <c r="M18" s="360"/>
    </row>
    <row r="19" spans="1:13" s="977" customFormat="1" ht="36" customHeight="1">
      <c r="A19" s="365">
        <v>42767</v>
      </c>
      <c r="B19" s="360">
        <v>0</v>
      </c>
      <c r="C19" s="360">
        <v>0</v>
      </c>
      <c r="D19" s="360">
        <f t="shared" si="1"/>
        <v>42084.5</v>
      </c>
      <c r="E19" s="360">
        <f t="shared" si="2"/>
        <v>12374057.5</v>
      </c>
      <c r="F19" s="360"/>
      <c r="G19" s="360">
        <f t="shared" si="4"/>
        <v>2474811.5</v>
      </c>
      <c r="H19" s="360">
        <f t="shared" si="5"/>
        <v>147260</v>
      </c>
      <c r="I19" s="360">
        <v>2000000</v>
      </c>
      <c r="J19" s="360">
        <f t="shared" si="6"/>
        <v>9297458</v>
      </c>
      <c r="K19" s="360">
        <f t="shared" si="3"/>
        <v>433454</v>
      </c>
      <c r="L19" s="360">
        <f t="shared" si="0"/>
        <v>3076599.5</v>
      </c>
      <c r="M19" s="360"/>
    </row>
    <row r="20" spans="1:13" s="977" customFormat="1" ht="36" customHeight="1">
      <c r="A20" s="365">
        <v>42795</v>
      </c>
      <c r="B20" s="360">
        <v>375.5</v>
      </c>
      <c r="C20" s="360">
        <v>132055</v>
      </c>
      <c r="D20" s="360">
        <f t="shared" si="1"/>
        <v>42460</v>
      </c>
      <c r="E20" s="360">
        <f t="shared" si="2"/>
        <v>12506112.5</v>
      </c>
      <c r="F20" s="360"/>
      <c r="G20" s="360">
        <f t="shared" si="4"/>
        <v>2606866.5</v>
      </c>
      <c r="H20" s="360">
        <f t="shared" si="5"/>
        <v>168334</v>
      </c>
      <c r="I20" s="360"/>
      <c r="J20" s="360">
        <f t="shared" si="6"/>
        <v>9297458</v>
      </c>
      <c r="K20" s="360">
        <f t="shared" si="3"/>
        <v>601788</v>
      </c>
      <c r="L20" s="360">
        <f t="shared" si="0"/>
        <v>3208654.5</v>
      </c>
      <c r="M20" s="360"/>
    </row>
    <row r="21" spans="1:13" s="977" customFormat="1" ht="36" customHeight="1">
      <c r="A21" s="365">
        <v>42826</v>
      </c>
      <c r="B21" s="360">
        <v>0</v>
      </c>
      <c r="C21" s="360">
        <v>0</v>
      </c>
      <c r="D21" s="360">
        <f t="shared" si="1"/>
        <v>42460</v>
      </c>
      <c r="E21" s="360">
        <f t="shared" si="2"/>
        <v>12506112.5</v>
      </c>
      <c r="F21" s="360"/>
      <c r="G21" s="360">
        <f t="shared" si="4"/>
        <v>2501222.5</v>
      </c>
      <c r="H21" s="360">
        <f t="shared" si="5"/>
        <v>0</v>
      </c>
      <c r="I21" s="360"/>
      <c r="J21" s="360">
        <f t="shared" si="6"/>
        <v>9297458</v>
      </c>
      <c r="K21" s="360">
        <f t="shared" si="3"/>
        <v>601788</v>
      </c>
      <c r="L21" s="360">
        <f t="shared" si="0"/>
        <v>3208654.5</v>
      </c>
      <c r="M21" s="360"/>
    </row>
    <row r="22" spans="1:13" s="977" customFormat="1" ht="36" customHeight="1">
      <c r="A22" s="405" t="s">
        <v>2519</v>
      </c>
      <c r="B22" s="360">
        <v>0</v>
      </c>
      <c r="C22" s="360">
        <v>9000</v>
      </c>
      <c r="D22" s="360">
        <f t="shared" si="1"/>
        <v>42460</v>
      </c>
      <c r="E22" s="360">
        <f t="shared" si="2"/>
        <v>12515112.5</v>
      </c>
      <c r="F22" s="360"/>
      <c r="G22" s="360">
        <f t="shared" si="4"/>
        <v>2510222.5</v>
      </c>
      <c r="H22" s="360">
        <f t="shared" si="5"/>
        <v>105644</v>
      </c>
      <c r="I22" s="360"/>
      <c r="J22" s="360">
        <f t="shared" si="6"/>
        <v>9297458</v>
      </c>
      <c r="K22" s="360">
        <f t="shared" si="3"/>
        <v>707432</v>
      </c>
      <c r="L22" s="360">
        <f t="shared" si="0"/>
        <v>3217654.5</v>
      </c>
      <c r="M22" s="360" t="s">
        <v>2520</v>
      </c>
    </row>
    <row r="23" spans="1:13" s="977" customFormat="1" ht="36" customHeight="1">
      <c r="A23" s="365"/>
      <c r="B23" s="360"/>
      <c r="C23" s="360"/>
      <c r="D23" s="360"/>
      <c r="E23" s="360"/>
      <c r="F23" s="360"/>
      <c r="G23" s="360"/>
      <c r="H23" s="360">
        <f>C22</f>
        <v>9000</v>
      </c>
      <c r="I23" s="360"/>
      <c r="J23" s="360"/>
      <c r="K23" s="360">
        <f t="shared" si="3"/>
        <v>716432</v>
      </c>
      <c r="L23" s="360"/>
      <c r="M23" s="360"/>
    </row>
    <row r="24" spans="1:13" s="977" customFormat="1" ht="36" customHeight="1">
      <c r="A24" s="365"/>
      <c r="B24" s="360"/>
      <c r="C24" s="360"/>
      <c r="D24" s="360"/>
      <c r="E24" s="360"/>
      <c r="F24" s="360"/>
      <c r="G24" s="360"/>
      <c r="H24" s="360"/>
      <c r="I24" s="360"/>
      <c r="J24" s="360"/>
      <c r="K24" s="360"/>
      <c r="L24" s="360"/>
      <c r="M24" s="360"/>
    </row>
    <row r="25" spans="1:13" s="977" customFormat="1" ht="36" customHeight="1">
      <c r="A25" s="1002"/>
      <c r="B25" s="360"/>
      <c r="C25" s="360"/>
      <c r="D25" s="360"/>
      <c r="E25" s="360"/>
      <c r="F25" s="360"/>
      <c r="G25" s="360"/>
      <c r="H25" s="360"/>
      <c r="I25" s="360"/>
      <c r="J25" s="360"/>
      <c r="K25" s="360"/>
      <c r="L25" s="360"/>
      <c r="M25" s="360"/>
    </row>
    <row r="26" spans="1:13" ht="36" customHeight="1"/>
  </sheetData>
  <mergeCells count="12">
    <mergeCell ref="M1:M2"/>
    <mergeCell ref="J1:L2"/>
    <mergeCell ref="C1:D1"/>
    <mergeCell ref="B2:C2"/>
    <mergeCell ref="E2:F2"/>
    <mergeCell ref="B3:C3"/>
    <mergeCell ref="B4:D4"/>
    <mergeCell ref="F4:H4"/>
    <mergeCell ref="I4:K4"/>
    <mergeCell ref="B5:E5"/>
    <mergeCell ref="F5:K5"/>
    <mergeCell ref="I1:I2"/>
  </mergeCells>
  <phoneticPr fontId="84" type="noConversion"/>
  <pageMargins left="0.75" right="0.75" top="1" bottom="1" header="0.51" footer="0.51"/>
  <pageSetup paperSize="9" orientation="portrait" verticalDpi="200"/>
  <headerFooter scaleWithDoc="0" alignWithMargins="0"/>
  <legacyDrawing r:id="rId1"/>
</worksheet>
</file>

<file path=xl/worksheets/sheet1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opLeftCell="A22" zoomScaleSheetLayoutView="100" workbookViewId="0">
      <selection activeCell="B29" sqref="B29:M29"/>
    </sheetView>
  </sheetViews>
  <sheetFormatPr defaultColWidth="9" defaultRowHeight="14.25"/>
  <cols>
    <col min="1" max="1" width="17.75" customWidth="1"/>
    <col min="2" max="2" width="16.125" customWidth="1"/>
    <col min="3" max="3" width="14.125" customWidth="1"/>
    <col min="4" max="4" width="13.75" customWidth="1"/>
    <col min="5" max="5" width="18" customWidth="1"/>
    <col min="6" max="6" width="13.375" customWidth="1"/>
    <col min="7" max="7" width="11.5" customWidth="1"/>
    <col min="8" max="8" width="14.5" customWidth="1"/>
    <col min="9" max="9" width="13.625" customWidth="1"/>
    <col min="10" max="10" width="12.25" customWidth="1"/>
    <col min="11" max="11" width="13.75" customWidth="1"/>
    <col min="12" max="12" width="14.375" customWidth="1"/>
    <col min="13" max="13" width="37.125" customWidth="1"/>
  </cols>
  <sheetData>
    <row r="1" spans="1:13" ht="45" customHeight="1">
      <c r="A1" s="1008" t="s">
        <v>348</v>
      </c>
      <c r="B1" s="1009"/>
      <c r="C1" s="1822" t="s">
        <v>2521</v>
      </c>
      <c r="D1" s="1822"/>
      <c r="E1" s="1008" t="s">
        <v>236</v>
      </c>
      <c r="F1" s="286"/>
      <c r="G1" s="1010" t="s">
        <v>351</v>
      </c>
      <c r="H1" s="58" t="s">
        <v>2522</v>
      </c>
      <c r="I1" s="1638" t="s">
        <v>237</v>
      </c>
      <c r="J1" s="1665" t="s">
        <v>2523</v>
      </c>
      <c r="K1" s="1665"/>
      <c r="L1" s="1665"/>
      <c r="M1" s="2006" t="s">
        <v>2524</v>
      </c>
    </row>
    <row r="2" spans="1:13" ht="42" customHeight="1">
      <c r="A2" s="41" t="s">
        <v>240</v>
      </c>
      <c r="B2" s="1637" t="s">
        <v>2100</v>
      </c>
      <c r="C2" s="1637"/>
      <c r="D2" s="41" t="s">
        <v>242</v>
      </c>
      <c r="E2" s="1638"/>
      <c r="F2" s="1638"/>
      <c r="G2" s="41" t="s">
        <v>243</v>
      </c>
      <c r="H2" s="41" t="s">
        <v>421</v>
      </c>
      <c r="I2" s="1638"/>
      <c r="J2" s="1665"/>
      <c r="K2" s="1665"/>
      <c r="L2" s="1665"/>
      <c r="M2" s="2006"/>
    </row>
    <row r="3" spans="1:13" ht="104.1" customHeight="1">
      <c r="A3" s="41" t="s">
        <v>247</v>
      </c>
      <c r="B3" s="1637" t="s">
        <v>2525</v>
      </c>
      <c r="C3" s="1637"/>
      <c r="D3" s="41" t="s">
        <v>249</v>
      </c>
      <c r="E3" s="186">
        <v>157600</v>
      </c>
      <c r="F3" s="41" t="s">
        <v>251</v>
      </c>
      <c r="G3" s="41" t="s">
        <v>2526</v>
      </c>
      <c r="H3" s="40" t="s">
        <v>2527</v>
      </c>
      <c r="I3" s="40" t="s">
        <v>425</v>
      </c>
      <c r="J3" s="2008" t="s">
        <v>2528</v>
      </c>
      <c r="K3" s="2009"/>
      <c r="L3" s="2009"/>
      <c r="M3" s="2010"/>
    </row>
    <row r="4" spans="1:13" ht="55.5" customHeight="1">
      <c r="A4" s="41" t="s">
        <v>257</v>
      </c>
      <c r="B4" s="1637"/>
      <c r="C4" s="1637"/>
      <c r="D4" s="1637"/>
      <c r="E4" s="43" t="s">
        <v>258</v>
      </c>
      <c r="F4" s="1652"/>
      <c r="G4" s="1652"/>
      <c r="H4" s="1652"/>
      <c r="I4" s="2011" t="s">
        <v>253</v>
      </c>
      <c r="J4" s="2012"/>
      <c r="K4" s="1018" t="s">
        <v>2529</v>
      </c>
      <c r="L4" s="15" t="s">
        <v>255</v>
      </c>
      <c r="M4" s="271" t="s">
        <v>2530</v>
      </c>
    </row>
    <row r="5" spans="1:13" ht="99" customHeight="1">
      <c r="A5" s="41" t="s">
        <v>260</v>
      </c>
      <c r="B5" s="1665" t="s">
        <v>2531</v>
      </c>
      <c r="C5" s="1665"/>
      <c r="D5" s="1665"/>
      <c r="E5" s="1820"/>
      <c r="F5" s="1828"/>
      <c r="G5" s="1836"/>
      <c r="H5" s="2005"/>
      <c r="I5" s="1828"/>
      <c r="J5" s="1836"/>
      <c r="K5" s="2005"/>
      <c r="L5" s="1019" t="s">
        <v>245</v>
      </c>
      <c r="M5" s="41" t="s">
        <v>2532</v>
      </c>
    </row>
    <row r="6" spans="1:13" ht="42.75">
      <c r="A6" s="999" t="s">
        <v>266</v>
      </c>
      <c r="B6" s="1000" t="s">
        <v>267</v>
      </c>
      <c r="C6" s="1000" t="s">
        <v>268</v>
      </c>
      <c r="D6" s="1000" t="s">
        <v>269</v>
      </c>
      <c r="E6" s="1000" t="s">
        <v>270</v>
      </c>
      <c r="F6" s="1023" t="s">
        <v>271</v>
      </c>
      <c r="G6" s="1024" t="s">
        <v>272</v>
      </c>
      <c r="H6" s="1020" t="s">
        <v>273</v>
      </c>
      <c r="I6" s="1020" t="s">
        <v>274</v>
      </c>
      <c r="J6" s="1020" t="s">
        <v>275</v>
      </c>
      <c r="K6" s="1020" t="s">
        <v>276</v>
      </c>
      <c r="L6" s="1000" t="s">
        <v>277</v>
      </c>
      <c r="M6" s="999" t="s">
        <v>278</v>
      </c>
    </row>
    <row r="7" spans="1:13" s="977" customFormat="1" ht="36" customHeight="1">
      <c r="A7" s="405" t="s">
        <v>2533</v>
      </c>
      <c r="B7" s="360">
        <v>1337.5</v>
      </c>
      <c r="C7" s="360">
        <v>354395</v>
      </c>
      <c r="D7" s="360">
        <f>B7</f>
        <v>1337.5</v>
      </c>
      <c r="E7" s="361">
        <f>C7</f>
        <v>354395</v>
      </c>
      <c r="F7" s="1025"/>
      <c r="G7" s="362">
        <f>E7</f>
        <v>354395</v>
      </c>
      <c r="H7" s="360"/>
      <c r="I7" s="360"/>
      <c r="J7" s="360"/>
      <c r="K7" s="360"/>
      <c r="L7" s="360">
        <f t="shared" ref="L7:L27" si="0">E7-J7</f>
        <v>354395</v>
      </c>
      <c r="M7" s="360"/>
    </row>
    <row r="8" spans="1:13" s="977" customFormat="1" ht="36" customHeight="1">
      <c r="A8" s="405" t="s">
        <v>2534</v>
      </c>
      <c r="B8" s="360">
        <f>405.5+442</f>
        <v>847.5</v>
      </c>
      <c r="C8" s="360">
        <f>107549+119535</f>
        <v>227084</v>
      </c>
      <c r="D8" s="360">
        <f t="shared" ref="D8:D27" si="1">D7+B8</f>
        <v>2185</v>
      </c>
      <c r="E8" s="361">
        <f t="shared" ref="E8:E27" si="2">E7+C8</f>
        <v>581479</v>
      </c>
      <c r="F8" s="1025"/>
      <c r="G8" s="362">
        <f>E8</f>
        <v>581479</v>
      </c>
      <c r="H8" s="360"/>
      <c r="I8" s="360"/>
      <c r="J8" s="360"/>
      <c r="K8" s="360">
        <f t="shared" ref="K8:K28" si="3">K7+H8-I8</f>
        <v>0</v>
      </c>
      <c r="L8" s="360">
        <f t="shared" si="0"/>
        <v>581479</v>
      </c>
      <c r="M8" s="360"/>
    </row>
    <row r="9" spans="1:13" s="977" customFormat="1" ht="36" customHeight="1">
      <c r="A9" s="405" t="s">
        <v>2535</v>
      </c>
      <c r="B9" s="360">
        <f>1742+180</f>
        <v>1922</v>
      </c>
      <c r="C9" s="360">
        <f>524496+56340</f>
        <v>580836</v>
      </c>
      <c r="D9" s="360">
        <f t="shared" si="1"/>
        <v>4107</v>
      </c>
      <c r="E9" s="361">
        <f t="shared" si="2"/>
        <v>1162315</v>
      </c>
      <c r="F9" s="1025"/>
      <c r="G9" s="362">
        <f>E9</f>
        <v>1162315</v>
      </c>
      <c r="H9" s="360"/>
      <c r="I9" s="360"/>
      <c r="J9" s="360"/>
      <c r="K9" s="360">
        <f t="shared" si="3"/>
        <v>0</v>
      </c>
      <c r="L9" s="360">
        <f t="shared" si="0"/>
        <v>1162315</v>
      </c>
      <c r="M9" s="360"/>
    </row>
    <row r="10" spans="1:13" s="977" customFormat="1" ht="36" customHeight="1">
      <c r="A10" s="405" t="s">
        <v>2536</v>
      </c>
      <c r="B10" s="360">
        <v>2817.5</v>
      </c>
      <c r="C10" s="360">
        <v>819881</v>
      </c>
      <c r="D10" s="360">
        <f t="shared" si="1"/>
        <v>6924.5</v>
      </c>
      <c r="E10" s="361">
        <f t="shared" si="2"/>
        <v>1982196</v>
      </c>
      <c r="F10" s="1025"/>
      <c r="G10" s="362">
        <f>E10</f>
        <v>1982196</v>
      </c>
      <c r="H10" s="360"/>
      <c r="I10" s="360"/>
      <c r="J10" s="360"/>
      <c r="K10" s="360">
        <f t="shared" si="3"/>
        <v>0</v>
      </c>
      <c r="L10" s="360">
        <f t="shared" si="0"/>
        <v>1982196</v>
      </c>
      <c r="M10" s="360"/>
    </row>
    <row r="11" spans="1:13" s="977" customFormat="1" ht="36" customHeight="1">
      <c r="A11" s="405" t="s">
        <v>2537</v>
      </c>
      <c r="B11" s="360">
        <v>4058.5</v>
      </c>
      <c r="C11" s="360">
        <v>1330824.5</v>
      </c>
      <c r="D11" s="360">
        <f t="shared" si="1"/>
        <v>10983</v>
      </c>
      <c r="E11" s="361">
        <f t="shared" si="2"/>
        <v>3313020.5</v>
      </c>
      <c r="F11" s="1025"/>
      <c r="G11" s="362">
        <f>E11</f>
        <v>3313020.5</v>
      </c>
      <c r="H11" s="360"/>
      <c r="I11" s="360"/>
      <c r="J11" s="360"/>
      <c r="K11" s="360">
        <f t="shared" si="3"/>
        <v>0</v>
      </c>
      <c r="L11" s="360">
        <f t="shared" si="0"/>
        <v>3313020.5</v>
      </c>
      <c r="M11" s="360"/>
    </row>
    <row r="12" spans="1:13" s="977" customFormat="1" ht="36" customHeight="1">
      <c r="A12" s="405" t="s">
        <v>2538</v>
      </c>
      <c r="B12" s="360">
        <v>4577.5</v>
      </c>
      <c r="C12" s="360">
        <v>1321903</v>
      </c>
      <c r="D12" s="360">
        <f t="shared" si="1"/>
        <v>15560.5</v>
      </c>
      <c r="E12" s="361">
        <f t="shared" si="2"/>
        <v>4634923.5</v>
      </c>
      <c r="F12" s="1025"/>
      <c r="G12" s="362">
        <f>C7*0.3+C8+C9+C10+C11+C12</f>
        <v>4386847</v>
      </c>
      <c r="H12" s="360"/>
      <c r="I12" s="360"/>
      <c r="J12" s="360"/>
      <c r="K12" s="360">
        <f t="shared" si="3"/>
        <v>0</v>
      </c>
      <c r="L12" s="360">
        <f t="shared" si="0"/>
        <v>4634923.5</v>
      </c>
      <c r="M12" s="360"/>
    </row>
    <row r="13" spans="1:13" s="977" customFormat="1" ht="36" customHeight="1">
      <c r="A13" s="405" t="s">
        <v>2539</v>
      </c>
      <c r="B13" s="360">
        <v>4153.5</v>
      </c>
      <c r="C13" s="360">
        <v>1178960.5</v>
      </c>
      <c r="D13" s="360">
        <f t="shared" si="1"/>
        <v>19714</v>
      </c>
      <c r="E13" s="361">
        <f t="shared" si="2"/>
        <v>5813884</v>
      </c>
      <c r="F13" s="1025"/>
      <c r="G13" s="362">
        <f>E8*0.3+C9+C10+C11+C12+C13</f>
        <v>5406848.7000000002</v>
      </c>
      <c r="H13" s="360">
        <f t="shared" ref="H13:H18" si="4">C7*0.7</f>
        <v>248076.49999999997</v>
      </c>
      <c r="I13" s="360"/>
      <c r="J13" s="360"/>
      <c r="K13" s="360">
        <f t="shared" si="3"/>
        <v>248076.49999999997</v>
      </c>
      <c r="L13" s="360">
        <f t="shared" si="0"/>
        <v>5813884</v>
      </c>
      <c r="M13" s="360"/>
    </row>
    <row r="14" spans="1:13" s="977" customFormat="1" ht="36" customHeight="1">
      <c r="A14" s="405" t="s">
        <v>2540</v>
      </c>
      <c r="B14" s="360">
        <v>5127.5</v>
      </c>
      <c r="C14" s="360">
        <v>1453253</v>
      </c>
      <c r="D14" s="360">
        <f t="shared" si="1"/>
        <v>24841.5</v>
      </c>
      <c r="E14" s="361">
        <f t="shared" si="2"/>
        <v>7267137</v>
      </c>
      <c r="F14" s="1025"/>
      <c r="G14" s="362">
        <f>E9*0.3+C10+C11+C12+C13+C14</f>
        <v>6453516.5</v>
      </c>
      <c r="H14" s="360">
        <f t="shared" si="4"/>
        <v>158958.79999999999</v>
      </c>
      <c r="I14" s="360"/>
      <c r="J14" s="360"/>
      <c r="K14" s="360">
        <f t="shared" si="3"/>
        <v>407035.29999999993</v>
      </c>
      <c r="L14" s="360">
        <f t="shared" si="0"/>
        <v>7267137</v>
      </c>
      <c r="M14" s="360"/>
    </row>
    <row r="15" spans="1:13" s="977" customFormat="1" ht="36" customHeight="1">
      <c r="A15" s="405" t="s">
        <v>2541</v>
      </c>
      <c r="B15" s="360">
        <v>4838.5</v>
      </c>
      <c r="C15" s="360">
        <v>1339716.5</v>
      </c>
      <c r="D15" s="360">
        <f t="shared" si="1"/>
        <v>29680</v>
      </c>
      <c r="E15" s="361">
        <f t="shared" si="2"/>
        <v>8606853.5</v>
      </c>
      <c r="F15" s="364"/>
      <c r="G15" s="362">
        <f>E10*0.3+C11+C12+C13+C14+C15</f>
        <v>7219316.2999999998</v>
      </c>
      <c r="H15" s="360">
        <f t="shared" si="4"/>
        <v>406585.19999999995</v>
      </c>
      <c r="I15" s="360"/>
      <c r="J15" s="360"/>
      <c r="K15" s="360">
        <f t="shared" si="3"/>
        <v>813620.49999999988</v>
      </c>
      <c r="L15" s="360">
        <f t="shared" si="0"/>
        <v>8606853.5</v>
      </c>
      <c r="M15" s="360"/>
    </row>
    <row r="16" spans="1:13" s="977" customFormat="1" ht="36" customHeight="1">
      <c r="A16" s="405" t="s">
        <v>2542</v>
      </c>
      <c r="B16" s="360">
        <v>3626.5</v>
      </c>
      <c r="C16" s="360">
        <v>1008936.5</v>
      </c>
      <c r="D16" s="360">
        <f t="shared" si="1"/>
        <v>33306.5</v>
      </c>
      <c r="E16" s="361">
        <f t="shared" si="2"/>
        <v>9615790</v>
      </c>
      <c r="F16" s="364"/>
      <c r="G16" s="362">
        <f>E11*0.3+C12+C13+C14+C15+C16</f>
        <v>7296675.6500000004</v>
      </c>
      <c r="H16" s="360">
        <f t="shared" si="4"/>
        <v>573916.69999999995</v>
      </c>
      <c r="I16" s="360"/>
      <c r="J16" s="360"/>
      <c r="K16" s="360">
        <f t="shared" si="3"/>
        <v>1387537.1999999997</v>
      </c>
      <c r="L16" s="360">
        <f t="shared" si="0"/>
        <v>9615790</v>
      </c>
      <c r="M16" s="412" t="s">
        <v>2543</v>
      </c>
    </row>
    <row r="17" spans="1:13" s="977" customFormat="1" ht="36" customHeight="1">
      <c r="A17" s="405" t="s">
        <v>2544</v>
      </c>
      <c r="B17" s="360">
        <v>2699.5</v>
      </c>
      <c r="C17" s="360">
        <v>751510</v>
      </c>
      <c r="D17" s="360">
        <f t="shared" si="1"/>
        <v>36006</v>
      </c>
      <c r="E17" s="361">
        <f t="shared" si="2"/>
        <v>10367300</v>
      </c>
      <c r="F17" s="364"/>
      <c r="G17" s="362">
        <f>E12*0.3+C13+C14+C15+C16+C17</f>
        <v>7122853.5499999998</v>
      </c>
      <c r="H17" s="360">
        <f t="shared" si="4"/>
        <v>931577.14999999991</v>
      </c>
      <c r="I17" s="360">
        <v>5086995.7300000004</v>
      </c>
      <c r="J17" s="360">
        <f>5086995.73</f>
        <v>5086995.7300000004</v>
      </c>
      <c r="K17" s="360">
        <f t="shared" si="3"/>
        <v>-2767881.3800000008</v>
      </c>
      <c r="L17" s="360">
        <f t="shared" si="0"/>
        <v>5280304.2699999996</v>
      </c>
      <c r="M17" s="360" t="s">
        <v>2545</v>
      </c>
    </row>
    <row r="18" spans="1:13" s="977" customFormat="1" ht="36" customHeight="1">
      <c r="A18" s="405" t="s">
        <v>2546</v>
      </c>
      <c r="B18" s="360">
        <v>1854</v>
      </c>
      <c r="C18" s="360">
        <v>546343</v>
      </c>
      <c r="D18" s="360">
        <f t="shared" si="1"/>
        <v>37860</v>
      </c>
      <c r="E18" s="361">
        <f t="shared" si="2"/>
        <v>10913643</v>
      </c>
      <c r="F18" s="364"/>
      <c r="G18" s="362">
        <f>E12*0.25*5/6+E12*0.05+C14+C15+C16+C17+C18</f>
        <v>6297114.2374999998</v>
      </c>
      <c r="H18" s="360">
        <f t="shared" si="4"/>
        <v>925332.1</v>
      </c>
      <c r="I18" s="360">
        <v>706255.44</v>
      </c>
      <c r="J18" s="360">
        <f t="shared" ref="J18:J27" si="5">J17+I18</f>
        <v>5793251.1699999999</v>
      </c>
      <c r="K18" s="360">
        <f t="shared" si="3"/>
        <v>-2548804.7200000007</v>
      </c>
      <c r="L18" s="360">
        <f t="shared" si="0"/>
        <v>5120391.83</v>
      </c>
      <c r="M18" s="360" t="s">
        <v>2547</v>
      </c>
    </row>
    <row r="19" spans="1:13" s="977" customFormat="1" ht="36" customHeight="1">
      <c r="A19" s="405" t="s">
        <v>2548</v>
      </c>
      <c r="B19" s="360">
        <v>2100</v>
      </c>
      <c r="C19" s="360">
        <v>629481</v>
      </c>
      <c r="D19" s="360">
        <f t="shared" si="1"/>
        <v>39960</v>
      </c>
      <c r="E19" s="361">
        <f t="shared" si="2"/>
        <v>11543124</v>
      </c>
      <c r="F19" s="364"/>
      <c r="G19" s="362">
        <f>E12*0.25*4/6+E12*0.05+C15+C16+C17+C18+C19</f>
        <v>5280220.4249999998</v>
      </c>
      <c r="H19" s="294">
        <f>C13+E12*0.25*1/6</f>
        <v>1372082.3125</v>
      </c>
      <c r="I19" s="360">
        <v>1463858.48</v>
      </c>
      <c r="J19" s="360">
        <f t="shared" si="5"/>
        <v>7257109.6500000004</v>
      </c>
      <c r="K19" s="360">
        <f t="shared" si="3"/>
        <v>-2640580.8875000007</v>
      </c>
      <c r="L19" s="360">
        <f t="shared" si="0"/>
        <v>4286014.3499999996</v>
      </c>
      <c r="M19" s="360" t="s">
        <v>2549</v>
      </c>
    </row>
    <row r="20" spans="1:13" s="977" customFormat="1" ht="36" customHeight="1">
      <c r="A20" s="405" t="s">
        <v>2550</v>
      </c>
      <c r="B20" s="360">
        <v>2387.5</v>
      </c>
      <c r="C20" s="360">
        <v>719281</v>
      </c>
      <c r="D20" s="360">
        <f t="shared" si="1"/>
        <v>42347.5</v>
      </c>
      <c r="E20" s="361">
        <f t="shared" si="2"/>
        <v>12262405</v>
      </c>
      <c r="F20" s="364"/>
      <c r="G20" s="362">
        <f>E12*0.25*3/6+E12*0.05+C16+C17+C18+C19+C20</f>
        <v>4466663.1124999998</v>
      </c>
      <c r="H20" s="294">
        <f>C14+E12*0.25*1/6</f>
        <v>1646374.8125</v>
      </c>
      <c r="I20" s="294">
        <v>382439.88</v>
      </c>
      <c r="J20" s="360">
        <f t="shared" si="5"/>
        <v>7639549.5300000003</v>
      </c>
      <c r="K20" s="360">
        <f t="shared" si="3"/>
        <v>-1376645.9550000005</v>
      </c>
      <c r="L20" s="360">
        <f t="shared" si="0"/>
        <v>4622855.47</v>
      </c>
      <c r="M20" s="360" t="s">
        <v>2551</v>
      </c>
    </row>
    <row r="21" spans="1:13" s="977" customFormat="1" ht="36" customHeight="1">
      <c r="A21" s="405" t="s">
        <v>2552</v>
      </c>
      <c r="B21" s="360"/>
      <c r="C21" s="360">
        <f>24280+44775</f>
        <v>69055</v>
      </c>
      <c r="D21" s="360">
        <f t="shared" si="1"/>
        <v>42347.5</v>
      </c>
      <c r="E21" s="361">
        <f t="shared" si="2"/>
        <v>12331460</v>
      </c>
      <c r="F21" s="364"/>
      <c r="G21" s="362">
        <f>E12*0.25*2/6+E12*0.05+C17+C18+C19+C20+C21</f>
        <v>3333659.8</v>
      </c>
      <c r="H21" s="294">
        <f>C15+E12*0.25*1/6</f>
        <v>1532838.3125</v>
      </c>
      <c r="I21" s="360">
        <v>440636.66</v>
      </c>
      <c r="J21" s="360">
        <f t="shared" si="5"/>
        <v>8080186.1900000004</v>
      </c>
      <c r="K21" s="360">
        <f t="shared" si="3"/>
        <v>-284444.30250000051</v>
      </c>
      <c r="L21" s="360">
        <f t="shared" si="0"/>
        <v>4251273.8099999996</v>
      </c>
      <c r="M21" s="360" t="s">
        <v>2553</v>
      </c>
    </row>
    <row r="22" spans="1:13" s="977" customFormat="1" ht="36" customHeight="1">
      <c r="A22" s="405" t="s">
        <v>2554</v>
      </c>
      <c r="B22" s="360">
        <v>1849</v>
      </c>
      <c r="C22" s="360">
        <v>546197</v>
      </c>
      <c r="D22" s="360">
        <f t="shared" si="1"/>
        <v>44196.5</v>
      </c>
      <c r="E22" s="361">
        <f t="shared" si="2"/>
        <v>12877657</v>
      </c>
      <c r="F22" s="364"/>
      <c r="G22" s="362">
        <f>E12*0.25*1/6+E12*0.05+C18+C19+C20+C21+C22</f>
        <v>2935224.9874999998</v>
      </c>
      <c r="H22" s="294">
        <f>C16+E12*0.25*1/6</f>
        <v>1202058.3125</v>
      </c>
      <c r="I22" s="360"/>
      <c r="J22" s="360">
        <f t="shared" si="5"/>
        <v>8080186.1900000004</v>
      </c>
      <c r="K22" s="360">
        <f t="shared" si="3"/>
        <v>917614.00999999954</v>
      </c>
      <c r="L22" s="360">
        <f t="shared" si="0"/>
        <v>4797470.8099999996</v>
      </c>
      <c r="M22" s="360"/>
    </row>
    <row r="23" spans="1:13" s="977" customFormat="1" ht="36" customHeight="1">
      <c r="A23" s="405" t="s">
        <v>2555</v>
      </c>
      <c r="B23" s="360">
        <v>1586</v>
      </c>
      <c r="C23" s="360">
        <v>436355.34</v>
      </c>
      <c r="D23" s="360">
        <f t="shared" si="1"/>
        <v>45782.5</v>
      </c>
      <c r="E23" s="361">
        <f t="shared" si="2"/>
        <v>13314012.34</v>
      </c>
      <c r="F23" s="364"/>
      <c r="G23" s="362">
        <f>E12*0.05+C19+C20+C21+C22+C23</f>
        <v>2632115.5149999997</v>
      </c>
      <c r="H23" s="294">
        <f>C17+E12*0.25*1/6</f>
        <v>944631.8125</v>
      </c>
      <c r="I23" s="360"/>
      <c r="J23" s="360">
        <f t="shared" si="5"/>
        <v>8080186.1900000004</v>
      </c>
      <c r="K23" s="294">
        <f t="shared" si="3"/>
        <v>1862245.8224999995</v>
      </c>
      <c r="L23" s="360">
        <f t="shared" si="0"/>
        <v>5233826.1499999994</v>
      </c>
      <c r="M23" s="360"/>
    </row>
    <row r="24" spans="1:13" s="977" customFormat="1" ht="36" customHeight="1">
      <c r="A24" s="405" t="s">
        <v>2556</v>
      </c>
      <c r="B24" s="360">
        <v>1308.5</v>
      </c>
      <c r="C24" s="360">
        <v>349385.6</v>
      </c>
      <c r="D24" s="360">
        <f t="shared" si="1"/>
        <v>47091</v>
      </c>
      <c r="E24" s="361">
        <f t="shared" si="2"/>
        <v>13663397.939999999</v>
      </c>
      <c r="F24" s="364"/>
      <c r="G24" s="362">
        <f>E12*0.05+C24+C20+C21+C22+C23</f>
        <v>2352020.1149999998</v>
      </c>
      <c r="H24" s="294">
        <f>C18+E12*0.25*1/6</f>
        <v>739464.8125</v>
      </c>
      <c r="I24" s="360"/>
      <c r="J24" s="360">
        <f t="shared" si="5"/>
        <v>8080186.1900000004</v>
      </c>
      <c r="K24" s="294">
        <f t="shared" si="3"/>
        <v>2601710.6349999998</v>
      </c>
      <c r="L24" s="360">
        <f t="shared" si="0"/>
        <v>5583211.7499999991</v>
      </c>
      <c r="M24" s="360"/>
    </row>
    <row r="25" spans="1:13" s="977" customFormat="1" ht="36" customHeight="1">
      <c r="A25" s="405" t="s">
        <v>2557</v>
      </c>
      <c r="B25" s="360">
        <v>583</v>
      </c>
      <c r="C25" s="360">
        <v>161211.54999999999</v>
      </c>
      <c r="D25" s="360">
        <f t="shared" si="1"/>
        <v>47674</v>
      </c>
      <c r="E25" s="361">
        <f t="shared" si="2"/>
        <v>13824609.49</v>
      </c>
      <c r="F25" s="360"/>
      <c r="G25" s="360">
        <f>E12*0.05+C24+C21+C22+C23+C25</f>
        <v>1793950.665</v>
      </c>
      <c r="H25" s="294">
        <f>C19</f>
        <v>629481</v>
      </c>
      <c r="I25" s="360">
        <v>4580560</v>
      </c>
      <c r="J25" s="360">
        <f t="shared" si="5"/>
        <v>12660746.190000001</v>
      </c>
      <c r="K25" s="294">
        <f t="shared" si="3"/>
        <v>-1349368.3650000002</v>
      </c>
      <c r="L25" s="360">
        <f t="shared" si="0"/>
        <v>1163863.2999999989</v>
      </c>
      <c r="M25" s="360" t="s">
        <v>2558</v>
      </c>
    </row>
    <row r="26" spans="1:13" s="977" customFormat="1" ht="36" customHeight="1">
      <c r="A26" s="711" t="s">
        <v>2559</v>
      </c>
      <c r="B26" s="385">
        <v>2170.5</v>
      </c>
      <c r="C26" s="385">
        <v>653495.93000000005</v>
      </c>
      <c r="D26" s="360">
        <f t="shared" si="1"/>
        <v>49844.5</v>
      </c>
      <c r="E26" s="361">
        <f t="shared" si="2"/>
        <v>14478105.42</v>
      </c>
      <c r="F26" s="385"/>
      <c r="G26" s="360">
        <f>E12*0.05+C25+C22+C23+C24+C26</f>
        <v>2378391.5950000002</v>
      </c>
      <c r="H26" s="294">
        <f>C20</f>
        <v>719281</v>
      </c>
      <c r="I26" s="385">
        <v>745288.16</v>
      </c>
      <c r="J26" s="360">
        <f t="shared" si="5"/>
        <v>13406034.350000001</v>
      </c>
      <c r="K26" s="294">
        <f t="shared" si="3"/>
        <v>-1375375.5250000004</v>
      </c>
      <c r="L26" s="360">
        <f t="shared" si="0"/>
        <v>1072071.0699999984</v>
      </c>
      <c r="M26" s="385" t="s">
        <v>2560</v>
      </c>
    </row>
    <row r="27" spans="1:13" s="977" customFormat="1" ht="36" customHeight="1">
      <c r="A27" s="711" t="s">
        <v>2561</v>
      </c>
      <c r="B27" s="385">
        <v>2646</v>
      </c>
      <c r="C27" s="385">
        <v>796526.32</v>
      </c>
      <c r="D27" s="360">
        <f t="shared" si="1"/>
        <v>52490.5</v>
      </c>
      <c r="E27" s="361">
        <f t="shared" si="2"/>
        <v>15274631.74</v>
      </c>
      <c r="F27" s="385"/>
      <c r="G27" s="385">
        <f>E12*0.05+C25++C24+C26+C27</f>
        <v>2192365.5749999997</v>
      </c>
      <c r="H27" s="294">
        <f>C21+C22</f>
        <v>615252</v>
      </c>
      <c r="I27" s="385">
        <v>112848.09</v>
      </c>
      <c r="J27" s="360">
        <f t="shared" si="5"/>
        <v>13518882.440000001</v>
      </c>
      <c r="K27" s="294">
        <f t="shared" si="3"/>
        <v>-872971.61500000034</v>
      </c>
      <c r="L27" s="360">
        <f t="shared" si="0"/>
        <v>1755749.2999999989</v>
      </c>
      <c r="M27" s="385" t="s">
        <v>2562</v>
      </c>
    </row>
    <row r="28" spans="1:13" s="977" customFormat="1" ht="36" customHeight="1">
      <c r="A28" s="1026"/>
      <c r="B28" s="385"/>
      <c r="C28" s="385"/>
      <c r="D28" s="385"/>
      <c r="E28" s="385"/>
      <c r="F28" s="385"/>
      <c r="G28" s="385"/>
      <c r="H28" s="294">
        <f>C23</f>
        <v>436355.34</v>
      </c>
      <c r="I28" s="385"/>
      <c r="J28" s="385"/>
      <c r="K28" s="294">
        <f t="shared" si="3"/>
        <v>-436616.27500000031</v>
      </c>
      <c r="L28" s="385"/>
      <c r="M28" s="385"/>
    </row>
    <row r="29" spans="1:13" s="977" customFormat="1" ht="36" customHeight="1">
      <c r="A29" s="1619">
        <v>42979</v>
      </c>
      <c r="B29" s="385">
        <v>2646</v>
      </c>
      <c r="C29" s="385">
        <v>796526.32</v>
      </c>
      <c r="D29" s="385">
        <v>52490.5</v>
      </c>
      <c r="E29" s="385">
        <v>15274631.74</v>
      </c>
      <c r="F29" s="385"/>
      <c r="G29" s="385">
        <v>2192365.5749999997</v>
      </c>
      <c r="H29" s="294">
        <v>615252</v>
      </c>
      <c r="I29" s="385">
        <v>112848.09</v>
      </c>
      <c r="J29" s="385">
        <v>13518882.440000001</v>
      </c>
      <c r="K29" s="385">
        <v>-872971.61500000034</v>
      </c>
      <c r="L29" s="385">
        <v>1755749.2999999989</v>
      </c>
      <c r="M29" s="385" t="s">
        <v>2562</v>
      </c>
    </row>
    <row r="30" spans="1:13" s="977" customFormat="1" ht="36" customHeight="1">
      <c r="A30" s="1026"/>
      <c r="B30" s="385"/>
      <c r="C30" s="385"/>
      <c r="D30" s="385"/>
      <c r="E30" s="385"/>
      <c r="F30" s="385"/>
      <c r="G30" s="385"/>
      <c r="H30" s="294"/>
      <c r="I30" s="385"/>
      <c r="J30" s="385"/>
      <c r="K30" s="385"/>
      <c r="L30" s="385"/>
      <c r="M30" s="385"/>
    </row>
    <row r="31" spans="1:13" ht="36" customHeight="1"/>
  </sheetData>
  <mergeCells count="14">
    <mergeCell ref="I1:I2"/>
    <mergeCell ref="M1:M2"/>
    <mergeCell ref="J1:L2"/>
    <mergeCell ref="C1:D1"/>
    <mergeCell ref="B2:C2"/>
    <mergeCell ref="E2:F2"/>
    <mergeCell ref="J3:M3"/>
    <mergeCell ref="B4:D4"/>
    <mergeCell ref="F4:H4"/>
    <mergeCell ref="I4:J4"/>
    <mergeCell ref="B5:E5"/>
    <mergeCell ref="F5:H5"/>
    <mergeCell ref="I5:K5"/>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10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8"/>
  <sheetViews>
    <sheetView topLeftCell="A28" zoomScaleSheetLayoutView="100" workbookViewId="0">
      <selection activeCell="A34" sqref="A34"/>
    </sheetView>
  </sheetViews>
  <sheetFormatPr defaultColWidth="9" defaultRowHeight="14.25"/>
  <cols>
    <col min="1" max="1" width="12.625" bestFit="1" customWidth="1"/>
    <col min="2" max="2" width="16.125" customWidth="1"/>
    <col min="3" max="3" width="14.125" customWidth="1"/>
    <col min="4" max="4" width="13.75" customWidth="1"/>
    <col min="5" max="5" width="18" customWidth="1"/>
    <col min="6" max="6" width="13.375" customWidth="1"/>
    <col min="7" max="7" width="11.5" customWidth="1"/>
    <col min="8" max="8" width="14.75" customWidth="1"/>
    <col min="9" max="9" width="11.625" customWidth="1"/>
    <col min="10" max="10" width="13.875" customWidth="1"/>
    <col min="11" max="11" width="17.25" customWidth="1"/>
    <col min="12" max="12" width="12.25" customWidth="1"/>
    <col min="13" max="13" width="41.875" customWidth="1"/>
  </cols>
  <sheetData>
    <row r="1" spans="1:13" ht="45" customHeight="1">
      <c r="A1" s="1008" t="s">
        <v>348</v>
      </c>
      <c r="B1" s="1009">
        <v>42353</v>
      </c>
      <c r="C1" s="1822" t="s">
        <v>2563</v>
      </c>
      <c r="D1" s="1822"/>
      <c r="E1" s="1008" t="s">
        <v>236</v>
      </c>
      <c r="F1" s="286"/>
      <c r="G1" s="1010" t="s">
        <v>351</v>
      </c>
      <c r="H1" s="1010"/>
      <c r="I1" s="1638" t="s">
        <v>237</v>
      </c>
      <c r="J1" s="2007" t="s">
        <v>2564</v>
      </c>
      <c r="K1" s="2007"/>
      <c r="L1" s="2007"/>
      <c r="M1" s="2006" t="s">
        <v>2565</v>
      </c>
    </row>
    <row r="2" spans="1:13" ht="63" customHeight="1">
      <c r="A2" s="41" t="s">
        <v>240</v>
      </c>
      <c r="B2" s="1637" t="s">
        <v>2566</v>
      </c>
      <c r="C2" s="1637"/>
      <c r="D2" s="41" t="s">
        <v>242</v>
      </c>
      <c r="E2" s="1638"/>
      <c r="F2" s="1638"/>
      <c r="G2" s="41" t="s">
        <v>243</v>
      </c>
      <c r="H2" s="997">
        <v>0.04</v>
      </c>
      <c r="I2" s="1638"/>
      <c r="J2" s="2007"/>
      <c r="K2" s="2013"/>
      <c r="L2" s="2007"/>
      <c r="M2" s="2006"/>
    </row>
    <row r="3" spans="1:13" ht="57" customHeight="1">
      <c r="A3" s="41" t="s">
        <v>247</v>
      </c>
      <c r="B3" s="1637" t="s">
        <v>2567</v>
      </c>
      <c r="C3" s="1637"/>
      <c r="D3" s="41" t="s">
        <v>249</v>
      </c>
      <c r="E3" s="186">
        <v>15000</v>
      </c>
      <c r="F3" s="41" t="s">
        <v>251</v>
      </c>
      <c r="G3" s="41" t="s">
        <v>2568</v>
      </c>
      <c r="H3" s="40" t="s">
        <v>2569</v>
      </c>
      <c r="I3" s="40" t="s">
        <v>425</v>
      </c>
      <c r="J3" s="2008" t="s">
        <v>2570</v>
      </c>
      <c r="K3" s="2014"/>
      <c r="L3" s="2014"/>
      <c r="M3" s="2015"/>
    </row>
    <row r="4" spans="1:13" ht="93" customHeight="1">
      <c r="A4" s="41" t="s">
        <v>257</v>
      </c>
      <c r="B4" s="1637"/>
      <c r="C4" s="1637"/>
      <c r="D4" s="1637"/>
      <c r="E4" s="43" t="s">
        <v>258</v>
      </c>
      <c r="F4" s="1637"/>
      <c r="G4" s="1638"/>
      <c r="H4" s="1638"/>
      <c r="I4" s="1015"/>
      <c r="J4" s="1012" t="s">
        <v>253</v>
      </c>
      <c r="K4" s="40" t="s">
        <v>2571</v>
      </c>
      <c r="L4" s="400" t="s">
        <v>255</v>
      </c>
      <c r="M4" s="271" t="s">
        <v>2572</v>
      </c>
    </row>
    <row r="5" spans="1:13" ht="42" customHeight="1">
      <c r="A5" s="41" t="s">
        <v>260</v>
      </c>
      <c r="B5" s="2001" t="s">
        <v>2573</v>
      </c>
      <c r="C5" s="2001"/>
      <c r="D5" s="2001"/>
      <c r="E5" s="2001"/>
      <c r="F5" s="1647" t="s">
        <v>2574</v>
      </c>
      <c r="G5" s="1647"/>
      <c r="H5" s="1647"/>
      <c r="I5" s="1647"/>
      <c r="J5" s="1647"/>
      <c r="K5" s="1647"/>
      <c r="L5" s="41" t="s">
        <v>245</v>
      </c>
      <c r="M5" s="41" t="s">
        <v>402</v>
      </c>
    </row>
    <row r="6" spans="1:13" ht="30.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365">
        <v>42309</v>
      </c>
      <c r="B7" s="360">
        <v>100</v>
      </c>
      <c r="C7" s="360">
        <v>25270</v>
      </c>
      <c r="D7" s="360">
        <f>B7</f>
        <v>100</v>
      </c>
      <c r="E7" s="360">
        <f>C7</f>
        <v>25270</v>
      </c>
      <c r="F7" s="360"/>
      <c r="G7" s="360">
        <f>E7*0.2</f>
        <v>5054</v>
      </c>
      <c r="H7" s="360"/>
      <c r="I7" s="360"/>
      <c r="J7" s="360"/>
      <c r="K7" s="360"/>
      <c r="L7" s="360">
        <f t="shared" ref="L7:L21" si="0">E7-J7</f>
        <v>25270</v>
      </c>
      <c r="M7" s="360"/>
    </row>
    <row r="8" spans="1:13" s="977" customFormat="1" ht="36" customHeight="1">
      <c r="A8" s="365">
        <v>42339</v>
      </c>
      <c r="B8" s="360">
        <v>226</v>
      </c>
      <c r="C8" s="360">
        <v>59412</v>
      </c>
      <c r="D8" s="360">
        <f t="shared" ref="D8:D33" si="1">D7+B8</f>
        <v>326</v>
      </c>
      <c r="E8" s="360">
        <f t="shared" ref="E8:E33" si="2">C8+E7</f>
        <v>84682</v>
      </c>
      <c r="F8" s="360"/>
      <c r="G8" s="360">
        <f t="shared" ref="G8:G29" si="3">E8*0.2</f>
        <v>16936.400000000001</v>
      </c>
      <c r="H8" s="360">
        <f>C7*0.8</f>
        <v>20216</v>
      </c>
      <c r="I8" s="360"/>
      <c r="J8" s="360"/>
      <c r="K8" s="360">
        <f t="shared" ref="K8:K21" si="4">K7+H8-I8</f>
        <v>20216</v>
      </c>
      <c r="L8" s="360">
        <f t="shared" si="0"/>
        <v>84682</v>
      </c>
      <c r="M8" s="360"/>
    </row>
    <row r="9" spans="1:13" s="977" customFormat="1" ht="36" customHeight="1">
      <c r="A9" s="365">
        <v>42370</v>
      </c>
      <c r="B9" s="360">
        <v>264</v>
      </c>
      <c r="C9" s="360">
        <v>67003</v>
      </c>
      <c r="D9" s="360">
        <f t="shared" si="1"/>
        <v>590</v>
      </c>
      <c r="E9" s="360">
        <f t="shared" si="2"/>
        <v>151685</v>
      </c>
      <c r="F9" s="360"/>
      <c r="G9" s="360">
        <f t="shared" si="3"/>
        <v>30337</v>
      </c>
      <c r="H9" s="360">
        <f t="shared" ref="H9:H30" si="5">C8*0.8</f>
        <v>47529.600000000006</v>
      </c>
      <c r="I9" s="360"/>
      <c r="J9" s="360"/>
      <c r="K9" s="360">
        <f t="shared" si="4"/>
        <v>67745.600000000006</v>
      </c>
      <c r="L9" s="360">
        <f t="shared" si="0"/>
        <v>151685</v>
      </c>
      <c r="M9" s="360" t="s">
        <v>2575</v>
      </c>
    </row>
    <row r="10" spans="1:13" s="977" customFormat="1" ht="36" customHeight="1">
      <c r="A10" s="365">
        <v>42401</v>
      </c>
      <c r="B10" s="360">
        <v>0</v>
      </c>
      <c r="C10" s="360">
        <v>0</v>
      </c>
      <c r="D10" s="360">
        <f t="shared" si="1"/>
        <v>590</v>
      </c>
      <c r="E10" s="360">
        <f t="shared" si="2"/>
        <v>151685</v>
      </c>
      <c r="F10" s="360"/>
      <c r="G10" s="360">
        <f t="shared" si="3"/>
        <v>30337</v>
      </c>
      <c r="H10" s="360">
        <f t="shared" si="5"/>
        <v>53602.400000000001</v>
      </c>
      <c r="I10" s="360">
        <v>50000</v>
      </c>
      <c r="J10" s="360">
        <f>I10+J9</f>
        <v>50000</v>
      </c>
      <c r="K10" s="360">
        <f t="shared" si="4"/>
        <v>71348</v>
      </c>
      <c r="L10" s="360">
        <f t="shared" si="0"/>
        <v>101685</v>
      </c>
      <c r="M10" s="360"/>
    </row>
    <row r="11" spans="1:13" s="977" customFormat="1" ht="36" customHeight="1">
      <c r="A11" s="365">
        <v>42430</v>
      </c>
      <c r="B11" s="360">
        <v>279</v>
      </c>
      <c r="C11" s="360">
        <v>72414</v>
      </c>
      <c r="D11" s="360">
        <f t="shared" si="1"/>
        <v>869</v>
      </c>
      <c r="E11" s="360">
        <f t="shared" si="2"/>
        <v>224099</v>
      </c>
      <c r="F11" s="360"/>
      <c r="G11" s="360">
        <f t="shared" si="3"/>
        <v>44819.8</v>
      </c>
      <c r="H11" s="360">
        <f t="shared" si="5"/>
        <v>0</v>
      </c>
      <c r="I11" s="360"/>
      <c r="J11" s="360">
        <f>I11+J10</f>
        <v>50000</v>
      </c>
      <c r="K11" s="360">
        <f t="shared" si="4"/>
        <v>71348</v>
      </c>
      <c r="L11" s="360">
        <f t="shared" si="0"/>
        <v>174099</v>
      </c>
      <c r="M11" s="360"/>
    </row>
    <row r="12" spans="1:13" s="977" customFormat="1" ht="36" customHeight="1">
      <c r="A12" s="365">
        <v>42461</v>
      </c>
      <c r="B12" s="360">
        <v>1103</v>
      </c>
      <c r="C12" s="360">
        <v>324105.28000000003</v>
      </c>
      <c r="D12" s="360">
        <f t="shared" si="1"/>
        <v>1972</v>
      </c>
      <c r="E12" s="360">
        <f t="shared" si="2"/>
        <v>548204.28</v>
      </c>
      <c r="F12" s="360"/>
      <c r="G12" s="360">
        <f t="shared" si="3"/>
        <v>109640.85600000001</v>
      </c>
      <c r="H12" s="360">
        <f t="shared" si="5"/>
        <v>57931.200000000004</v>
      </c>
      <c r="I12" s="360"/>
      <c r="J12" s="360">
        <f>I12+J11</f>
        <v>50000</v>
      </c>
      <c r="K12" s="360">
        <f t="shared" si="4"/>
        <v>129279.20000000001</v>
      </c>
      <c r="L12" s="360">
        <f t="shared" si="0"/>
        <v>498204.28</v>
      </c>
      <c r="M12" s="360"/>
    </row>
    <row r="13" spans="1:13" s="977" customFormat="1" ht="36" customHeight="1">
      <c r="A13" s="365">
        <v>42491</v>
      </c>
      <c r="B13" s="360">
        <v>1645.5</v>
      </c>
      <c r="C13" s="360">
        <v>451520.5</v>
      </c>
      <c r="D13" s="360">
        <f t="shared" si="1"/>
        <v>3617.5</v>
      </c>
      <c r="E13" s="360">
        <f t="shared" si="2"/>
        <v>999724.78</v>
      </c>
      <c r="F13" s="360"/>
      <c r="G13" s="360">
        <f t="shared" si="3"/>
        <v>199944.95600000001</v>
      </c>
      <c r="H13" s="360">
        <f t="shared" si="5"/>
        <v>259284.22400000005</v>
      </c>
      <c r="I13" s="360">
        <v>200000</v>
      </c>
      <c r="J13" s="360">
        <f>I13+J12</f>
        <v>250000</v>
      </c>
      <c r="K13" s="360">
        <f t="shared" si="4"/>
        <v>188563.42400000006</v>
      </c>
      <c r="L13" s="360">
        <f t="shared" si="0"/>
        <v>749724.78</v>
      </c>
      <c r="M13" s="360" t="s">
        <v>2576</v>
      </c>
    </row>
    <row r="14" spans="1:13" s="977" customFormat="1" ht="36" customHeight="1">
      <c r="A14" s="365">
        <v>42522</v>
      </c>
      <c r="B14" s="360">
        <v>1187.5</v>
      </c>
      <c r="C14" s="360">
        <v>325332.5</v>
      </c>
      <c r="D14" s="360">
        <f t="shared" si="1"/>
        <v>4805</v>
      </c>
      <c r="E14" s="360">
        <f t="shared" si="2"/>
        <v>1325057.28</v>
      </c>
      <c r="F14" s="360"/>
      <c r="G14" s="360">
        <f t="shared" si="3"/>
        <v>265011.45600000001</v>
      </c>
      <c r="H14" s="360">
        <f t="shared" si="5"/>
        <v>361216.4</v>
      </c>
      <c r="I14" s="360"/>
      <c r="J14" s="360">
        <f>I14+J13</f>
        <v>250000</v>
      </c>
      <c r="K14" s="360">
        <f t="shared" si="4"/>
        <v>549779.82400000002</v>
      </c>
      <c r="L14" s="360">
        <f t="shared" si="0"/>
        <v>1075057.28</v>
      </c>
      <c r="M14" s="360" t="s">
        <v>2577</v>
      </c>
    </row>
    <row r="15" spans="1:13" s="977" customFormat="1" ht="36" customHeight="1">
      <c r="A15" s="365">
        <v>42552</v>
      </c>
      <c r="B15" s="360">
        <v>972.5</v>
      </c>
      <c r="C15" s="360">
        <v>258946.5</v>
      </c>
      <c r="D15" s="360">
        <f t="shared" si="1"/>
        <v>5777.5</v>
      </c>
      <c r="E15" s="360">
        <f t="shared" si="2"/>
        <v>1584003.78</v>
      </c>
      <c r="F15" s="360"/>
      <c r="G15" s="360">
        <f t="shared" si="3"/>
        <v>316800.75600000005</v>
      </c>
      <c r="H15" s="360">
        <f t="shared" si="5"/>
        <v>260266</v>
      </c>
      <c r="I15" s="360">
        <v>300000</v>
      </c>
      <c r="J15" s="360">
        <f t="shared" ref="J15:J33" si="6">I15+J14</f>
        <v>550000</v>
      </c>
      <c r="K15" s="360">
        <f t="shared" si="4"/>
        <v>510045.82400000002</v>
      </c>
      <c r="L15" s="360">
        <f t="shared" si="0"/>
        <v>1034003.78</v>
      </c>
      <c r="M15" s="360" t="s">
        <v>2578</v>
      </c>
    </row>
    <row r="16" spans="1:13" s="977" customFormat="1" ht="36" customHeight="1">
      <c r="A16" s="365">
        <v>42583</v>
      </c>
      <c r="B16" s="360">
        <v>729</v>
      </c>
      <c r="C16" s="360">
        <v>196504</v>
      </c>
      <c r="D16" s="360">
        <f t="shared" si="1"/>
        <v>6506.5</v>
      </c>
      <c r="E16" s="360">
        <f t="shared" si="2"/>
        <v>1780507.78</v>
      </c>
      <c r="F16" s="360"/>
      <c r="G16" s="360">
        <f t="shared" si="3"/>
        <v>356101.55600000004</v>
      </c>
      <c r="H16" s="360">
        <f t="shared" si="5"/>
        <v>207157.2</v>
      </c>
      <c r="I16" s="360">
        <v>400000</v>
      </c>
      <c r="J16" s="360">
        <f t="shared" si="6"/>
        <v>950000</v>
      </c>
      <c r="K16" s="360">
        <f t="shared" si="4"/>
        <v>317203.02399999998</v>
      </c>
      <c r="L16" s="360">
        <f t="shared" si="0"/>
        <v>830507.78</v>
      </c>
      <c r="M16" s="360"/>
    </row>
    <row r="17" spans="1:13" s="977" customFormat="1" ht="36" customHeight="1">
      <c r="A17" s="365">
        <v>42614</v>
      </c>
      <c r="B17" s="360">
        <v>572</v>
      </c>
      <c r="C17" s="402">
        <v>150890.5</v>
      </c>
      <c r="D17" s="360">
        <f t="shared" si="1"/>
        <v>7078.5</v>
      </c>
      <c r="E17" s="360">
        <f t="shared" si="2"/>
        <v>1931398.28</v>
      </c>
      <c r="F17" s="360"/>
      <c r="G17" s="360">
        <f t="shared" si="3"/>
        <v>386279.65600000002</v>
      </c>
      <c r="H17" s="360">
        <f t="shared" si="5"/>
        <v>157203.20000000001</v>
      </c>
      <c r="I17" s="360">
        <v>320000</v>
      </c>
      <c r="J17" s="360">
        <f t="shared" si="6"/>
        <v>1270000</v>
      </c>
      <c r="K17" s="360">
        <f t="shared" si="4"/>
        <v>154406.22399999999</v>
      </c>
      <c r="L17" s="360">
        <f t="shared" si="0"/>
        <v>661398.28</v>
      </c>
      <c r="M17" s="360" t="s">
        <v>2579</v>
      </c>
    </row>
    <row r="18" spans="1:13" s="977" customFormat="1" ht="36" customHeight="1">
      <c r="A18" s="365">
        <v>42644</v>
      </c>
      <c r="B18" s="360">
        <v>1327</v>
      </c>
      <c r="C18" s="360">
        <v>453747.86</v>
      </c>
      <c r="D18" s="360">
        <f t="shared" si="1"/>
        <v>8405.5</v>
      </c>
      <c r="E18" s="360">
        <f t="shared" si="2"/>
        <v>2385146.14</v>
      </c>
      <c r="F18" s="360"/>
      <c r="G18" s="360">
        <f t="shared" si="3"/>
        <v>477029.22800000006</v>
      </c>
      <c r="H18" s="360">
        <f t="shared" si="5"/>
        <v>120712.40000000001</v>
      </c>
      <c r="I18" s="360">
        <v>450000</v>
      </c>
      <c r="J18" s="360">
        <f t="shared" si="6"/>
        <v>1720000</v>
      </c>
      <c r="K18" s="360">
        <f t="shared" si="4"/>
        <v>-174881.37599999999</v>
      </c>
      <c r="L18" s="360">
        <f t="shared" si="0"/>
        <v>665146.14000000013</v>
      </c>
      <c r="M18" s="360" t="s">
        <v>2580</v>
      </c>
    </row>
    <row r="19" spans="1:13" s="977" customFormat="1" ht="36" customHeight="1">
      <c r="A19" s="365">
        <v>42675</v>
      </c>
      <c r="B19" s="360">
        <v>391</v>
      </c>
      <c r="C19" s="360">
        <v>113691.5</v>
      </c>
      <c r="D19" s="360">
        <f t="shared" si="1"/>
        <v>8796.5</v>
      </c>
      <c r="E19" s="360">
        <f t="shared" si="2"/>
        <v>2498837.64</v>
      </c>
      <c r="F19" s="360"/>
      <c r="G19" s="360">
        <f t="shared" si="3"/>
        <v>499767.52800000005</v>
      </c>
      <c r="H19" s="360">
        <f t="shared" si="5"/>
        <v>362998.288</v>
      </c>
      <c r="I19" s="360">
        <v>100000</v>
      </c>
      <c r="J19" s="360">
        <f t="shared" si="6"/>
        <v>1820000</v>
      </c>
      <c r="K19" s="294">
        <f t="shared" si="4"/>
        <v>88116.912000000011</v>
      </c>
      <c r="L19" s="360">
        <f t="shared" si="0"/>
        <v>678837.64000000013</v>
      </c>
      <c r="M19" s="360" t="s">
        <v>2581</v>
      </c>
    </row>
    <row r="20" spans="1:13" s="977" customFormat="1" ht="36" customHeight="1">
      <c r="A20" s="365">
        <v>42705</v>
      </c>
      <c r="B20" s="360">
        <v>794.5</v>
      </c>
      <c r="C20" s="360">
        <v>251349.5</v>
      </c>
      <c r="D20" s="360">
        <f t="shared" si="1"/>
        <v>9591</v>
      </c>
      <c r="E20" s="360">
        <f t="shared" si="2"/>
        <v>2750187.14</v>
      </c>
      <c r="F20" s="360"/>
      <c r="G20" s="360">
        <f t="shared" si="3"/>
        <v>550037.42800000007</v>
      </c>
      <c r="H20" s="360">
        <f t="shared" si="5"/>
        <v>90953.200000000012</v>
      </c>
      <c r="I20" s="360">
        <v>120000</v>
      </c>
      <c r="J20" s="360">
        <f t="shared" si="6"/>
        <v>1940000</v>
      </c>
      <c r="K20" s="294">
        <f t="shared" si="4"/>
        <v>59070.112000000023</v>
      </c>
      <c r="L20" s="360">
        <f t="shared" si="0"/>
        <v>810187.14000000013</v>
      </c>
      <c r="M20" s="360" t="s">
        <v>2582</v>
      </c>
    </row>
    <row r="21" spans="1:13" s="977" customFormat="1" ht="36" customHeight="1">
      <c r="A21" s="365">
        <v>42736</v>
      </c>
      <c r="B21" s="360">
        <v>327</v>
      </c>
      <c r="C21" s="360">
        <v>114479.5</v>
      </c>
      <c r="D21" s="360">
        <f t="shared" si="1"/>
        <v>9918</v>
      </c>
      <c r="E21" s="360">
        <f t="shared" si="2"/>
        <v>2864666.64</v>
      </c>
      <c r="F21" s="360"/>
      <c r="G21" s="360">
        <f t="shared" si="3"/>
        <v>572933.3280000001</v>
      </c>
      <c r="H21" s="360">
        <f t="shared" si="5"/>
        <v>201079.6</v>
      </c>
      <c r="I21" s="360">
        <v>300000</v>
      </c>
      <c r="J21" s="360">
        <f t="shared" si="6"/>
        <v>2240000</v>
      </c>
      <c r="K21" s="294">
        <f t="shared" si="4"/>
        <v>-39850.287999999971</v>
      </c>
      <c r="L21" s="360">
        <f t="shared" si="0"/>
        <v>624666.64000000013</v>
      </c>
      <c r="M21" s="360" t="s">
        <v>2583</v>
      </c>
    </row>
    <row r="22" spans="1:13" s="977" customFormat="1" ht="36" customHeight="1">
      <c r="A22" s="405" t="s">
        <v>2584</v>
      </c>
      <c r="B22" s="360"/>
      <c r="C22" s="360">
        <v>17041</v>
      </c>
      <c r="D22" s="360">
        <f t="shared" si="1"/>
        <v>9918</v>
      </c>
      <c r="E22" s="360">
        <f t="shared" si="2"/>
        <v>2881707.64</v>
      </c>
      <c r="F22" s="360"/>
      <c r="G22" s="360">
        <f t="shared" si="3"/>
        <v>576341.52800000005</v>
      </c>
      <c r="H22" s="360">
        <f t="shared" si="5"/>
        <v>91583.6</v>
      </c>
      <c r="I22" s="360"/>
      <c r="J22" s="360">
        <f t="shared" si="6"/>
        <v>2240000</v>
      </c>
      <c r="K22" s="294">
        <f t="shared" ref="K22:K34" si="7">K21+H22-I22</f>
        <v>51733.312000000034</v>
      </c>
      <c r="L22" s="360">
        <f t="shared" ref="L22:L33" si="8">E22-J22</f>
        <v>641707.64000000013</v>
      </c>
      <c r="M22" s="360"/>
    </row>
    <row r="23" spans="1:13" s="977" customFormat="1" ht="36" customHeight="1">
      <c r="A23" s="405" t="s">
        <v>2585</v>
      </c>
      <c r="B23" s="360"/>
      <c r="C23" s="360">
        <v>11386</v>
      </c>
      <c r="D23" s="360">
        <f t="shared" si="1"/>
        <v>9918</v>
      </c>
      <c r="E23" s="360">
        <f t="shared" si="2"/>
        <v>2893093.64</v>
      </c>
      <c r="F23" s="360"/>
      <c r="G23" s="360">
        <f t="shared" si="3"/>
        <v>578618.728</v>
      </c>
      <c r="H23" s="360">
        <f t="shared" si="5"/>
        <v>13632.800000000001</v>
      </c>
      <c r="I23" s="360"/>
      <c r="J23" s="360">
        <f t="shared" si="6"/>
        <v>2240000</v>
      </c>
      <c r="K23" s="294">
        <f t="shared" si="7"/>
        <v>65366.112000000037</v>
      </c>
      <c r="L23" s="360">
        <f t="shared" si="8"/>
        <v>653093.64000000013</v>
      </c>
      <c r="M23" s="360"/>
    </row>
    <row r="24" spans="1:13" s="977" customFormat="1" ht="36" customHeight="1">
      <c r="A24" s="405" t="s">
        <v>2586</v>
      </c>
      <c r="B24" s="360"/>
      <c r="C24" s="360">
        <v>19392.5</v>
      </c>
      <c r="D24" s="360">
        <f t="shared" si="1"/>
        <v>9918</v>
      </c>
      <c r="E24" s="360">
        <f t="shared" si="2"/>
        <v>2912486.14</v>
      </c>
      <c r="F24" s="360"/>
      <c r="G24" s="360">
        <f t="shared" si="3"/>
        <v>582497.228</v>
      </c>
      <c r="H24" s="360">
        <f t="shared" si="5"/>
        <v>9108.8000000000011</v>
      </c>
      <c r="I24" s="360"/>
      <c r="J24" s="360">
        <f t="shared" si="6"/>
        <v>2240000</v>
      </c>
      <c r="K24" s="294">
        <f t="shared" si="7"/>
        <v>74474.91200000004</v>
      </c>
      <c r="L24" s="360">
        <f t="shared" si="8"/>
        <v>672486.14000000013</v>
      </c>
      <c r="M24" s="360"/>
    </row>
    <row r="25" spans="1:13" s="977" customFormat="1" ht="36" customHeight="1">
      <c r="A25" s="405">
        <v>42767</v>
      </c>
      <c r="B25" s="360">
        <v>1017.5</v>
      </c>
      <c r="C25" s="360">
        <v>363899</v>
      </c>
      <c r="D25" s="360">
        <f t="shared" si="1"/>
        <v>10935.5</v>
      </c>
      <c r="E25" s="360">
        <f t="shared" si="2"/>
        <v>3276385.14</v>
      </c>
      <c r="F25" s="360"/>
      <c r="G25" s="360">
        <f t="shared" si="3"/>
        <v>655277.02800000005</v>
      </c>
      <c r="H25" s="360">
        <f t="shared" si="5"/>
        <v>15514</v>
      </c>
      <c r="I25" s="360"/>
      <c r="J25" s="360">
        <f t="shared" si="6"/>
        <v>2240000</v>
      </c>
      <c r="K25" s="294">
        <f t="shared" si="7"/>
        <v>89988.91200000004</v>
      </c>
      <c r="L25" s="360">
        <f t="shared" si="8"/>
        <v>1036385.1400000001</v>
      </c>
      <c r="M25" s="360"/>
    </row>
    <row r="26" spans="1:13" s="977" customFormat="1" ht="36" customHeight="1">
      <c r="A26" s="405">
        <v>42795</v>
      </c>
      <c r="B26" s="360">
        <v>1222.5</v>
      </c>
      <c r="C26" s="360">
        <v>428358</v>
      </c>
      <c r="D26" s="360">
        <f t="shared" si="1"/>
        <v>12158</v>
      </c>
      <c r="E26" s="360">
        <f t="shared" si="2"/>
        <v>3704743.14</v>
      </c>
      <c r="F26" s="360"/>
      <c r="G26" s="360">
        <f t="shared" si="3"/>
        <v>740948.62800000003</v>
      </c>
      <c r="H26" s="360">
        <f t="shared" si="5"/>
        <v>291119.2</v>
      </c>
      <c r="I26" s="360">
        <v>100000</v>
      </c>
      <c r="J26" s="360">
        <f t="shared" si="6"/>
        <v>2340000</v>
      </c>
      <c r="K26" s="294">
        <f t="shared" si="7"/>
        <v>281108.11200000008</v>
      </c>
      <c r="L26" s="360">
        <f t="shared" si="8"/>
        <v>1364743.1400000001</v>
      </c>
      <c r="M26" s="360" t="s">
        <v>2587</v>
      </c>
    </row>
    <row r="27" spans="1:13" s="977" customFormat="1" ht="36" customHeight="1">
      <c r="A27" s="405">
        <v>42826</v>
      </c>
      <c r="B27" s="360">
        <v>949</v>
      </c>
      <c r="C27" s="360">
        <v>399900.14</v>
      </c>
      <c r="D27" s="360">
        <f t="shared" si="1"/>
        <v>13107</v>
      </c>
      <c r="E27" s="360">
        <f t="shared" si="2"/>
        <v>4104643.2800000003</v>
      </c>
      <c r="F27" s="360"/>
      <c r="G27" s="360">
        <f t="shared" si="3"/>
        <v>820928.65600000008</v>
      </c>
      <c r="H27" s="360">
        <f t="shared" si="5"/>
        <v>342686.4</v>
      </c>
      <c r="I27" s="360"/>
      <c r="J27" s="360">
        <f t="shared" si="6"/>
        <v>2340000</v>
      </c>
      <c r="K27" s="294">
        <f t="shared" si="7"/>
        <v>623794.5120000001</v>
      </c>
      <c r="L27" s="360">
        <f t="shared" si="8"/>
        <v>1764643.2800000003</v>
      </c>
      <c r="M27" s="360"/>
    </row>
    <row r="28" spans="1:13" s="977" customFormat="1" ht="36" customHeight="1">
      <c r="A28" s="405" t="s">
        <v>434</v>
      </c>
      <c r="B28" s="360"/>
      <c r="C28" s="360">
        <v>-15007</v>
      </c>
      <c r="D28" s="360">
        <f t="shared" si="1"/>
        <v>13107</v>
      </c>
      <c r="E28" s="360">
        <f t="shared" si="2"/>
        <v>4089636.2800000003</v>
      </c>
      <c r="F28" s="360"/>
      <c r="G28" s="360">
        <f t="shared" si="3"/>
        <v>817927.25600000005</v>
      </c>
      <c r="H28" s="360">
        <f t="shared" si="5"/>
        <v>319920.11200000002</v>
      </c>
      <c r="I28" s="360"/>
      <c r="J28" s="360">
        <f t="shared" si="6"/>
        <v>2340000</v>
      </c>
      <c r="K28" s="294">
        <f t="shared" si="7"/>
        <v>943714.62400000007</v>
      </c>
      <c r="L28" s="360">
        <f t="shared" si="8"/>
        <v>1749636.2800000003</v>
      </c>
      <c r="M28" s="360"/>
    </row>
    <row r="29" spans="1:13" s="977" customFormat="1" ht="36" customHeight="1">
      <c r="A29" s="405">
        <v>42856</v>
      </c>
      <c r="B29" s="360">
        <v>1546</v>
      </c>
      <c r="C29" s="360">
        <v>513461.5</v>
      </c>
      <c r="D29" s="360">
        <f t="shared" si="1"/>
        <v>14653</v>
      </c>
      <c r="E29" s="360">
        <f t="shared" si="2"/>
        <v>4603097.78</v>
      </c>
      <c r="F29" s="360"/>
      <c r="G29" s="360">
        <f t="shared" si="3"/>
        <v>920619.5560000001</v>
      </c>
      <c r="H29" s="360">
        <f t="shared" si="5"/>
        <v>-12005.6</v>
      </c>
      <c r="I29" s="360">
        <f>600000+250000</f>
        <v>850000</v>
      </c>
      <c r="J29" s="360">
        <f t="shared" si="6"/>
        <v>3190000</v>
      </c>
      <c r="K29" s="294">
        <f t="shared" si="7"/>
        <v>81709.024000000092</v>
      </c>
      <c r="L29" s="360">
        <f t="shared" si="8"/>
        <v>1413097.7800000003</v>
      </c>
      <c r="M29" s="360" t="s">
        <v>2588</v>
      </c>
    </row>
    <row r="30" spans="1:13" s="977" customFormat="1" ht="36" customHeight="1">
      <c r="A30" s="405">
        <v>42887</v>
      </c>
      <c r="B30" s="360">
        <v>994</v>
      </c>
      <c r="C30" s="360">
        <v>328355.5</v>
      </c>
      <c r="D30" s="360">
        <f t="shared" si="1"/>
        <v>15647</v>
      </c>
      <c r="E30" s="360">
        <f t="shared" si="2"/>
        <v>4931453.28</v>
      </c>
      <c r="F30" s="360"/>
      <c r="G30" s="360">
        <f>E29*0.05+(E29*0.15*2/3)</f>
        <v>690464.66700000002</v>
      </c>
      <c r="H30" s="360">
        <f t="shared" si="5"/>
        <v>410769.2</v>
      </c>
      <c r="I30" s="360">
        <v>260000</v>
      </c>
      <c r="J30" s="360">
        <f t="shared" si="6"/>
        <v>3450000</v>
      </c>
      <c r="K30" s="294">
        <f t="shared" si="7"/>
        <v>232478.2240000001</v>
      </c>
      <c r="L30" s="360">
        <f t="shared" si="8"/>
        <v>1481453.2800000003</v>
      </c>
      <c r="M30" s="360" t="s">
        <v>2589</v>
      </c>
    </row>
    <row r="31" spans="1:13" s="977" customFormat="1" ht="36" customHeight="1">
      <c r="A31" s="405">
        <v>42917</v>
      </c>
      <c r="B31" s="360">
        <v>823.5</v>
      </c>
      <c r="C31" s="360">
        <v>257683</v>
      </c>
      <c r="D31" s="360">
        <f t="shared" si="1"/>
        <v>16470.5</v>
      </c>
      <c r="E31" s="360">
        <f t="shared" si="2"/>
        <v>5189136.28</v>
      </c>
      <c r="F31" s="360"/>
      <c r="G31" s="360">
        <f>E29*0.05+(E29*0.15*1/3)</f>
        <v>460309.77800000005</v>
      </c>
      <c r="H31" s="360">
        <f>C30+(E29*0.15*1/3)</f>
        <v>558510.38899999997</v>
      </c>
      <c r="I31" s="360">
        <v>410000</v>
      </c>
      <c r="J31" s="360">
        <f t="shared" si="6"/>
        <v>3860000</v>
      </c>
      <c r="K31" s="294">
        <f t="shared" si="7"/>
        <v>380988.61300000013</v>
      </c>
      <c r="L31" s="360">
        <f t="shared" si="8"/>
        <v>1329136.2800000003</v>
      </c>
      <c r="M31" s="360" t="s">
        <v>2590</v>
      </c>
    </row>
    <row r="32" spans="1:13" s="977" customFormat="1" ht="36" customHeight="1">
      <c r="A32" s="405" t="s">
        <v>687</v>
      </c>
      <c r="B32" s="360"/>
      <c r="C32" s="360">
        <v>-6938</v>
      </c>
      <c r="D32" s="360">
        <f t="shared" si="1"/>
        <v>16470.5</v>
      </c>
      <c r="E32" s="360">
        <f t="shared" si="2"/>
        <v>5182198.28</v>
      </c>
      <c r="F32" s="360"/>
      <c r="G32" s="360">
        <f>E29*0.05+(E29*0.15*2/3)</f>
        <v>690464.66700000002</v>
      </c>
      <c r="H32" s="360">
        <f>C31+(E29*0.15*1/3)</f>
        <v>487837.88899999997</v>
      </c>
      <c r="I32" s="360"/>
      <c r="J32" s="360">
        <f t="shared" si="6"/>
        <v>3860000</v>
      </c>
      <c r="K32" s="294">
        <f t="shared" si="7"/>
        <v>868826.50200000009</v>
      </c>
      <c r="L32" s="360">
        <f t="shared" si="8"/>
        <v>1322198.2800000003</v>
      </c>
      <c r="M32" s="360"/>
    </row>
    <row r="33" spans="1:13" s="977" customFormat="1" ht="36" customHeight="1">
      <c r="A33" s="405">
        <v>42948</v>
      </c>
      <c r="B33" s="360">
        <v>740.5</v>
      </c>
      <c r="C33" s="360">
        <v>222423.5</v>
      </c>
      <c r="D33" s="360">
        <f t="shared" si="1"/>
        <v>17211</v>
      </c>
      <c r="E33" s="360">
        <f t="shared" si="2"/>
        <v>5404621.7800000003</v>
      </c>
      <c r="F33" s="360"/>
      <c r="G33" s="360">
        <f>E29*0.05</f>
        <v>230154.88900000002</v>
      </c>
      <c r="H33" s="360">
        <f>C32</f>
        <v>-6938</v>
      </c>
      <c r="I33" s="360">
        <f>970000-250000</f>
        <v>720000</v>
      </c>
      <c r="J33" s="360">
        <f t="shared" si="6"/>
        <v>4580000</v>
      </c>
      <c r="K33" s="294">
        <f t="shared" si="7"/>
        <v>141888.50200000009</v>
      </c>
      <c r="L33" s="360">
        <f t="shared" si="8"/>
        <v>824621.78000000026</v>
      </c>
      <c r="M33" s="360" t="s">
        <v>2591</v>
      </c>
    </row>
    <row r="34" spans="1:13" s="977" customFormat="1" ht="36" customHeight="1">
      <c r="A34" s="405"/>
      <c r="B34" s="360"/>
      <c r="C34" s="360"/>
      <c r="D34" s="360"/>
      <c r="E34" s="360"/>
      <c r="F34" s="360"/>
      <c r="G34" s="360"/>
      <c r="H34" s="360">
        <f>C33+(E29*0.15*1/3)</f>
        <v>452578.38899999997</v>
      </c>
      <c r="I34" s="360"/>
      <c r="J34" s="360"/>
      <c r="K34" s="294">
        <f t="shared" si="7"/>
        <v>594466.89100000006</v>
      </c>
      <c r="L34" s="360"/>
      <c r="M34" s="360"/>
    </row>
    <row r="35" spans="1:13" s="977" customFormat="1" ht="36" customHeight="1">
      <c r="A35" s="405"/>
      <c r="B35" s="360"/>
      <c r="C35" s="360"/>
      <c r="D35" s="360"/>
      <c r="E35" s="360"/>
      <c r="F35" s="360"/>
      <c r="G35" s="360"/>
      <c r="H35" s="360"/>
      <c r="I35" s="360"/>
      <c r="J35" s="360"/>
      <c r="K35" s="294"/>
      <c r="L35" s="360"/>
      <c r="M35" s="360"/>
    </row>
    <row r="36" spans="1:13" s="977" customFormat="1" ht="36" customHeight="1">
      <c r="A36" s="405"/>
      <c r="B36" s="360"/>
      <c r="C36" s="360"/>
      <c r="D36" s="360"/>
      <c r="E36" s="360"/>
      <c r="F36" s="360"/>
      <c r="G36" s="360"/>
      <c r="H36" s="360"/>
      <c r="I36" s="360"/>
      <c r="J36" s="360"/>
      <c r="K36" s="294"/>
      <c r="L36" s="360"/>
      <c r="M36" s="360"/>
    </row>
    <row r="37" spans="1:13" s="977" customFormat="1" ht="36" customHeight="1">
      <c r="A37" s="1002"/>
      <c r="B37" s="360"/>
      <c r="C37" s="360"/>
      <c r="D37" s="360"/>
      <c r="E37" s="360"/>
      <c r="F37" s="360"/>
      <c r="G37" s="360"/>
      <c r="H37" s="360"/>
      <c r="I37" s="360"/>
      <c r="J37" s="360"/>
      <c r="K37" s="360"/>
      <c r="L37" s="360"/>
      <c r="M37" s="360"/>
    </row>
    <row r="38"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legacy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topLeftCell="A10" zoomScaleSheetLayoutView="100" workbookViewId="0">
      <selection activeCell="B15" sqref="B15:M15"/>
    </sheetView>
  </sheetViews>
  <sheetFormatPr defaultColWidth="9" defaultRowHeight="14.25"/>
  <cols>
    <col min="1" max="1" width="17.25" customWidth="1"/>
    <col min="2" max="2" width="16.125" customWidth="1"/>
    <col min="3" max="3" width="14.125" customWidth="1"/>
    <col min="4" max="4" width="13.75" customWidth="1"/>
    <col min="5" max="5" width="18" customWidth="1"/>
    <col min="6" max="6" width="13.375" customWidth="1"/>
    <col min="7" max="7" width="11.5" customWidth="1"/>
    <col min="8" max="8" width="12.75" customWidth="1"/>
    <col min="9" max="9" width="11.625" customWidth="1"/>
    <col min="10" max="10" width="13.875" customWidth="1"/>
    <col min="11" max="11" width="14.375" customWidth="1"/>
    <col min="12" max="12" width="12.25" customWidth="1"/>
    <col min="13" max="13" width="37.125" customWidth="1"/>
  </cols>
  <sheetData>
    <row r="1" spans="1:13" ht="45" customHeight="1">
      <c r="A1" s="1008" t="s">
        <v>348</v>
      </c>
      <c r="B1" s="1009"/>
      <c r="C1" s="1822" t="s">
        <v>2592</v>
      </c>
      <c r="D1" s="1822"/>
      <c r="E1" s="1008" t="s">
        <v>236</v>
      </c>
      <c r="F1" s="286"/>
      <c r="G1" s="1010" t="s">
        <v>351</v>
      </c>
      <c r="H1" s="68" t="s">
        <v>2593</v>
      </c>
      <c r="I1" s="1638" t="s">
        <v>237</v>
      </c>
      <c r="J1" s="2007" t="s">
        <v>2594</v>
      </c>
      <c r="K1" s="2007"/>
      <c r="L1" s="2007"/>
      <c r="M1" s="2002" t="s">
        <v>2595</v>
      </c>
    </row>
    <row r="2" spans="1:13" ht="56.1" customHeight="1">
      <c r="A2" s="41" t="s">
        <v>240</v>
      </c>
      <c r="B2" s="1637" t="s">
        <v>2596</v>
      </c>
      <c r="C2" s="1637"/>
      <c r="D2" s="41" t="s">
        <v>242</v>
      </c>
      <c r="E2" s="1638"/>
      <c r="F2" s="1638"/>
      <c r="G2" s="41" t="s">
        <v>243</v>
      </c>
      <c r="H2" s="1014"/>
      <c r="I2" s="1652"/>
      <c r="J2" s="2007"/>
      <c r="K2" s="2007"/>
      <c r="L2" s="2007"/>
      <c r="M2" s="2002"/>
    </row>
    <row r="3" spans="1:13" ht="87" customHeight="1">
      <c r="A3" s="41" t="s">
        <v>247</v>
      </c>
      <c r="B3" s="1637" t="s">
        <v>2597</v>
      </c>
      <c r="C3" s="1637"/>
      <c r="D3" s="41" t="s">
        <v>249</v>
      </c>
      <c r="E3" s="186" t="s">
        <v>2598</v>
      </c>
      <c r="F3" s="41" t="s">
        <v>251</v>
      </c>
      <c r="G3" s="41" t="s">
        <v>1341</v>
      </c>
      <c r="H3" s="1021" t="s">
        <v>2599</v>
      </c>
      <c r="I3" s="40" t="s">
        <v>425</v>
      </c>
      <c r="J3" s="2003" t="s">
        <v>2600</v>
      </c>
      <c r="K3" s="2003"/>
      <c r="L3" s="2003"/>
      <c r="M3" s="2004"/>
    </row>
    <row r="4" spans="1:13" ht="72" customHeight="1">
      <c r="A4" s="41" t="s">
        <v>257</v>
      </c>
      <c r="B4" s="1637"/>
      <c r="C4" s="1637"/>
      <c r="D4" s="1637"/>
      <c r="E4" s="43" t="s">
        <v>258</v>
      </c>
      <c r="F4" s="1638"/>
      <c r="G4" s="1638"/>
      <c r="H4" s="1638"/>
      <c r="I4" s="1022"/>
      <c r="J4" s="91" t="s">
        <v>253</v>
      </c>
      <c r="K4" s="40"/>
      <c r="L4" s="15" t="s">
        <v>255</v>
      </c>
      <c r="M4" s="271"/>
    </row>
    <row r="5" spans="1:13" ht="87" customHeight="1">
      <c r="A5" s="41" t="s">
        <v>260</v>
      </c>
      <c r="B5" s="2001" t="s">
        <v>2601</v>
      </c>
      <c r="C5" s="2001"/>
      <c r="D5" s="2001"/>
      <c r="E5" s="2001"/>
      <c r="F5" s="463"/>
      <c r="G5" s="463"/>
      <c r="H5" s="463"/>
      <c r="I5" s="1022"/>
      <c r="J5" s="463"/>
      <c r="K5" s="463"/>
      <c r="L5" s="41" t="s">
        <v>245</v>
      </c>
      <c r="M5" s="41" t="s">
        <v>2602</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t="s">
        <v>2603</v>
      </c>
      <c r="B7" s="360">
        <v>611</v>
      </c>
      <c r="C7" s="360">
        <v>160234</v>
      </c>
      <c r="D7" s="360">
        <f>B7</f>
        <v>611</v>
      </c>
      <c r="E7" s="360">
        <f>C7</f>
        <v>160234</v>
      </c>
      <c r="F7" s="360"/>
      <c r="G7" s="360">
        <f t="shared" ref="G7:G13" si="0">E7*0.3</f>
        <v>48070.2</v>
      </c>
      <c r="H7" s="360"/>
      <c r="I7" s="360"/>
      <c r="J7" s="360"/>
      <c r="K7" s="360"/>
      <c r="L7" s="360">
        <f t="shared" ref="L7:L13" si="1">E7-J7</f>
        <v>160234</v>
      </c>
      <c r="M7" s="360"/>
    </row>
    <row r="8" spans="1:13" s="977" customFormat="1" ht="36" customHeight="1">
      <c r="A8" s="405" t="s">
        <v>2604</v>
      </c>
      <c r="B8" s="360">
        <v>342</v>
      </c>
      <c r="C8" s="360">
        <v>92565</v>
      </c>
      <c r="D8" s="360">
        <f t="shared" ref="D8:D13" si="2">D7+B8</f>
        <v>953</v>
      </c>
      <c r="E8" s="360">
        <f t="shared" ref="E8:E13" si="3">E7+C8</f>
        <v>252799</v>
      </c>
      <c r="F8" s="360"/>
      <c r="G8" s="360">
        <f t="shared" si="0"/>
        <v>75839.7</v>
      </c>
      <c r="H8" s="360">
        <f t="shared" ref="H8:H14" si="4">C7*0.7</f>
        <v>112163.79999999999</v>
      </c>
      <c r="I8" s="360">
        <v>110000</v>
      </c>
      <c r="J8" s="360">
        <f t="shared" ref="J8:J13" si="5">I8+J7</f>
        <v>110000</v>
      </c>
      <c r="K8" s="360">
        <f t="shared" ref="K8:K14" si="6">K7+H8-I8</f>
        <v>2163.7999999999884</v>
      </c>
      <c r="L8" s="360">
        <f t="shared" si="1"/>
        <v>142799</v>
      </c>
      <c r="M8" s="360" t="s">
        <v>2605</v>
      </c>
    </row>
    <row r="9" spans="1:13" s="977" customFormat="1" ht="36" customHeight="1">
      <c r="A9" s="405">
        <v>42461</v>
      </c>
      <c r="B9" s="360">
        <v>28</v>
      </c>
      <c r="C9" s="360">
        <v>7381</v>
      </c>
      <c r="D9" s="360">
        <f t="shared" si="2"/>
        <v>981</v>
      </c>
      <c r="E9" s="360">
        <f t="shared" si="3"/>
        <v>260180</v>
      </c>
      <c r="F9" s="360"/>
      <c r="G9" s="360">
        <f t="shared" si="0"/>
        <v>78054</v>
      </c>
      <c r="H9" s="360">
        <f t="shared" si="4"/>
        <v>64795.499999999993</v>
      </c>
      <c r="I9" s="360"/>
      <c r="J9" s="360">
        <f t="shared" si="5"/>
        <v>110000</v>
      </c>
      <c r="K9" s="360">
        <f t="shared" si="6"/>
        <v>66959.299999999988</v>
      </c>
      <c r="L9" s="360">
        <f t="shared" si="1"/>
        <v>150180</v>
      </c>
      <c r="M9" s="360"/>
    </row>
    <row r="10" spans="1:13" s="977" customFormat="1" ht="36" customHeight="1">
      <c r="A10" s="405">
        <v>42522</v>
      </c>
      <c r="B10" s="360">
        <v>125</v>
      </c>
      <c r="C10" s="360">
        <v>31950</v>
      </c>
      <c r="D10" s="360">
        <f t="shared" si="2"/>
        <v>1106</v>
      </c>
      <c r="E10" s="360">
        <f t="shared" si="3"/>
        <v>292130</v>
      </c>
      <c r="F10" s="360"/>
      <c r="G10" s="360">
        <f t="shared" si="0"/>
        <v>87639</v>
      </c>
      <c r="H10" s="360">
        <f t="shared" si="4"/>
        <v>5166.7</v>
      </c>
      <c r="I10" s="360"/>
      <c r="J10" s="360">
        <f t="shared" si="5"/>
        <v>110000</v>
      </c>
      <c r="K10" s="360">
        <f t="shared" si="6"/>
        <v>72125.999999999985</v>
      </c>
      <c r="L10" s="360">
        <f t="shared" si="1"/>
        <v>182130</v>
      </c>
      <c r="M10" s="360"/>
    </row>
    <row r="11" spans="1:13" s="977" customFormat="1" ht="36" customHeight="1">
      <c r="A11" s="405">
        <v>42552</v>
      </c>
      <c r="B11" s="360">
        <v>35</v>
      </c>
      <c r="C11" s="360">
        <v>8820</v>
      </c>
      <c r="D11" s="360">
        <f t="shared" si="2"/>
        <v>1141</v>
      </c>
      <c r="E11" s="360">
        <f t="shared" si="3"/>
        <v>300950</v>
      </c>
      <c r="F11" s="360"/>
      <c r="G11" s="360">
        <f t="shared" si="0"/>
        <v>90285</v>
      </c>
      <c r="H11" s="360">
        <f t="shared" si="4"/>
        <v>22365</v>
      </c>
      <c r="I11" s="360"/>
      <c r="J11" s="360">
        <f t="shared" si="5"/>
        <v>110000</v>
      </c>
      <c r="K11" s="360">
        <f t="shared" si="6"/>
        <v>94490.999999999985</v>
      </c>
      <c r="L11" s="360">
        <f t="shared" si="1"/>
        <v>190950</v>
      </c>
      <c r="M11" s="360"/>
    </row>
    <row r="12" spans="1:13" s="977" customFormat="1" ht="36" customHeight="1">
      <c r="A12" s="365">
        <v>42309</v>
      </c>
      <c r="B12" s="360">
        <v>5</v>
      </c>
      <c r="C12" s="360">
        <v>1360</v>
      </c>
      <c r="D12" s="360">
        <f t="shared" si="2"/>
        <v>1146</v>
      </c>
      <c r="E12" s="360">
        <f t="shared" si="3"/>
        <v>302310</v>
      </c>
      <c r="F12" s="360"/>
      <c r="G12" s="360">
        <f t="shared" si="0"/>
        <v>90693</v>
      </c>
      <c r="H12" s="360">
        <f t="shared" si="4"/>
        <v>6174</v>
      </c>
      <c r="I12" s="360"/>
      <c r="J12" s="360">
        <f t="shared" si="5"/>
        <v>110000</v>
      </c>
      <c r="K12" s="360">
        <f t="shared" si="6"/>
        <v>100664.99999999999</v>
      </c>
      <c r="L12" s="360">
        <f t="shared" si="1"/>
        <v>192310</v>
      </c>
      <c r="M12" s="360"/>
    </row>
    <row r="13" spans="1:13" s="977" customFormat="1" ht="36" customHeight="1">
      <c r="A13" s="365" t="s">
        <v>2606</v>
      </c>
      <c r="B13" s="360"/>
      <c r="C13" s="360">
        <f>-328.15</f>
        <v>-328.15</v>
      </c>
      <c r="D13" s="360">
        <f t="shared" si="2"/>
        <v>1146</v>
      </c>
      <c r="E13" s="360">
        <f t="shared" si="3"/>
        <v>301981.84999999998</v>
      </c>
      <c r="F13" s="360"/>
      <c r="G13" s="360">
        <f t="shared" si="0"/>
        <v>90594.554999999993</v>
      </c>
      <c r="H13" s="360">
        <f t="shared" si="4"/>
        <v>951.99999999999989</v>
      </c>
      <c r="I13" s="360">
        <v>150000</v>
      </c>
      <c r="J13" s="360">
        <f t="shared" si="5"/>
        <v>260000</v>
      </c>
      <c r="K13" s="360">
        <f t="shared" si="6"/>
        <v>-48383.000000000015</v>
      </c>
      <c r="L13" s="360">
        <f t="shared" si="1"/>
        <v>41981.849999999977</v>
      </c>
      <c r="M13" s="360" t="s">
        <v>2607</v>
      </c>
    </row>
    <row r="14" spans="1:13" s="977" customFormat="1" ht="36" customHeight="1">
      <c r="A14" s="365"/>
      <c r="B14" s="360"/>
      <c r="C14" s="360"/>
      <c r="D14" s="360"/>
      <c r="E14" s="360"/>
      <c r="F14" s="360"/>
      <c r="G14" s="360"/>
      <c r="H14" s="360">
        <f t="shared" si="4"/>
        <v>-229.70499999999996</v>
      </c>
      <c r="I14" s="360"/>
      <c r="J14" s="360"/>
      <c r="K14" s="360">
        <f t="shared" si="6"/>
        <v>-48612.705000000016</v>
      </c>
      <c r="L14" s="360"/>
      <c r="M14" s="360"/>
    </row>
    <row r="15" spans="1:13" s="977" customFormat="1" ht="36" customHeight="1">
      <c r="A15" s="1621">
        <v>42979</v>
      </c>
      <c r="B15" s="360"/>
      <c r="C15" s="360">
        <v>-328.15</v>
      </c>
      <c r="D15" s="360">
        <v>1146</v>
      </c>
      <c r="E15" s="360">
        <v>301981.84999999998</v>
      </c>
      <c r="F15" s="360"/>
      <c r="G15" s="360">
        <v>90594.554999999993</v>
      </c>
      <c r="H15" s="360">
        <v>951.99999999999989</v>
      </c>
      <c r="I15" s="360">
        <v>150000</v>
      </c>
      <c r="J15" s="360">
        <v>260000</v>
      </c>
      <c r="K15" s="360">
        <v>-48383.000000000015</v>
      </c>
      <c r="L15" s="360">
        <v>41981.849999999977</v>
      </c>
      <c r="M15" s="360" t="s">
        <v>2607</v>
      </c>
    </row>
    <row r="16" spans="1:13" ht="36" customHeight="1"/>
    <row r="17" spans="3:3">
      <c r="C17">
        <f>-328.15-96.68</f>
        <v>-424.83</v>
      </c>
    </row>
  </sheetData>
  <mergeCells count="11">
    <mergeCell ref="B4:D4"/>
    <mergeCell ref="F4:H4"/>
    <mergeCell ref="B5:E5"/>
    <mergeCell ref="I1:I2"/>
    <mergeCell ref="M1:M2"/>
    <mergeCell ref="J1:L2"/>
    <mergeCell ref="C1:D1"/>
    <mergeCell ref="B2:C2"/>
    <mergeCell ref="E2:F2"/>
    <mergeCell ref="B3:C3"/>
    <mergeCell ref="J3:M3"/>
  </mergeCells>
  <phoneticPr fontId="84" type="noConversion"/>
  <pageMargins left="0.75" right="0.75" top="1" bottom="1" header="0.51" footer="0.51"/>
  <pageSetup paperSize="9" orientation="portrait" verticalDpi="200"/>
  <headerFooter scaleWithDoc="0" alignWithMargins="0"/>
</worksheet>
</file>

<file path=xl/worksheets/sheet10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A34" zoomScaleSheetLayoutView="100" workbookViewId="0">
      <selection activeCell="I25" sqref="I25"/>
    </sheetView>
  </sheetViews>
  <sheetFormatPr defaultColWidth="9" defaultRowHeight="14.25"/>
  <cols>
    <col min="1" max="1" width="14" customWidth="1"/>
    <col min="2" max="2" width="16.125" customWidth="1"/>
    <col min="3" max="3" width="14.125" customWidth="1"/>
    <col min="4" max="4" width="13.75" customWidth="1"/>
    <col min="5" max="5" width="18" customWidth="1"/>
    <col min="6" max="6" width="13.375" customWidth="1"/>
    <col min="7" max="7" width="13.25" customWidth="1"/>
    <col min="8" max="8" width="14" customWidth="1"/>
    <col min="9" max="9" width="11.625" customWidth="1"/>
    <col min="10" max="10" width="13.875" customWidth="1"/>
    <col min="11" max="11" width="15.375" customWidth="1"/>
    <col min="12" max="12" width="13.25" customWidth="1"/>
    <col min="13" max="13" width="43" customWidth="1"/>
  </cols>
  <sheetData>
    <row r="1" spans="1:13" ht="45" customHeight="1">
      <c r="A1" s="1008" t="s">
        <v>348</v>
      </c>
      <c r="B1" s="1009" t="s">
        <v>2608</v>
      </c>
      <c r="C1" s="1830" t="s">
        <v>2609</v>
      </c>
      <c r="D1" s="1830"/>
      <c r="E1" s="1008" t="s">
        <v>236</v>
      </c>
      <c r="F1" s="286" t="s">
        <v>2610</v>
      </c>
      <c r="G1" s="1010" t="s">
        <v>351</v>
      </c>
      <c r="H1" s="58" t="s">
        <v>2611</v>
      </c>
      <c r="I1" s="1638" t="s">
        <v>237</v>
      </c>
      <c r="J1" s="2007" t="s">
        <v>2612</v>
      </c>
      <c r="K1" s="2007"/>
      <c r="L1" s="2007"/>
      <c r="M1" s="2017" t="s">
        <v>2613</v>
      </c>
    </row>
    <row r="2" spans="1:13" ht="96" customHeight="1">
      <c r="A2" s="41" t="s">
        <v>240</v>
      </c>
      <c r="B2" s="1637" t="s">
        <v>2596</v>
      </c>
      <c r="C2" s="1637"/>
      <c r="D2" s="41" t="s">
        <v>242</v>
      </c>
      <c r="E2" s="1638"/>
      <c r="F2" s="1638"/>
      <c r="G2" s="41" t="s">
        <v>243</v>
      </c>
      <c r="H2" s="1014" t="s">
        <v>1586</v>
      </c>
      <c r="I2" s="1638"/>
      <c r="J2" s="2007"/>
      <c r="K2" s="2007"/>
      <c r="L2" s="2007"/>
      <c r="M2" s="2002"/>
    </row>
    <row r="3" spans="1:13" ht="87" customHeight="1">
      <c r="A3" s="41" t="s">
        <v>247</v>
      </c>
      <c r="B3" s="1637" t="s">
        <v>2614</v>
      </c>
      <c r="C3" s="1637"/>
      <c r="D3" s="41" t="s">
        <v>249</v>
      </c>
      <c r="E3" s="186" t="s">
        <v>2615</v>
      </c>
      <c r="F3" s="41" t="s">
        <v>251</v>
      </c>
      <c r="G3" s="41"/>
      <c r="H3" s="41" t="s">
        <v>252</v>
      </c>
      <c r="I3" s="40" t="s">
        <v>425</v>
      </c>
      <c r="J3" s="2016" t="s">
        <v>2600</v>
      </c>
      <c r="K3" s="2003"/>
      <c r="L3" s="2003"/>
      <c r="M3" s="2004"/>
    </row>
    <row r="4" spans="1:13" ht="53.1" customHeight="1">
      <c r="A4" s="41" t="s">
        <v>257</v>
      </c>
      <c r="B4" s="1637"/>
      <c r="C4" s="1637"/>
      <c r="D4" s="1637"/>
      <c r="E4" s="43" t="s">
        <v>258</v>
      </c>
      <c r="F4" s="1014"/>
      <c r="G4" s="1014"/>
      <c r="H4" s="1014"/>
      <c r="I4" s="1016"/>
      <c r="J4" s="1017" t="s">
        <v>253</v>
      </c>
      <c r="K4" s="1018"/>
      <c r="L4" s="15" t="s">
        <v>255</v>
      </c>
      <c r="M4" s="271" t="s">
        <v>2616</v>
      </c>
    </row>
    <row r="5" spans="1:13" ht="84.95" customHeight="1">
      <c r="A5" s="41" t="s">
        <v>260</v>
      </c>
      <c r="B5" s="1747" t="s">
        <v>2601</v>
      </c>
      <c r="C5" s="1747"/>
      <c r="D5" s="1747"/>
      <c r="E5" s="1747"/>
      <c r="F5" s="58"/>
      <c r="G5" s="58"/>
      <c r="H5" s="1015"/>
      <c r="I5" s="58"/>
      <c r="J5" s="58"/>
      <c r="K5" s="58"/>
      <c r="L5" s="1019" t="s">
        <v>245</v>
      </c>
      <c r="M5" s="41" t="s">
        <v>2617</v>
      </c>
    </row>
    <row r="6" spans="1:13" ht="42.75">
      <c r="A6" s="999" t="s">
        <v>266</v>
      </c>
      <c r="B6" s="1000" t="s">
        <v>267</v>
      </c>
      <c r="C6" s="1000" t="s">
        <v>268</v>
      </c>
      <c r="D6" s="1000" t="s">
        <v>269</v>
      </c>
      <c r="E6" s="1000" t="s">
        <v>270</v>
      </c>
      <c r="F6" s="1000" t="s">
        <v>271</v>
      </c>
      <c r="G6" s="1001" t="s">
        <v>272</v>
      </c>
      <c r="H6" s="1000" t="s">
        <v>273</v>
      </c>
      <c r="I6" s="1020" t="s">
        <v>274</v>
      </c>
      <c r="J6" s="1020" t="s">
        <v>275</v>
      </c>
      <c r="K6" s="1020" t="s">
        <v>276</v>
      </c>
      <c r="L6" s="1000" t="s">
        <v>277</v>
      </c>
      <c r="M6" s="999" t="s">
        <v>278</v>
      </c>
    </row>
    <row r="7" spans="1:13" s="977" customFormat="1" ht="36" customHeight="1">
      <c r="A7" s="405" t="s">
        <v>2618</v>
      </c>
      <c r="B7" s="360">
        <v>2564</v>
      </c>
      <c r="C7" s="360">
        <v>862247</v>
      </c>
      <c r="D7" s="360">
        <f>B7</f>
        <v>2564</v>
      </c>
      <c r="E7" s="360">
        <f>C7</f>
        <v>862247</v>
      </c>
      <c r="F7" s="360"/>
      <c r="G7" s="294">
        <f>E7*0.3</f>
        <v>258674.09999999998</v>
      </c>
      <c r="H7" s="360"/>
      <c r="I7" s="360"/>
      <c r="J7" s="360"/>
      <c r="K7" s="360"/>
      <c r="L7" s="360">
        <f t="shared" ref="L7:L25" si="0">E7-J7</f>
        <v>862247</v>
      </c>
      <c r="M7" s="360"/>
    </row>
    <row r="8" spans="1:13" s="977" customFormat="1" ht="36" customHeight="1">
      <c r="A8" s="405" t="s">
        <v>2619</v>
      </c>
      <c r="B8" s="360">
        <v>483.5</v>
      </c>
      <c r="C8" s="360">
        <v>163807</v>
      </c>
      <c r="D8" s="360">
        <f t="shared" ref="D8:D25" si="1">D7+B8</f>
        <v>3047.5</v>
      </c>
      <c r="E8" s="360">
        <f t="shared" ref="E8:E25" si="2">E7+C8</f>
        <v>1026054</v>
      </c>
      <c r="F8" s="360"/>
      <c r="G8" s="294">
        <f>E8*0.3</f>
        <v>307816.2</v>
      </c>
      <c r="H8" s="294">
        <f>C7*0.7</f>
        <v>603572.89999999991</v>
      </c>
      <c r="I8" s="360"/>
      <c r="J8" s="360"/>
      <c r="K8" s="294">
        <f t="shared" ref="K8:K26" si="3">K7+H8-I8</f>
        <v>603572.89999999991</v>
      </c>
      <c r="L8" s="360">
        <f t="shared" si="0"/>
        <v>1026054</v>
      </c>
      <c r="M8" s="360"/>
    </row>
    <row r="9" spans="1:13" s="977" customFormat="1" ht="36" customHeight="1">
      <c r="A9" s="405" t="s">
        <v>2620</v>
      </c>
      <c r="B9" s="360">
        <v>502</v>
      </c>
      <c r="C9" s="360">
        <v>164257</v>
      </c>
      <c r="D9" s="360">
        <f t="shared" si="1"/>
        <v>3549.5</v>
      </c>
      <c r="E9" s="360">
        <f t="shared" si="2"/>
        <v>1190311</v>
      </c>
      <c r="F9" s="360"/>
      <c r="G9" s="294">
        <f>E9*0.3</f>
        <v>357093.3</v>
      </c>
      <c r="H9" s="294">
        <f>C8*0.7</f>
        <v>114664.9</v>
      </c>
      <c r="I9" s="360"/>
      <c r="J9" s="360"/>
      <c r="K9" s="294">
        <f t="shared" si="3"/>
        <v>718237.79999999993</v>
      </c>
      <c r="L9" s="360">
        <f t="shared" si="0"/>
        <v>1190311</v>
      </c>
      <c r="M9" s="360"/>
    </row>
    <row r="10" spans="1:13" s="977" customFormat="1" ht="36" customHeight="1">
      <c r="A10" s="405" t="s">
        <v>1575</v>
      </c>
      <c r="B10" s="360"/>
      <c r="C10" s="360">
        <v>-23057.32</v>
      </c>
      <c r="D10" s="360">
        <f t="shared" si="1"/>
        <v>3549.5</v>
      </c>
      <c r="E10" s="360">
        <f t="shared" si="2"/>
        <v>1167253.68</v>
      </c>
      <c r="F10" s="360"/>
      <c r="G10" s="294">
        <f>E9*0.3</f>
        <v>357093.3</v>
      </c>
      <c r="H10" s="294">
        <f>C9*0.7</f>
        <v>114979.9</v>
      </c>
      <c r="I10" s="360">
        <v>600000</v>
      </c>
      <c r="J10" s="360">
        <f>I10</f>
        <v>600000</v>
      </c>
      <c r="K10" s="294">
        <f t="shared" si="3"/>
        <v>233217.69999999995</v>
      </c>
      <c r="L10" s="360">
        <f t="shared" si="0"/>
        <v>567253.67999999993</v>
      </c>
      <c r="M10" s="360" t="s">
        <v>2621</v>
      </c>
    </row>
    <row r="11" spans="1:13" s="977" customFormat="1" ht="36" customHeight="1">
      <c r="A11" s="405" t="s">
        <v>2622</v>
      </c>
      <c r="B11" s="360">
        <v>253.45</v>
      </c>
      <c r="C11" s="360">
        <v>64992.88</v>
      </c>
      <c r="D11" s="360">
        <f t="shared" si="1"/>
        <v>3802.95</v>
      </c>
      <c r="E11" s="360">
        <f t="shared" si="2"/>
        <v>1232246.5599999998</v>
      </c>
      <c r="F11" s="360"/>
      <c r="G11" s="294">
        <f>E9*0.3</f>
        <v>357093.3</v>
      </c>
      <c r="H11" s="294">
        <f>C10</f>
        <v>-23057.32</v>
      </c>
      <c r="I11" s="360"/>
      <c r="J11" s="360">
        <f t="shared" ref="J11:J25" si="4">I11+J10</f>
        <v>600000</v>
      </c>
      <c r="K11" s="294">
        <f t="shared" si="3"/>
        <v>210160.37999999995</v>
      </c>
      <c r="L11" s="360">
        <f t="shared" si="0"/>
        <v>632246.55999999982</v>
      </c>
      <c r="M11" s="360"/>
    </row>
    <row r="12" spans="1:13" s="977" customFormat="1" ht="36" customHeight="1">
      <c r="A12" s="405" t="s">
        <v>2623</v>
      </c>
      <c r="B12" s="360">
        <v>269</v>
      </c>
      <c r="C12" s="360">
        <v>65706</v>
      </c>
      <c r="D12" s="360">
        <f t="shared" si="1"/>
        <v>4071.95</v>
      </c>
      <c r="E12" s="360">
        <f t="shared" si="2"/>
        <v>1297952.5599999998</v>
      </c>
      <c r="F12" s="360"/>
      <c r="G12" s="294">
        <f>E9*0.3+C11*0.3+C12*0.3</f>
        <v>396302.96399999998</v>
      </c>
      <c r="H12" s="294">
        <f>C11*0.7</f>
        <v>45495.015999999996</v>
      </c>
      <c r="I12" s="360"/>
      <c r="J12" s="360">
        <f t="shared" si="4"/>
        <v>600000</v>
      </c>
      <c r="K12" s="294">
        <f t="shared" si="3"/>
        <v>255655.39599999995</v>
      </c>
      <c r="L12" s="360">
        <f t="shared" si="0"/>
        <v>697952.55999999982</v>
      </c>
      <c r="M12" s="360"/>
    </row>
    <row r="13" spans="1:13" s="977" customFormat="1" ht="36" customHeight="1">
      <c r="A13" s="405" t="s">
        <v>2624</v>
      </c>
      <c r="B13" s="360">
        <v>512</v>
      </c>
      <c r="C13" s="360">
        <v>130678</v>
      </c>
      <c r="D13" s="360">
        <f t="shared" si="1"/>
        <v>4583.95</v>
      </c>
      <c r="E13" s="360">
        <f t="shared" si="2"/>
        <v>1428630.5599999998</v>
      </c>
      <c r="F13" s="360"/>
      <c r="G13" s="294">
        <f>E9*0.3+C12*0.3+C13*0.3+C11*0.3</f>
        <v>435506.364</v>
      </c>
      <c r="H13" s="294">
        <f>C12*0.7</f>
        <v>45994.2</v>
      </c>
      <c r="I13" s="360"/>
      <c r="J13" s="360">
        <f t="shared" si="4"/>
        <v>600000</v>
      </c>
      <c r="K13" s="294">
        <f t="shared" si="3"/>
        <v>301649.59599999996</v>
      </c>
      <c r="L13" s="360">
        <f t="shared" si="0"/>
        <v>828630.55999999982</v>
      </c>
      <c r="M13" s="360"/>
    </row>
    <row r="14" spans="1:13" s="977" customFormat="1" ht="36" customHeight="1">
      <c r="A14" s="405" t="s">
        <v>2625</v>
      </c>
      <c r="B14" s="360">
        <v>10284.5</v>
      </c>
      <c r="C14" s="360">
        <v>3176089</v>
      </c>
      <c r="D14" s="360">
        <f t="shared" si="1"/>
        <v>14868.45</v>
      </c>
      <c r="E14" s="360">
        <f t="shared" si="2"/>
        <v>4604719.5599999996</v>
      </c>
      <c r="F14" s="360"/>
      <c r="G14" s="294">
        <f>E9*0.3+C13*0.3+C14*0.3+C12*0.3+C11*0.3</f>
        <v>1388333.064</v>
      </c>
      <c r="H14" s="294">
        <f>C13*0.7</f>
        <v>91474.599999999991</v>
      </c>
      <c r="I14" s="360"/>
      <c r="J14" s="360">
        <f t="shared" si="4"/>
        <v>600000</v>
      </c>
      <c r="K14" s="294">
        <f t="shared" si="3"/>
        <v>393124.19599999994</v>
      </c>
      <c r="L14" s="360">
        <f t="shared" si="0"/>
        <v>4004719.5599999996</v>
      </c>
      <c r="M14" s="360"/>
    </row>
    <row r="15" spans="1:13" s="977" customFormat="1" ht="36" customHeight="1">
      <c r="A15" s="405" t="s">
        <v>1577</v>
      </c>
      <c r="B15" s="360"/>
      <c r="C15" s="360">
        <v>-2333.12</v>
      </c>
      <c r="D15" s="360">
        <f t="shared" si="1"/>
        <v>14868.45</v>
      </c>
      <c r="E15" s="360">
        <f t="shared" si="2"/>
        <v>4602386.4399999995</v>
      </c>
      <c r="F15" s="360"/>
      <c r="G15" s="294">
        <f>E9*0.3+C14*0.3+C13*0.3+C12*0.3+C11*0.3</f>
        <v>1388333.064</v>
      </c>
      <c r="H15" s="294">
        <f>C14*0.7</f>
        <v>2223262.2999999998</v>
      </c>
      <c r="I15" s="360">
        <v>250000</v>
      </c>
      <c r="J15" s="360">
        <f t="shared" si="4"/>
        <v>850000</v>
      </c>
      <c r="K15" s="294">
        <f t="shared" si="3"/>
        <v>2366386.4959999998</v>
      </c>
      <c r="L15" s="360">
        <f t="shared" si="0"/>
        <v>3752386.4399999995</v>
      </c>
      <c r="M15" s="360" t="s">
        <v>2626</v>
      </c>
    </row>
    <row r="16" spans="1:13" s="977" customFormat="1" ht="36" customHeight="1">
      <c r="A16" s="405" t="s">
        <v>2627</v>
      </c>
      <c r="B16" s="360">
        <v>21893</v>
      </c>
      <c r="C16" s="360">
        <v>4699477.5</v>
      </c>
      <c r="D16" s="360">
        <f t="shared" si="1"/>
        <v>36761.449999999997</v>
      </c>
      <c r="E16" s="360">
        <f t="shared" si="2"/>
        <v>9301863.9399999995</v>
      </c>
      <c r="F16" s="360"/>
      <c r="G16" s="294">
        <f>E9*0.3+C16*0.3+C14*0.3+C13*0.3+C12*0.3+C11*0.3</f>
        <v>2798176.3139999998</v>
      </c>
      <c r="H16" s="294">
        <f>C15</f>
        <v>-2333.12</v>
      </c>
      <c r="I16" s="360"/>
      <c r="J16" s="360">
        <f t="shared" si="4"/>
        <v>850000</v>
      </c>
      <c r="K16" s="294">
        <f t="shared" si="3"/>
        <v>2364053.3759999997</v>
      </c>
      <c r="L16" s="360">
        <f t="shared" si="0"/>
        <v>8451863.9399999995</v>
      </c>
      <c r="M16" s="360"/>
    </row>
    <row r="17" spans="1:13" s="977" customFormat="1" ht="36" customHeight="1">
      <c r="A17" s="405" t="s">
        <v>2628</v>
      </c>
      <c r="B17" s="360">
        <v>3229.5</v>
      </c>
      <c r="C17" s="360">
        <v>1010116</v>
      </c>
      <c r="D17" s="360">
        <f t="shared" si="1"/>
        <v>39990.949999999997</v>
      </c>
      <c r="E17" s="360">
        <f t="shared" si="2"/>
        <v>10311979.939999999</v>
      </c>
      <c r="F17" s="360"/>
      <c r="G17" s="294">
        <f>E9*0.3+C17*0.3+C16*0.3+C14*0.3+C13*0.3+C12*0.3+C11*0.3</f>
        <v>3101211.1139999996</v>
      </c>
      <c r="H17" s="294">
        <f t="shared" ref="H17:H26" si="5">C16*0.7</f>
        <v>3289634.25</v>
      </c>
      <c r="I17" s="360">
        <v>5000000</v>
      </c>
      <c r="J17" s="360">
        <f t="shared" si="4"/>
        <v>5850000</v>
      </c>
      <c r="K17" s="294">
        <f t="shared" si="3"/>
        <v>653687.62600000016</v>
      </c>
      <c r="L17" s="360">
        <f t="shared" si="0"/>
        <v>4461979.9399999995</v>
      </c>
      <c r="M17" s="360" t="s">
        <v>2629</v>
      </c>
    </row>
    <row r="18" spans="1:13" s="977" customFormat="1" ht="36" customHeight="1">
      <c r="A18" s="405" t="s">
        <v>2630</v>
      </c>
      <c r="B18" s="360">
        <v>3050</v>
      </c>
      <c r="C18" s="360">
        <v>944392.5</v>
      </c>
      <c r="D18" s="360">
        <f t="shared" si="1"/>
        <v>43040.95</v>
      </c>
      <c r="E18" s="360">
        <f t="shared" si="2"/>
        <v>11256372.439999999</v>
      </c>
      <c r="F18" s="360"/>
      <c r="G18" s="294">
        <f>E9*0.3+C18*0.3+C17*0.3+C16*0.3+C14*0.3+C13*0.3+C12*0.3+C11*0.3</f>
        <v>3384528.8639999996</v>
      </c>
      <c r="H18" s="294">
        <f t="shared" si="5"/>
        <v>707081.2</v>
      </c>
      <c r="I18" s="360"/>
      <c r="J18" s="360">
        <f t="shared" si="4"/>
        <v>5850000</v>
      </c>
      <c r="K18" s="294">
        <f t="shared" si="3"/>
        <v>1360768.8260000001</v>
      </c>
      <c r="L18" s="360">
        <f t="shared" si="0"/>
        <v>5406372.4399999995</v>
      </c>
      <c r="M18" s="360" t="s">
        <v>2631</v>
      </c>
    </row>
    <row r="19" spans="1:13" s="977" customFormat="1" ht="36" customHeight="1">
      <c r="A19" s="405" t="s">
        <v>2632</v>
      </c>
      <c r="B19" s="360">
        <v>5206.5</v>
      </c>
      <c r="C19" s="360">
        <v>1596995</v>
      </c>
      <c r="D19" s="360">
        <f t="shared" si="1"/>
        <v>48247.45</v>
      </c>
      <c r="E19" s="360">
        <f t="shared" si="2"/>
        <v>12853367.439999999</v>
      </c>
      <c r="F19" s="360"/>
      <c r="G19" s="294">
        <f>E9*0.3+C19*0.3+C18*0.3+C17*0.3+C16*0.3+C14*0.3+C13*0.3+C12*0.3+C11*0.3</f>
        <v>3863627.3639999996</v>
      </c>
      <c r="H19" s="294">
        <f t="shared" si="5"/>
        <v>661074.75</v>
      </c>
      <c r="I19" s="360">
        <v>1500000</v>
      </c>
      <c r="J19" s="360">
        <f t="shared" si="4"/>
        <v>7350000</v>
      </c>
      <c r="K19" s="294">
        <f t="shared" si="3"/>
        <v>521843.57600000012</v>
      </c>
      <c r="L19" s="360">
        <f t="shared" si="0"/>
        <v>5503367.4399999995</v>
      </c>
      <c r="M19" s="360"/>
    </row>
    <row r="20" spans="1:13" s="977" customFormat="1" ht="36" customHeight="1">
      <c r="A20" s="405" t="s">
        <v>2633</v>
      </c>
      <c r="B20" s="360">
        <v>0</v>
      </c>
      <c r="C20" s="360">
        <v>0</v>
      </c>
      <c r="D20" s="360">
        <f t="shared" si="1"/>
        <v>48247.45</v>
      </c>
      <c r="E20" s="360">
        <f t="shared" si="2"/>
        <v>12853367.439999999</v>
      </c>
      <c r="F20" s="360"/>
      <c r="G20" s="294">
        <f>E9*0.3+C20*0.3+C19*0.3+C18*0.3+C17*0.3+C16*0.3+C14*0.3+C13*0.3+C12*0.3+C11*0.3</f>
        <v>3863627.3639999996</v>
      </c>
      <c r="H20" s="294">
        <f t="shared" si="5"/>
        <v>1117896.5</v>
      </c>
      <c r="I20" s="360"/>
      <c r="J20" s="360">
        <f t="shared" si="4"/>
        <v>7350000</v>
      </c>
      <c r="K20" s="294">
        <f t="shared" si="3"/>
        <v>1639740.0760000001</v>
      </c>
      <c r="L20" s="360">
        <f t="shared" si="0"/>
        <v>5503367.4399999995</v>
      </c>
      <c r="M20" s="360"/>
    </row>
    <row r="21" spans="1:13" s="977" customFormat="1" ht="36" customHeight="1">
      <c r="A21" s="405" t="s">
        <v>2634</v>
      </c>
      <c r="B21" s="360">
        <f>5649-5189.5</f>
        <v>459.5</v>
      </c>
      <c r="C21" s="360">
        <v>274396</v>
      </c>
      <c r="D21" s="360">
        <f t="shared" si="1"/>
        <v>48706.95</v>
      </c>
      <c r="E21" s="360">
        <f t="shared" si="2"/>
        <v>13127763.439999999</v>
      </c>
      <c r="F21" s="360"/>
      <c r="G21" s="294">
        <f>E9*0.3+C21*0.3+C20*0.3+C19*0.3+C18*0.3+C17*0.3+C16*0.3+C14*0.3+C13*0.3+C12*0.3+C11*0.3</f>
        <v>3945946.1640000003</v>
      </c>
      <c r="H21" s="294">
        <f t="shared" si="5"/>
        <v>0</v>
      </c>
      <c r="I21" s="360">
        <v>500000</v>
      </c>
      <c r="J21" s="360">
        <f t="shared" si="4"/>
        <v>7850000</v>
      </c>
      <c r="K21" s="294">
        <f t="shared" si="3"/>
        <v>1139740.0760000001</v>
      </c>
      <c r="L21" s="360">
        <f t="shared" si="0"/>
        <v>5277763.4399999995</v>
      </c>
      <c r="M21" s="360" t="s">
        <v>2635</v>
      </c>
    </row>
    <row r="22" spans="1:13" s="977" customFormat="1" ht="36" customHeight="1">
      <c r="A22" s="405" t="s">
        <v>2636</v>
      </c>
      <c r="B22" s="360">
        <v>4629.5</v>
      </c>
      <c r="C22" s="360">
        <v>1386353</v>
      </c>
      <c r="D22" s="360">
        <f t="shared" si="1"/>
        <v>53336.45</v>
      </c>
      <c r="E22" s="360">
        <f t="shared" si="2"/>
        <v>14514116.439999999</v>
      </c>
      <c r="F22" s="360"/>
      <c r="G22" s="294">
        <f>E9*0.3+C22*0.3+C21*0.3+C20*0.3+C19*0.3+C18*0.3+C17*0.3+C16*0.3+C14*0.3+C13*0.3+C12*0.3+C11*0.3</f>
        <v>4361852.0640000002</v>
      </c>
      <c r="H22" s="294">
        <f t="shared" si="5"/>
        <v>192077.19999999998</v>
      </c>
      <c r="I22" s="360"/>
      <c r="J22" s="360">
        <f t="shared" si="4"/>
        <v>7850000</v>
      </c>
      <c r="K22" s="294">
        <f t="shared" si="3"/>
        <v>1331817.2760000001</v>
      </c>
      <c r="L22" s="360">
        <f t="shared" si="0"/>
        <v>6664116.4399999995</v>
      </c>
      <c r="M22" s="360"/>
    </row>
    <row r="23" spans="1:13" s="977" customFormat="1" ht="36" customHeight="1">
      <c r="A23" s="405" t="s">
        <v>2637</v>
      </c>
      <c r="B23" s="360">
        <v>0</v>
      </c>
      <c r="C23" s="360">
        <v>0</v>
      </c>
      <c r="D23" s="360">
        <f t="shared" si="1"/>
        <v>53336.45</v>
      </c>
      <c r="E23" s="360">
        <f t="shared" si="2"/>
        <v>14514116.439999999</v>
      </c>
      <c r="F23" s="360"/>
      <c r="G23" s="294">
        <f>E9*0.3+C23*0.3+C22*0.3+C21*0.3+C20*0.3+C19*0.3+C18*0.3+C17*0.3+C16*0.3+C14*0.3+C13*0.3+C12*0.3+C11*0.3</f>
        <v>4361852.0640000002</v>
      </c>
      <c r="H23" s="294">
        <f t="shared" si="5"/>
        <v>970447.1</v>
      </c>
      <c r="I23" s="360">
        <v>2300000</v>
      </c>
      <c r="J23" s="360">
        <f t="shared" si="4"/>
        <v>10150000</v>
      </c>
      <c r="K23" s="294">
        <f t="shared" si="3"/>
        <v>2264.3760000001639</v>
      </c>
      <c r="L23" s="360">
        <f t="shared" si="0"/>
        <v>4364116.4399999995</v>
      </c>
      <c r="M23" s="360" t="s">
        <v>2638</v>
      </c>
    </row>
    <row r="24" spans="1:13" s="977" customFormat="1" ht="36" customHeight="1">
      <c r="A24" s="405" t="s">
        <v>2639</v>
      </c>
      <c r="B24" s="360">
        <v>0</v>
      </c>
      <c r="C24" s="360">
        <v>0</v>
      </c>
      <c r="D24" s="360">
        <f t="shared" si="1"/>
        <v>53336.45</v>
      </c>
      <c r="E24" s="360">
        <f t="shared" si="2"/>
        <v>14514116.439999999</v>
      </c>
      <c r="F24" s="360"/>
      <c r="G24" s="360">
        <f>E9*0.3+C23*0.3+C22*0.3+C21*0.3+C20*0.3+C19*0.3+C18*0.3+C17*0.3+C16*0.3+C14*0.3+C13*0.3+C12*0.3+C11*0.3+C24*0.3</f>
        <v>4361852.0640000002</v>
      </c>
      <c r="H24" s="294">
        <f t="shared" si="5"/>
        <v>0</v>
      </c>
      <c r="I24" s="360"/>
      <c r="J24" s="360">
        <f t="shared" si="4"/>
        <v>10150000</v>
      </c>
      <c r="K24" s="294">
        <f t="shared" si="3"/>
        <v>2264.3760000001639</v>
      </c>
      <c r="L24" s="360">
        <f t="shared" si="0"/>
        <v>4364116.4399999995</v>
      </c>
      <c r="M24" s="360"/>
    </row>
    <row r="25" spans="1:13" s="977" customFormat="1" ht="36" customHeight="1">
      <c r="A25" s="405" t="s">
        <v>2640</v>
      </c>
      <c r="B25" s="360">
        <v>0</v>
      </c>
      <c r="C25" s="360">
        <v>0</v>
      </c>
      <c r="D25" s="360">
        <f t="shared" si="1"/>
        <v>53336.45</v>
      </c>
      <c r="E25" s="360">
        <f t="shared" si="2"/>
        <v>14514116.439999999</v>
      </c>
      <c r="F25" s="360"/>
      <c r="G25" s="360">
        <f>E9*0.3+C23*0.3+C22*0.3+C21*0.3+C20*0.3+C19*0.3+C18*0.3+C17*0.3+C16*0.3+C14*0.3+C13*0.3+C12*0.3+C11*0.3+C24*0.3+C25*0.3</f>
        <v>4361852.0640000002</v>
      </c>
      <c r="H25" s="294">
        <f t="shared" si="5"/>
        <v>0</v>
      </c>
      <c r="I25" s="360">
        <v>640000</v>
      </c>
      <c r="J25" s="360">
        <f t="shared" si="4"/>
        <v>10790000</v>
      </c>
      <c r="K25" s="294">
        <f t="shared" si="3"/>
        <v>-637735.62399999984</v>
      </c>
      <c r="L25" s="360">
        <f t="shared" si="0"/>
        <v>3724116.4399999995</v>
      </c>
      <c r="M25" s="360" t="s">
        <v>2641</v>
      </c>
    </row>
    <row r="26" spans="1:13" s="977" customFormat="1" ht="36" customHeight="1">
      <c r="A26" s="405"/>
      <c r="B26" s="360"/>
      <c r="C26" s="360"/>
      <c r="D26" s="360"/>
      <c r="E26" s="360"/>
      <c r="F26" s="360"/>
      <c r="G26" s="360"/>
      <c r="H26" s="294">
        <f t="shared" si="5"/>
        <v>0</v>
      </c>
      <c r="I26" s="360"/>
      <c r="J26" s="360"/>
      <c r="K26" s="294">
        <f t="shared" si="3"/>
        <v>-637735.62399999984</v>
      </c>
      <c r="L26" s="360"/>
      <c r="M26" s="360"/>
    </row>
    <row r="27" spans="1:13" ht="59.1" customHeight="1">
      <c r="A27" s="1008" t="s">
        <v>348</v>
      </c>
      <c r="B27" s="1009" t="s">
        <v>2608</v>
      </c>
      <c r="C27" s="2018" t="s">
        <v>2642</v>
      </c>
      <c r="D27" s="1830"/>
      <c r="E27" s="1008" t="s">
        <v>236</v>
      </c>
      <c r="F27" s="286" t="s">
        <v>2610</v>
      </c>
      <c r="G27" s="1010" t="s">
        <v>351</v>
      </c>
      <c r="H27" s="58" t="s">
        <v>2611</v>
      </c>
      <c r="I27" s="1638" t="s">
        <v>237</v>
      </c>
      <c r="J27" s="2007" t="s">
        <v>2612</v>
      </c>
      <c r="K27" s="2007"/>
      <c r="L27" s="2007"/>
      <c r="M27" s="2017" t="s">
        <v>2613</v>
      </c>
    </row>
    <row r="28" spans="1:13" ht="59.1" customHeight="1">
      <c r="A28" s="41" t="s">
        <v>240</v>
      </c>
      <c r="B28" s="1637" t="s">
        <v>2596</v>
      </c>
      <c r="C28" s="1637"/>
      <c r="D28" s="41" t="s">
        <v>242</v>
      </c>
      <c r="E28" s="1638"/>
      <c r="F28" s="1638"/>
      <c r="G28" s="41" t="s">
        <v>243</v>
      </c>
      <c r="H28" s="1014" t="s">
        <v>1586</v>
      </c>
      <c r="I28" s="1638"/>
      <c r="J28" s="2007"/>
      <c r="K28" s="2007"/>
      <c r="L28" s="2007"/>
      <c r="M28" s="2002"/>
    </row>
    <row r="29" spans="1:13" ht="59.1" customHeight="1">
      <c r="A29" s="41" t="s">
        <v>247</v>
      </c>
      <c r="B29" s="1637" t="s">
        <v>2614</v>
      </c>
      <c r="C29" s="1637"/>
      <c r="D29" s="41" t="s">
        <v>249</v>
      </c>
      <c r="E29" s="186" t="s">
        <v>2615</v>
      </c>
      <c r="F29" s="41" t="s">
        <v>251</v>
      </c>
      <c r="G29" s="41"/>
      <c r="H29" s="41" t="s">
        <v>252</v>
      </c>
      <c r="I29" s="40" t="s">
        <v>425</v>
      </c>
      <c r="J29" s="2016" t="s">
        <v>2600</v>
      </c>
      <c r="K29" s="2003"/>
      <c r="L29" s="2003"/>
      <c r="M29" s="2004"/>
    </row>
    <row r="30" spans="1:13" ht="59.1" customHeight="1">
      <c r="A30" s="41" t="s">
        <v>257</v>
      </c>
      <c r="B30" s="1637"/>
      <c r="C30" s="1637"/>
      <c r="D30" s="1637"/>
      <c r="E30" s="43" t="s">
        <v>258</v>
      </c>
      <c r="F30" s="1014"/>
      <c r="G30" s="1014"/>
      <c r="H30" s="1014"/>
      <c r="I30" s="1016"/>
      <c r="J30" s="1017" t="s">
        <v>253</v>
      </c>
      <c r="K30" s="1018"/>
      <c r="L30" s="15" t="s">
        <v>255</v>
      </c>
      <c r="M30" s="271" t="s">
        <v>2616</v>
      </c>
    </row>
    <row r="31" spans="1:13" ht="59.1" customHeight="1">
      <c r="A31" s="41" t="s">
        <v>260</v>
      </c>
      <c r="B31" s="1747" t="s">
        <v>2601</v>
      </c>
      <c r="C31" s="1747"/>
      <c r="D31" s="1747"/>
      <c r="E31" s="1747"/>
      <c r="F31" s="58"/>
      <c r="G31" s="58"/>
      <c r="H31" s="1015"/>
      <c r="I31" s="58"/>
      <c r="J31" s="58"/>
      <c r="K31" s="58"/>
      <c r="L31" s="1019" t="s">
        <v>245</v>
      </c>
      <c r="M31" s="41" t="s">
        <v>2617</v>
      </c>
    </row>
    <row r="32" spans="1:13" ht="59.1" customHeight="1">
      <c r="A32" s="999" t="s">
        <v>266</v>
      </c>
      <c r="B32" s="1000" t="s">
        <v>267</v>
      </c>
      <c r="C32" s="1000" t="s">
        <v>268</v>
      </c>
      <c r="D32" s="1000" t="s">
        <v>269</v>
      </c>
      <c r="E32" s="1000" t="s">
        <v>270</v>
      </c>
      <c r="F32" s="1000" t="s">
        <v>271</v>
      </c>
      <c r="G32" s="1001" t="s">
        <v>272</v>
      </c>
      <c r="H32" s="1000" t="s">
        <v>273</v>
      </c>
      <c r="I32" s="1020" t="s">
        <v>274</v>
      </c>
      <c r="J32" s="1020" t="s">
        <v>275</v>
      </c>
      <c r="K32" s="1020" t="s">
        <v>276</v>
      </c>
      <c r="L32" s="1000" t="s">
        <v>277</v>
      </c>
      <c r="M32" s="999" t="s">
        <v>278</v>
      </c>
    </row>
    <row r="33" spans="1:13" ht="36" customHeight="1">
      <c r="A33" s="405" t="s">
        <v>2637</v>
      </c>
      <c r="B33" s="360">
        <v>904.5</v>
      </c>
      <c r="C33" s="360">
        <v>298290</v>
      </c>
      <c r="D33" s="360">
        <f>+B33</f>
        <v>904.5</v>
      </c>
      <c r="E33" s="360">
        <f>C33</f>
        <v>298290</v>
      </c>
      <c r="F33" s="360"/>
      <c r="G33" s="294">
        <f>E33*0.3</f>
        <v>89487</v>
      </c>
      <c r="H33" s="294"/>
      <c r="I33" s="360"/>
      <c r="J33" s="360"/>
      <c r="K33" s="294">
        <f>+H33-I33</f>
        <v>0</v>
      </c>
      <c r="L33" s="360">
        <f>E33-J33</f>
        <v>298290</v>
      </c>
      <c r="M33" s="360" t="s">
        <v>2638</v>
      </c>
    </row>
    <row r="34" spans="1:13" ht="36" customHeight="1">
      <c r="A34" s="405" t="s">
        <v>2639</v>
      </c>
      <c r="B34" s="360">
        <v>1994.4</v>
      </c>
      <c r="C34" s="360">
        <v>621778.57999999996</v>
      </c>
      <c r="D34" s="360">
        <f t="shared" ref="D34:E36" si="6">D33+B34</f>
        <v>2898.9</v>
      </c>
      <c r="E34" s="360">
        <f t="shared" si="6"/>
        <v>920068.58</v>
      </c>
      <c r="F34" s="360"/>
      <c r="G34" s="294">
        <f>E34*0.3</f>
        <v>276020.57399999996</v>
      </c>
      <c r="H34" s="294">
        <f>C33*0.7</f>
        <v>208803</v>
      </c>
      <c r="I34" s="360"/>
      <c r="J34" s="360">
        <f>I34+J33</f>
        <v>0</v>
      </c>
      <c r="K34" s="294">
        <f>K33+H34-I34</f>
        <v>208803</v>
      </c>
      <c r="L34" s="360">
        <f>E34-J34</f>
        <v>920068.58</v>
      </c>
      <c r="M34" s="360"/>
    </row>
    <row r="35" spans="1:13" ht="36" customHeight="1">
      <c r="A35" s="405" t="s">
        <v>2640</v>
      </c>
      <c r="B35" s="360">
        <v>2828.5</v>
      </c>
      <c r="C35" s="360">
        <v>946098.12</v>
      </c>
      <c r="D35" s="360">
        <f t="shared" si="6"/>
        <v>5727.4</v>
      </c>
      <c r="E35" s="360">
        <f t="shared" si="6"/>
        <v>1866166.7</v>
      </c>
      <c r="F35" s="360"/>
      <c r="G35" s="294">
        <f>E35*0.3</f>
        <v>559850.01</v>
      </c>
      <c r="H35" s="294">
        <f>C34*0.7</f>
        <v>435245.00599999994</v>
      </c>
      <c r="I35" s="360"/>
      <c r="J35" s="360">
        <f>I35+J34</f>
        <v>0</v>
      </c>
      <c r="K35" s="294">
        <f>K34+H35-I35</f>
        <v>644048.00599999994</v>
      </c>
      <c r="L35" s="360">
        <f>E35-J35</f>
        <v>1866166.7</v>
      </c>
      <c r="M35" s="360" t="s">
        <v>2641</v>
      </c>
    </row>
    <row r="36" spans="1:13" ht="36" customHeight="1">
      <c r="A36" s="405">
        <v>42948</v>
      </c>
      <c r="B36" s="360"/>
      <c r="C36" s="360"/>
      <c r="D36" s="360">
        <f t="shared" si="6"/>
        <v>5727.4</v>
      </c>
      <c r="E36" s="360">
        <f t="shared" si="6"/>
        <v>1866166.7</v>
      </c>
      <c r="F36" s="360"/>
      <c r="G36" s="294">
        <f>E36*0.3</f>
        <v>559850.01</v>
      </c>
      <c r="H36" s="294">
        <f>C35*0.7</f>
        <v>662268.68400000001</v>
      </c>
      <c r="I36" s="360"/>
      <c r="J36" s="360"/>
      <c r="K36" s="294">
        <f>K35+H36-I36</f>
        <v>1306316.69</v>
      </c>
      <c r="L36" s="360">
        <f>E36-J36</f>
        <v>1866166.7</v>
      </c>
      <c r="M36" s="360"/>
    </row>
    <row r="37" spans="1:13" ht="36" customHeight="1">
      <c r="A37" s="405"/>
      <c r="B37" s="360"/>
      <c r="C37" s="360"/>
      <c r="D37" s="360"/>
      <c r="E37" s="360"/>
      <c r="F37" s="360"/>
      <c r="G37" s="360"/>
      <c r="H37" s="294">
        <f>C36*0.7</f>
        <v>0</v>
      </c>
      <c r="I37" s="360"/>
      <c r="J37" s="360"/>
      <c r="K37" s="294">
        <f>K36+H37-I37</f>
        <v>1306316.69</v>
      </c>
      <c r="L37" s="360"/>
      <c r="M37" s="360"/>
    </row>
    <row r="38" spans="1:13" ht="36" customHeight="1">
      <c r="A38" s="405"/>
      <c r="B38" s="360"/>
      <c r="C38" s="360"/>
      <c r="D38" s="360"/>
      <c r="E38" s="360"/>
      <c r="F38" s="360"/>
      <c r="G38" s="360"/>
      <c r="H38" s="294"/>
      <c r="I38" s="360"/>
      <c r="J38" s="360"/>
      <c r="K38" s="294"/>
      <c r="L38" s="360"/>
      <c r="M38" s="360"/>
    </row>
    <row r="39" spans="1:13" ht="36" customHeight="1">
      <c r="A39" s="405"/>
      <c r="B39" s="360"/>
      <c r="C39" s="360"/>
      <c r="D39" s="360"/>
      <c r="E39" s="360"/>
      <c r="F39" s="360"/>
      <c r="G39" s="360"/>
      <c r="H39" s="294"/>
      <c r="I39" s="360"/>
      <c r="J39" s="360"/>
      <c r="K39" s="294"/>
      <c r="L39" s="360"/>
      <c r="M39" s="360"/>
    </row>
    <row r="40" spans="1:13" ht="36" customHeight="1">
      <c r="A40" s="405"/>
      <c r="B40" s="360"/>
      <c r="C40" s="360"/>
      <c r="D40" s="360"/>
      <c r="E40" s="360"/>
      <c r="F40" s="360"/>
      <c r="G40" s="360">
        <f>G36+G25</f>
        <v>4921702.074</v>
      </c>
      <c r="H40" s="294"/>
      <c r="I40" s="360"/>
      <c r="J40" s="360">
        <f>K37+K26</f>
        <v>668581.06600000011</v>
      </c>
      <c r="K40" s="294"/>
      <c r="L40" s="360"/>
      <c r="M40" s="360"/>
    </row>
    <row r="41" spans="1:13" ht="36" customHeight="1">
      <c r="A41" s="1007"/>
      <c r="B41" s="360"/>
      <c r="C41" s="360"/>
      <c r="D41" s="360"/>
      <c r="E41" s="360"/>
      <c r="F41" s="360"/>
      <c r="G41" s="360"/>
      <c r="H41" s="360"/>
      <c r="I41" s="360"/>
      <c r="J41" s="360"/>
      <c r="K41" s="360"/>
      <c r="L41" s="360"/>
      <c r="M41" s="360"/>
    </row>
  </sheetData>
  <mergeCells count="20">
    <mergeCell ref="B30:D30"/>
    <mergeCell ref="B31:E31"/>
    <mergeCell ref="I1:I2"/>
    <mergeCell ref="I27:I28"/>
    <mergeCell ref="M1:M2"/>
    <mergeCell ref="M27:M28"/>
    <mergeCell ref="J1:L2"/>
    <mergeCell ref="J27:L28"/>
    <mergeCell ref="B5:E5"/>
    <mergeCell ref="C27:D27"/>
    <mergeCell ref="B28:C28"/>
    <mergeCell ref="E28:F28"/>
    <mergeCell ref="B29:C29"/>
    <mergeCell ref="J29:M29"/>
    <mergeCell ref="C1:D1"/>
    <mergeCell ref="B2:C2"/>
    <mergeCell ref="E2:F2"/>
    <mergeCell ref="B3:C3"/>
    <mergeCell ref="J3:M3"/>
    <mergeCell ref="B4:D4"/>
  </mergeCells>
  <phoneticPr fontId="84" type="noConversion"/>
  <pageMargins left="0.75" right="0.75" top="1" bottom="1" header="0.51" footer="0.51"/>
  <pageSetup paperSize="9" orientation="portrait" verticalDpi="200"/>
  <headerFooter scaleWithDoc="0" alignWithMargins="0"/>
  <legacyDrawing r:id="rId1"/>
</worksheet>
</file>

<file path=xl/worksheets/sheet10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6"/>
  <sheetViews>
    <sheetView topLeftCell="A19" zoomScaleSheetLayoutView="100" workbookViewId="0">
      <selection activeCell="B23" sqref="B23:M23"/>
    </sheetView>
  </sheetViews>
  <sheetFormatPr defaultColWidth="9" defaultRowHeight="14.25"/>
  <cols>
    <col min="1" max="1" width="18.5" customWidth="1"/>
    <col min="2" max="2" width="16.125" customWidth="1"/>
    <col min="3" max="3" width="14.125" customWidth="1"/>
    <col min="4" max="4" width="13.75" customWidth="1"/>
    <col min="5" max="5" width="13.875" customWidth="1"/>
    <col min="6" max="6" width="13.375" customWidth="1"/>
    <col min="7" max="7" width="11.5" customWidth="1"/>
    <col min="8" max="9" width="11.625" customWidth="1"/>
    <col min="10" max="10" width="15" customWidth="1"/>
    <col min="11" max="11" width="15.25" customWidth="1"/>
    <col min="12" max="12" width="15.125" customWidth="1"/>
    <col min="13" max="13" width="44.375" customWidth="1"/>
  </cols>
  <sheetData>
    <row r="1" spans="1:13" ht="62.1" customHeight="1">
      <c r="A1" s="1008" t="s">
        <v>348</v>
      </c>
      <c r="B1" s="1009" t="s">
        <v>2643</v>
      </c>
      <c r="C1" s="1822" t="s">
        <v>2644</v>
      </c>
      <c r="D1" s="1822"/>
      <c r="E1" s="1008" t="s">
        <v>236</v>
      </c>
      <c r="F1" s="286" t="s">
        <v>2610</v>
      </c>
      <c r="G1" s="1010" t="s">
        <v>351</v>
      </c>
      <c r="H1" s="59" t="s">
        <v>2645</v>
      </c>
      <c r="I1" s="41" t="s">
        <v>237</v>
      </c>
      <c r="J1" s="1820" t="s">
        <v>2646</v>
      </c>
      <c r="K1" s="1821"/>
      <c r="L1" s="1827"/>
      <c r="M1" s="1011" t="s">
        <v>2647</v>
      </c>
    </row>
    <row r="2" spans="1:13" ht="89.1" customHeight="1">
      <c r="A2" s="41" t="s">
        <v>240</v>
      </c>
      <c r="B2" s="1637" t="s">
        <v>2100</v>
      </c>
      <c r="C2" s="1637"/>
      <c r="D2" s="41" t="s">
        <v>242</v>
      </c>
      <c r="E2" s="1638"/>
      <c r="F2" s="1638"/>
      <c r="G2" s="41" t="s">
        <v>243</v>
      </c>
      <c r="H2" s="41" t="s">
        <v>421</v>
      </c>
      <c r="I2" s="41" t="s">
        <v>425</v>
      </c>
      <c r="J2" s="1820" t="s">
        <v>2648</v>
      </c>
      <c r="K2" s="1821"/>
      <c r="L2" s="1821"/>
      <c r="M2" s="1827"/>
    </row>
    <row r="3" spans="1:13" ht="45.95" customHeight="1">
      <c r="A3" s="41" t="s">
        <v>247</v>
      </c>
      <c r="B3" s="1637" t="s">
        <v>2649</v>
      </c>
      <c r="C3" s="1637"/>
      <c r="D3" s="41" t="s">
        <v>249</v>
      </c>
      <c r="E3" s="186">
        <v>68000</v>
      </c>
      <c r="F3" s="41" t="s">
        <v>251</v>
      </c>
      <c r="G3" s="41" t="s">
        <v>2650</v>
      </c>
      <c r="H3" s="41" t="s">
        <v>252</v>
      </c>
      <c r="I3" s="90">
        <v>18620556670</v>
      </c>
      <c r="J3" s="1012" t="s">
        <v>253</v>
      </c>
      <c r="K3" s="40" t="s">
        <v>2651</v>
      </c>
      <c r="L3" s="400" t="s">
        <v>255</v>
      </c>
      <c r="M3" s="271" t="s">
        <v>2652</v>
      </c>
    </row>
    <row r="4" spans="1:13" ht="55.5" customHeight="1">
      <c r="A4" s="41" t="s">
        <v>257</v>
      </c>
      <c r="B4" s="1637"/>
      <c r="C4" s="1637"/>
      <c r="D4" s="1637"/>
      <c r="E4" s="43" t="s">
        <v>258</v>
      </c>
      <c r="F4" s="1638"/>
      <c r="G4" s="1638"/>
      <c r="H4" s="1638"/>
      <c r="I4" s="1637"/>
      <c r="J4" s="1637"/>
      <c r="K4" s="1013"/>
      <c r="L4" s="41" t="s">
        <v>245</v>
      </c>
      <c r="M4" s="41" t="s">
        <v>2653</v>
      </c>
    </row>
    <row r="5" spans="1:13" ht="99.95" customHeight="1">
      <c r="A5" s="41" t="s">
        <v>260</v>
      </c>
      <c r="B5" s="2001" t="s">
        <v>2654</v>
      </c>
      <c r="C5" s="2001"/>
      <c r="D5" s="2001"/>
      <c r="E5" s="2001"/>
      <c r="F5" s="1665"/>
      <c r="G5" s="1665"/>
      <c r="H5" s="1665"/>
      <c r="I5" s="1665"/>
      <c r="J5" s="1665"/>
      <c r="K5" s="1665"/>
      <c r="L5" s="150"/>
      <c r="M5" s="150"/>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42" customHeight="1">
      <c r="A7" s="405" t="s">
        <v>2655</v>
      </c>
      <c r="B7" s="360">
        <v>3177</v>
      </c>
      <c r="C7" s="360">
        <v>812613</v>
      </c>
      <c r="D7" s="360">
        <f>B7</f>
        <v>3177</v>
      </c>
      <c r="E7" s="360">
        <f>C7</f>
        <v>812613</v>
      </c>
      <c r="F7" s="360"/>
      <c r="G7" s="360">
        <f>C7</f>
        <v>812613</v>
      </c>
      <c r="H7" s="360"/>
      <c r="I7" s="360"/>
      <c r="J7" s="360"/>
      <c r="K7" s="360"/>
      <c r="L7" s="360">
        <f t="shared" ref="L7:L21" si="0">E7-J7</f>
        <v>812613</v>
      </c>
      <c r="M7" s="360"/>
    </row>
    <row r="8" spans="1:13" s="977" customFormat="1" ht="36" customHeight="1">
      <c r="A8" s="405" t="s">
        <v>2656</v>
      </c>
      <c r="B8" s="360">
        <v>5313.5</v>
      </c>
      <c r="C8" s="360">
        <v>1435269</v>
      </c>
      <c r="D8" s="360">
        <f t="shared" ref="D8:D21" si="1">D7+B8</f>
        <v>8490.5</v>
      </c>
      <c r="E8" s="360">
        <f t="shared" ref="E8:E21" si="2">E7+C8</f>
        <v>2247882</v>
      </c>
      <c r="F8" s="360"/>
      <c r="G8" s="360">
        <f>C7*0.3+C8</f>
        <v>1679052.9</v>
      </c>
      <c r="H8" s="360"/>
      <c r="I8" s="360"/>
      <c r="J8" s="360"/>
      <c r="K8" s="360">
        <f t="shared" ref="K8:K22" si="3">K7+H8-I8</f>
        <v>0</v>
      </c>
      <c r="L8" s="360">
        <f t="shared" si="0"/>
        <v>2247882</v>
      </c>
      <c r="M8" s="360"/>
    </row>
    <row r="9" spans="1:13" s="977" customFormat="1" ht="36" customHeight="1">
      <c r="A9" s="405" t="s">
        <v>2657</v>
      </c>
      <c r="B9" s="360">
        <v>7373</v>
      </c>
      <c r="C9" s="360">
        <v>2154915</v>
      </c>
      <c r="D9" s="360">
        <f t="shared" si="1"/>
        <v>15863.5</v>
      </c>
      <c r="E9" s="360">
        <f t="shared" si="2"/>
        <v>4402797</v>
      </c>
      <c r="F9" s="360"/>
      <c r="G9" s="360">
        <f>E8*0.3+C9</f>
        <v>2829279.6</v>
      </c>
      <c r="H9" s="360">
        <f t="shared" ref="H9:H22" si="4">C7*0.7</f>
        <v>568829.1</v>
      </c>
      <c r="I9" s="360">
        <v>568829.1</v>
      </c>
      <c r="J9" s="360">
        <f>I9</f>
        <v>568829.1</v>
      </c>
      <c r="K9" s="360">
        <f t="shared" si="3"/>
        <v>0</v>
      </c>
      <c r="L9" s="360">
        <f t="shared" si="0"/>
        <v>3833967.9</v>
      </c>
      <c r="M9" s="360" t="s">
        <v>2658</v>
      </c>
    </row>
    <row r="10" spans="1:13" s="977" customFormat="1" ht="36" customHeight="1">
      <c r="A10" s="405" t="s">
        <v>2659</v>
      </c>
      <c r="B10" s="360">
        <v>4748</v>
      </c>
      <c r="C10" s="360">
        <v>1425527</v>
      </c>
      <c r="D10" s="360">
        <f t="shared" si="1"/>
        <v>20611.5</v>
      </c>
      <c r="E10" s="360">
        <f t="shared" si="2"/>
        <v>5828324</v>
      </c>
      <c r="F10" s="360"/>
      <c r="G10" s="360">
        <f>E9*0.3+C10</f>
        <v>2746366.0999999996</v>
      </c>
      <c r="H10" s="360">
        <f t="shared" si="4"/>
        <v>1004688.2999999999</v>
      </c>
      <c r="I10" s="360"/>
      <c r="J10" s="360">
        <f t="shared" ref="J10:J21" si="5">I10+J9</f>
        <v>568829.1</v>
      </c>
      <c r="K10" s="360">
        <f t="shared" si="3"/>
        <v>1004688.2999999999</v>
      </c>
      <c r="L10" s="360">
        <f t="shared" si="0"/>
        <v>5259494.9000000004</v>
      </c>
      <c r="M10" s="360"/>
    </row>
    <row r="11" spans="1:13" s="977" customFormat="1" ht="36" customHeight="1">
      <c r="A11" s="405" t="s">
        <v>2660</v>
      </c>
      <c r="B11" s="360">
        <v>4202.5</v>
      </c>
      <c r="C11" s="360">
        <v>1346235.5</v>
      </c>
      <c r="D11" s="360">
        <f t="shared" si="1"/>
        <v>24814</v>
      </c>
      <c r="E11" s="360">
        <f t="shared" si="2"/>
        <v>7174559.5</v>
      </c>
      <c r="F11" s="360"/>
      <c r="G11" s="360">
        <f>E10*0.3+C11</f>
        <v>3094732.7</v>
      </c>
      <c r="H11" s="360">
        <f t="shared" si="4"/>
        <v>1508440.5</v>
      </c>
      <c r="I11" s="360"/>
      <c r="J11" s="360">
        <f t="shared" si="5"/>
        <v>568829.1</v>
      </c>
      <c r="K11" s="360">
        <f t="shared" si="3"/>
        <v>2513128.7999999998</v>
      </c>
      <c r="L11" s="360">
        <f t="shared" si="0"/>
        <v>6605730.4000000004</v>
      </c>
      <c r="M11" s="360"/>
    </row>
    <row r="12" spans="1:13" s="977" customFormat="1" ht="36" customHeight="1">
      <c r="A12" s="405" t="s">
        <v>2661</v>
      </c>
      <c r="B12" s="360">
        <v>4752</v>
      </c>
      <c r="C12" s="360">
        <v>1484357.5</v>
      </c>
      <c r="D12" s="360">
        <f t="shared" si="1"/>
        <v>29566</v>
      </c>
      <c r="E12" s="360">
        <f t="shared" si="2"/>
        <v>8658917</v>
      </c>
      <c r="F12" s="360"/>
      <c r="G12" s="360">
        <f t="shared" ref="G12:G21" si="6">E11*0.3+C12</f>
        <v>3636725.35</v>
      </c>
      <c r="H12" s="360">
        <f t="shared" si="4"/>
        <v>997868.89999999991</v>
      </c>
      <c r="I12" s="360"/>
      <c r="J12" s="360">
        <f t="shared" si="5"/>
        <v>568829.1</v>
      </c>
      <c r="K12" s="360">
        <f t="shared" si="3"/>
        <v>3510997.6999999997</v>
      </c>
      <c r="L12" s="360">
        <f t="shared" si="0"/>
        <v>8090087.9000000004</v>
      </c>
      <c r="M12" s="360"/>
    </row>
    <row r="13" spans="1:13" s="977" customFormat="1" ht="36" customHeight="1">
      <c r="A13" s="405" t="s">
        <v>2662</v>
      </c>
      <c r="B13" s="360">
        <v>3980</v>
      </c>
      <c r="C13" s="360">
        <v>1160493</v>
      </c>
      <c r="D13" s="360">
        <f t="shared" si="1"/>
        <v>33546</v>
      </c>
      <c r="E13" s="360">
        <f t="shared" si="2"/>
        <v>9819410</v>
      </c>
      <c r="F13" s="360"/>
      <c r="G13" s="360">
        <f t="shared" si="6"/>
        <v>3758168.1</v>
      </c>
      <c r="H13" s="360">
        <f t="shared" si="4"/>
        <v>942364.85</v>
      </c>
      <c r="I13" s="360">
        <f>942364.4+1057635.6</f>
        <v>2000000</v>
      </c>
      <c r="J13" s="360">
        <f t="shared" si="5"/>
        <v>2568829.1</v>
      </c>
      <c r="K13" s="360">
        <f t="shared" si="3"/>
        <v>2453362.5499999998</v>
      </c>
      <c r="L13" s="360">
        <f t="shared" si="0"/>
        <v>7250580.9000000004</v>
      </c>
      <c r="M13" s="360" t="s">
        <v>2663</v>
      </c>
    </row>
    <row r="14" spans="1:13" s="977" customFormat="1" ht="36" customHeight="1">
      <c r="A14" s="405" t="s">
        <v>2664</v>
      </c>
      <c r="B14" s="360">
        <v>5817</v>
      </c>
      <c r="C14" s="360">
        <v>1790189.5</v>
      </c>
      <c r="D14" s="360">
        <f t="shared" si="1"/>
        <v>39363</v>
      </c>
      <c r="E14" s="360">
        <f t="shared" si="2"/>
        <v>11609599.5</v>
      </c>
      <c r="F14" s="360"/>
      <c r="G14" s="360">
        <f t="shared" si="6"/>
        <v>4736012.5</v>
      </c>
      <c r="H14" s="360">
        <f t="shared" si="4"/>
        <v>1039050.2499999999</v>
      </c>
      <c r="I14" s="360">
        <v>3492412.8</v>
      </c>
      <c r="J14" s="360">
        <f t="shared" si="5"/>
        <v>6061241.9000000004</v>
      </c>
      <c r="K14" s="360">
        <f t="shared" si="3"/>
        <v>0</v>
      </c>
      <c r="L14" s="360">
        <f t="shared" si="0"/>
        <v>5548357.5999999996</v>
      </c>
      <c r="M14" s="360" t="s">
        <v>2665</v>
      </c>
    </row>
    <row r="15" spans="1:13" s="977" customFormat="1" ht="36" customHeight="1">
      <c r="A15" s="405" t="s">
        <v>2666</v>
      </c>
      <c r="B15" s="360"/>
      <c r="C15" s="360">
        <f>10370+232680</f>
        <v>243050</v>
      </c>
      <c r="D15" s="360">
        <f t="shared" si="1"/>
        <v>39363</v>
      </c>
      <c r="E15" s="360">
        <f t="shared" si="2"/>
        <v>11852649.5</v>
      </c>
      <c r="F15" s="360"/>
      <c r="G15" s="360">
        <f t="shared" si="6"/>
        <v>3725929.85</v>
      </c>
      <c r="H15" s="360">
        <f t="shared" si="4"/>
        <v>812345.1</v>
      </c>
      <c r="I15" s="360"/>
      <c r="J15" s="360">
        <f t="shared" si="5"/>
        <v>6061241.9000000004</v>
      </c>
      <c r="K15" s="360">
        <f t="shared" si="3"/>
        <v>812345.1</v>
      </c>
      <c r="L15" s="360">
        <f t="shared" si="0"/>
        <v>5791407.5999999996</v>
      </c>
      <c r="M15" s="360"/>
    </row>
    <row r="16" spans="1:13" s="977" customFormat="1" ht="36" customHeight="1">
      <c r="A16" s="405" t="s">
        <v>2667</v>
      </c>
      <c r="B16" s="360">
        <v>6479.5</v>
      </c>
      <c r="C16" s="360">
        <v>1837505</v>
      </c>
      <c r="D16" s="360">
        <f t="shared" si="1"/>
        <v>45842.5</v>
      </c>
      <c r="E16" s="360">
        <f t="shared" si="2"/>
        <v>13690154.5</v>
      </c>
      <c r="F16" s="360"/>
      <c r="G16" s="360">
        <f t="shared" si="6"/>
        <v>5393299.8499999996</v>
      </c>
      <c r="H16" s="360">
        <f t="shared" si="4"/>
        <v>1253132.6499999999</v>
      </c>
      <c r="I16" s="360">
        <v>2065476.89</v>
      </c>
      <c r="J16" s="360">
        <f t="shared" si="5"/>
        <v>8126718.79</v>
      </c>
      <c r="K16" s="360">
        <f t="shared" si="3"/>
        <v>0.86000000010244548</v>
      </c>
      <c r="L16" s="360">
        <f t="shared" si="0"/>
        <v>5563435.71</v>
      </c>
      <c r="M16" s="360" t="s">
        <v>2668</v>
      </c>
    </row>
    <row r="17" spans="1:13" s="977" customFormat="1" ht="36" customHeight="1">
      <c r="A17" s="405" t="s">
        <v>2669</v>
      </c>
      <c r="B17" s="360">
        <v>7209</v>
      </c>
      <c r="C17" s="360">
        <v>2002681.5</v>
      </c>
      <c r="D17" s="360">
        <f t="shared" si="1"/>
        <v>53051.5</v>
      </c>
      <c r="E17" s="360">
        <f t="shared" si="2"/>
        <v>15692836</v>
      </c>
      <c r="F17" s="360"/>
      <c r="G17" s="360">
        <f t="shared" si="6"/>
        <v>6109727.8499999996</v>
      </c>
      <c r="H17" s="360">
        <f t="shared" si="4"/>
        <v>170135</v>
      </c>
      <c r="I17" s="360"/>
      <c r="J17" s="360">
        <f t="shared" si="5"/>
        <v>8126718.79</v>
      </c>
      <c r="K17" s="360">
        <f t="shared" si="3"/>
        <v>170135.8600000001</v>
      </c>
      <c r="L17" s="360">
        <f t="shared" si="0"/>
        <v>7566117.21</v>
      </c>
      <c r="M17" s="360"/>
    </row>
    <row r="18" spans="1:13" s="977" customFormat="1" ht="36" customHeight="1">
      <c r="A18" s="405" t="s">
        <v>625</v>
      </c>
      <c r="B18" s="360">
        <v>6268</v>
      </c>
      <c r="C18" s="360">
        <v>1705685.5</v>
      </c>
      <c r="D18" s="360">
        <f t="shared" si="1"/>
        <v>59319.5</v>
      </c>
      <c r="E18" s="360">
        <f t="shared" si="2"/>
        <v>17398521.5</v>
      </c>
      <c r="F18" s="360"/>
      <c r="G18" s="360">
        <f t="shared" si="6"/>
        <v>6413536.2999999998</v>
      </c>
      <c r="H18" s="360">
        <f t="shared" si="4"/>
        <v>1286253.5</v>
      </c>
      <c r="I18" s="360"/>
      <c r="J18" s="360">
        <f t="shared" si="5"/>
        <v>8126718.79</v>
      </c>
      <c r="K18" s="360">
        <f t="shared" si="3"/>
        <v>1456389.36</v>
      </c>
      <c r="L18" s="360">
        <f t="shared" si="0"/>
        <v>9271802.7100000009</v>
      </c>
      <c r="M18" s="360" t="s">
        <v>2670</v>
      </c>
    </row>
    <row r="19" spans="1:13" s="977" customFormat="1" ht="36" customHeight="1">
      <c r="A19" s="405" t="s">
        <v>627</v>
      </c>
      <c r="B19" s="360">
        <v>4055.5</v>
      </c>
      <c r="C19" s="360">
        <v>1073807</v>
      </c>
      <c r="D19" s="360">
        <f t="shared" si="1"/>
        <v>63375</v>
      </c>
      <c r="E19" s="360">
        <f t="shared" si="2"/>
        <v>18472328.5</v>
      </c>
      <c r="F19" s="360"/>
      <c r="G19" s="360">
        <f t="shared" si="6"/>
        <v>6293363.4500000002</v>
      </c>
      <c r="H19" s="360">
        <f t="shared" si="4"/>
        <v>1401877.0499999998</v>
      </c>
      <c r="I19" s="360">
        <v>1456387.5</v>
      </c>
      <c r="J19" s="360">
        <f t="shared" si="5"/>
        <v>9583106.2899999991</v>
      </c>
      <c r="K19" s="360">
        <f t="shared" si="3"/>
        <v>1401878.9100000001</v>
      </c>
      <c r="L19" s="360">
        <f t="shared" si="0"/>
        <v>8889222.2100000009</v>
      </c>
      <c r="M19" s="360"/>
    </row>
    <row r="20" spans="1:13" s="977" customFormat="1" ht="36" customHeight="1">
      <c r="A20" s="405" t="s">
        <v>629</v>
      </c>
      <c r="B20" s="360">
        <v>2457</v>
      </c>
      <c r="C20" s="360">
        <f>635846+481010</f>
        <v>1116856</v>
      </c>
      <c r="D20" s="360">
        <f t="shared" si="1"/>
        <v>65832</v>
      </c>
      <c r="E20" s="360">
        <f t="shared" si="2"/>
        <v>19589184.5</v>
      </c>
      <c r="F20" s="360"/>
      <c r="G20" s="360">
        <f t="shared" si="6"/>
        <v>6658554.5499999998</v>
      </c>
      <c r="H20" s="360">
        <f t="shared" si="4"/>
        <v>1193979.8499999999</v>
      </c>
      <c r="I20" s="360"/>
      <c r="J20" s="360">
        <f t="shared" si="5"/>
        <v>9583106.2899999991</v>
      </c>
      <c r="K20" s="360">
        <f t="shared" si="3"/>
        <v>2595858.7599999998</v>
      </c>
      <c r="L20" s="360">
        <f t="shared" si="0"/>
        <v>10006078.210000001</v>
      </c>
      <c r="M20" s="360" t="s">
        <v>2671</v>
      </c>
    </row>
    <row r="21" spans="1:13" s="977" customFormat="1" ht="36" customHeight="1">
      <c r="A21" s="405" t="s">
        <v>630</v>
      </c>
      <c r="B21" s="360">
        <v>1158</v>
      </c>
      <c r="C21" s="360">
        <v>321995.5</v>
      </c>
      <c r="D21" s="360">
        <f t="shared" si="1"/>
        <v>66990</v>
      </c>
      <c r="E21" s="360">
        <f t="shared" si="2"/>
        <v>19911180</v>
      </c>
      <c r="F21" s="360"/>
      <c r="G21" s="360">
        <f t="shared" si="6"/>
        <v>6198750.8499999996</v>
      </c>
      <c r="H21" s="360">
        <f t="shared" si="4"/>
        <v>751664.89999999991</v>
      </c>
      <c r="I21" s="360">
        <v>1193979.93</v>
      </c>
      <c r="J21" s="360">
        <f t="shared" si="5"/>
        <v>10777086.219999999</v>
      </c>
      <c r="K21" s="360">
        <f t="shared" si="3"/>
        <v>2153543.7299999995</v>
      </c>
      <c r="L21" s="360">
        <f t="shared" si="0"/>
        <v>9134093.7800000012</v>
      </c>
      <c r="M21" s="360"/>
    </row>
    <row r="22" spans="1:13" s="977" customFormat="1" ht="36" customHeight="1">
      <c r="A22" s="405"/>
      <c r="B22" s="360"/>
      <c r="C22" s="360"/>
      <c r="D22" s="360"/>
      <c r="E22" s="360"/>
      <c r="F22" s="360"/>
      <c r="G22" s="360"/>
      <c r="H22" s="360">
        <f t="shared" si="4"/>
        <v>781799.2</v>
      </c>
      <c r="I22" s="360"/>
      <c r="J22" s="360"/>
      <c r="K22" s="360">
        <f t="shared" si="3"/>
        <v>2935342.9299999997</v>
      </c>
      <c r="L22" s="360"/>
      <c r="M22" s="360"/>
    </row>
    <row r="23" spans="1:13" s="977" customFormat="1" ht="36" customHeight="1">
      <c r="A23" s="405">
        <v>42979</v>
      </c>
      <c r="B23" s="360">
        <v>1158</v>
      </c>
      <c r="C23" s="360">
        <v>321995.5</v>
      </c>
      <c r="D23" s="360">
        <v>66990</v>
      </c>
      <c r="E23" s="360">
        <v>19911180</v>
      </c>
      <c r="F23" s="360"/>
      <c r="G23" s="360">
        <v>6198750.8499999996</v>
      </c>
      <c r="H23" s="360">
        <v>751664.89999999991</v>
      </c>
      <c r="I23" s="360">
        <v>1193979.93</v>
      </c>
      <c r="J23" s="360">
        <v>10777086.219999999</v>
      </c>
      <c r="K23" s="360">
        <v>2153543.7299999995</v>
      </c>
      <c r="L23" s="360">
        <v>9134093.7800000012</v>
      </c>
      <c r="M23" s="360"/>
    </row>
    <row r="24" spans="1:13" s="977" customFormat="1" ht="36" customHeight="1">
      <c r="A24" s="405"/>
      <c r="B24" s="360"/>
      <c r="C24" s="360"/>
      <c r="D24" s="360"/>
      <c r="E24" s="360"/>
      <c r="F24" s="360"/>
      <c r="G24" s="360"/>
      <c r="H24" s="360"/>
      <c r="I24" s="360"/>
      <c r="J24" s="360"/>
      <c r="K24" s="360"/>
      <c r="L24" s="360"/>
      <c r="M24" s="360"/>
    </row>
    <row r="25" spans="1:13" s="977" customFormat="1" ht="36" customHeight="1">
      <c r="A25" s="1002"/>
      <c r="B25" s="360"/>
      <c r="C25" s="360"/>
      <c r="D25" s="360"/>
      <c r="E25" s="360"/>
      <c r="F25" s="360"/>
      <c r="G25" s="360"/>
      <c r="H25" s="360"/>
      <c r="I25" s="360"/>
      <c r="J25" s="360"/>
      <c r="K25" s="360"/>
      <c r="L25" s="360"/>
      <c r="M25" s="360"/>
    </row>
    <row r="26" spans="1:13" ht="36" customHeight="1"/>
  </sheetData>
  <mergeCells count="11">
    <mergeCell ref="C1:D1"/>
    <mergeCell ref="J1:L1"/>
    <mergeCell ref="B2:C2"/>
    <mergeCell ref="E2:F2"/>
    <mergeCell ref="J2:M2"/>
    <mergeCell ref="B3:C3"/>
    <mergeCell ref="B4:D4"/>
    <mergeCell ref="F4:H4"/>
    <mergeCell ref="I4:J4"/>
    <mergeCell ref="B5:E5"/>
    <mergeCell ref="F5:K5"/>
  </mergeCells>
  <phoneticPr fontId="84" type="noConversion"/>
  <pageMargins left="0.75" right="0.75" top="1" bottom="1" header="0.51" footer="0.51"/>
  <pageSetup paperSize="9" orientation="portrait" verticalDpi="200"/>
  <headerFooter scaleWithDoc="0" alignWithMargins="0"/>
  <legacy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2" zoomScaleSheetLayoutView="100" workbookViewId="0">
      <selection activeCell="B28" sqref="B28:M28"/>
    </sheetView>
  </sheetViews>
  <sheetFormatPr defaultColWidth="9" defaultRowHeight="14.25"/>
  <cols>
    <col min="1" max="1" width="13.625" customWidth="1"/>
    <col min="2" max="2" width="16.125" customWidth="1"/>
    <col min="3" max="3" width="14.125" customWidth="1"/>
    <col min="4" max="4" width="13.75" customWidth="1"/>
    <col min="5" max="5" width="18" customWidth="1"/>
    <col min="6" max="6" width="13.375" customWidth="1"/>
    <col min="7" max="7" width="11.5" customWidth="1"/>
    <col min="8" max="8" width="14.75" customWidth="1"/>
    <col min="9" max="9" width="11.625" customWidth="1"/>
    <col min="10" max="10" width="15" customWidth="1"/>
    <col min="11" max="11" width="15.875" customWidth="1"/>
    <col min="12" max="12" width="13.25" customWidth="1"/>
    <col min="13" max="13" width="47.875" customWidth="1"/>
  </cols>
  <sheetData>
    <row r="1" spans="1:13" s="994" customFormat="1" ht="45" customHeight="1">
      <c r="A1" s="995" t="s">
        <v>348</v>
      </c>
      <c r="B1" s="996"/>
      <c r="C1" s="1795" t="s">
        <v>2672</v>
      </c>
      <c r="D1" s="1795"/>
      <c r="E1" s="995" t="s">
        <v>236</v>
      </c>
      <c r="F1" s="291"/>
      <c r="G1" s="59" t="s">
        <v>351</v>
      </c>
      <c r="H1" s="59" t="s">
        <v>2673</v>
      </c>
      <c r="I1" s="1638" t="s">
        <v>237</v>
      </c>
      <c r="J1" s="1665" t="s">
        <v>2674</v>
      </c>
      <c r="K1" s="1665"/>
      <c r="L1" s="1665"/>
      <c r="M1" s="2020" t="s">
        <v>2675</v>
      </c>
    </row>
    <row r="2" spans="1:13" s="994" customFormat="1" ht="90" customHeight="1">
      <c r="A2" s="41" t="s">
        <v>240</v>
      </c>
      <c r="B2" s="1637" t="s">
        <v>2676</v>
      </c>
      <c r="C2" s="1637"/>
      <c r="D2" s="41" t="s">
        <v>242</v>
      </c>
      <c r="E2" s="1638"/>
      <c r="F2" s="1638"/>
      <c r="G2" s="41" t="s">
        <v>243</v>
      </c>
      <c r="H2" s="998" t="s">
        <v>2677</v>
      </c>
      <c r="I2" s="1638"/>
      <c r="J2" s="1665"/>
      <c r="K2" s="1897"/>
      <c r="L2" s="1665"/>
      <c r="M2" s="2006"/>
    </row>
    <row r="3" spans="1:13" s="994" customFormat="1" ht="75.95" customHeight="1">
      <c r="A3" s="41" t="s">
        <v>247</v>
      </c>
      <c r="B3" s="1637" t="s">
        <v>2678</v>
      </c>
      <c r="C3" s="1637"/>
      <c r="D3" s="41" t="s">
        <v>249</v>
      </c>
      <c r="E3" s="186">
        <v>70000</v>
      </c>
      <c r="F3" s="41" t="s">
        <v>251</v>
      </c>
      <c r="G3" s="41" t="s">
        <v>2650</v>
      </c>
      <c r="H3" s="41" t="s">
        <v>252</v>
      </c>
      <c r="I3" s="40" t="s">
        <v>425</v>
      </c>
      <c r="J3" s="2008" t="s">
        <v>2679</v>
      </c>
      <c r="K3" s="2009"/>
      <c r="L3" s="2009"/>
      <c r="M3" s="2010"/>
    </row>
    <row r="4" spans="1:13" s="994" customFormat="1" ht="55.5" customHeight="1">
      <c r="A4" s="41" t="s">
        <v>257</v>
      </c>
      <c r="B4" s="1637"/>
      <c r="C4" s="1637"/>
      <c r="D4" s="1637"/>
      <c r="E4" s="43" t="s">
        <v>258</v>
      </c>
      <c r="F4" s="2019" t="s">
        <v>2680</v>
      </c>
      <c r="G4" s="2019"/>
      <c r="H4" s="2019"/>
      <c r="I4" s="90"/>
      <c r="J4" s="1004" t="s">
        <v>253</v>
      </c>
      <c r="K4" s="40"/>
      <c r="L4" s="400" t="s">
        <v>255</v>
      </c>
      <c r="M4" s="271" t="s">
        <v>2681</v>
      </c>
    </row>
    <row r="5" spans="1:13" s="994" customFormat="1" ht="63" customHeight="1">
      <c r="A5" s="41" t="s">
        <v>260</v>
      </c>
      <c r="B5" s="1648" t="s">
        <v>2682</v>
      </c>
      <c r="C5" s="1648"/>
      <c r="D5" s="1648"/>
      <c r="E5" s="1648"/>
      <c r="F5" s="1665"/>
      <c r="G5" s="1665"/>
      <c r="H5" s="1665"/>
      <c r="I5" s="1665"/>
      <c r="J5" s="1665"/>
      <c r="K5" s="1665"/>
      <c r="L5" s="41" t="s">
        <v>245</v>
      </c>
      <c r="M5" s="41" t="s">
        <v>2683</v>
      </c>
    </row>
    <row r="6" spans="1:13" ht="30.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42461</v>
      </c>
      <c r="B7" s="360">
        <v>389</v>
      </c>
      <c r="C7" s="360">
        <v>106030</v>
      </c>
      <c r="D7" s="360">
        <f>B7</f>
        <v>389</v>
      </c>
      <c r="E7" s="360">
        <f>C7</f>
        <v>106030</v>
      </c>
      <c r="F7" s="360"/>
      <c r="G7" s="360">
        <f>C7</f>
        <v>106030</v>
      </c>
      <c r="H7" s="360"/>
      <c r="I7" s="360"/>
      <c r="J7" s="360"/>
      <c r="K7" s="360"/>
      <c r="L7" s="360">
        <f t="shared" ref="L7:L15" si="0">E7-J7</f>
        <v>106030</v>
      </c>
      <c r="M7" s="360"/>
    </row>
    <row r="8" spans="1:13" s="977" customFormat="1" ht="36" customHeight="1">
      <c r="A8" s="405">
        <v>42491</v>
      </c>
      <c r="B8" s="360">
        <v>7567</v>
      </c>
      <c r="C8" s="360">
        <v>2013406</v>
      </c>
      <c r="D8" s="360">
        <f t="shared" ref="D8:D16" si="1">D7+B8</f>
        <v>7956</v>
      </c>
      <c r="E8" s="360">
        <f t="shared" ref="E8:E16" si="2">E7+C8</f>
        <v>2119436</v>
      </c>
      <c r="F8" s="360"/>
      <c r="G8" s="360">
        <f>C7*0.3+C8</f>
        <v>2045215</v>
      </c>
      <c r="H8" s="360"/>
      <c r="I8" s="360"/>
      <c r="J8" s="360"/>
      <c r="K8" s="360"/>
      <c r="L8" s="360">
        <f t="shared" si="0"/>
        <v>2119436</v>
      </c>
      <c r="M8" s="360" t="s">
        <v>2348</v>
      </c>
    </row>
    <row r="9" spans="1:13" s="977" customFormat="1" ht="36" customHeight="1">
      <c r="A9" s="405">
        <v>42522</v>
      </c>
      <c r="B9" s="360">
        <v>10704.5</v>
      </c>
      <c r="C9" s="360">
        <v>2940685</v>
      </c>
      <c r="D9" s="360">
        <f t="shared" si="1"/>
        <v>18660.5</v>
      </c>
      <c r="E9" s="360">
        <f t="shared" si="2"/>
        <v>5060121</v>
      </c>
      <c r="F9" s="360"/>
      <c r="G9" s="360">
        <f>E8*0.3+C9</f>
        <v>3576515.8</v>
      </c>
      <c r="H9" s="360">
        <f>C7*0.7</f>
        <v>74221</v>
      </c>
      <c r="I9" s="360"/>
      <c r="J9" s="360">
        <f>500000</f>
        <v>500000</v>
      </c>
      <c r="K9" s="360">
        <f>K8+H9-I9</f>
        <v>74221</v>
      </c>
      <c r="L9" s="360">
        <f t="shared" si="0"/>
        <v>4560121</v>
      </c>
      <c r="M9" s="360" t="s">
        <v>2684</v>
      </c>
    </row>
    <row r="10" spans="1:13" s="977" customFormat="1" ht="36" customHeight="1">
      <c r="A10" s="405">
        <v>42552</v>
      </c>
      <c r="B10" s="360">
        <v>6719.5</v>
      </c>
      <c r="C10" s="360">
        <v>1875416.5</v>
      </c>
      <c r="D10" s="360">
        <f t="shared" si="1"/>
        <v>25380</v>
      </c>
      <c r="E10" s="360">
        <f t="shared" si="2"/>
        <v>6935537.5</v>
      </c>
      <c r="F10" s="360"/>
      <c r="G10" s="360">
        <f>E9*0.3+C10</f>
        <v>3393452.8</v>
      </c>
      <c r="H10" s="360">
        <f>C8*0.7</f>
        <v>1409384.2</v>
      </c>
      <c r="I10" s="360">
        <v>500000</v>
      </c>
      <c r="J10" s="360">
        <f>500000</f>
        <v>500000</v>
      </c>
      <c r="K10" s="360">
        <f t="shared" ref="K10:K27" si="3">K9+H10-I10</f>
        <v>983605.2</v>
      </c>
      <c r="L10" s="360">
        <f t="shared" si="0"/>
        <v>6435537.5</v>
      </c>
      <c r="M10" s="360" t="s">
        <v>2685</v>
      </c>
    </row>
    <row r="11" spans="1:13" s="977" customFormat="1" ht="36" customHeight="1">
      <c r="A11" s="405" t="s">
        <v>2686</v>
      </c>
      <c r="B11" s="360">
        <v>5535</v>
      </c>
      <c r="C11" s="360">
        <v>1636205</v>
      </c>
      <c r="D11" s="360">
        <f t="shared" si="1"/>
        <v>30915</v>
      </c>
      <c r="E11" s="360">
        <f t="shared" si="2"/>
        <v>8571742.5</v>
      </c>
      <c r="F11" s="360"/>
      <c r="G11" s="360">
        <f>E10*0.3+C11</f>
        <v>3716866.25</v>
      </c>
      <c r="H11" s="360">
        <f>C9*0.7</f>
        <v>2058479.4999999998</v>
      </c>
      <c r="I11" s="360">
        <v>1000000</v>
      </c>
      <c r="J11" s="360">
        <f t="shared" ref="J11:J16" si="4">J10+I11</f>
        <v>1500000</v>
      </c>
      <c r="K11" s="360">
        <f t="shared" si="3"/>
        <v>2042084.6999999997</v>
      </c>
      <c r="L11" s="360">
        <f t="shared" si="0"/>
        <v>7071742.5</v>
      </c>
      <c r="M11" s="360"/>
    </row>
    <row r="12" spans="1:13" s="977" customFormat="1" ht="36" customHeight="1">
      <c r="A12" s="405" t="s">
        <v>2687</v>
      </c>
      <c r="B12" s="360">
        <v>10449.5</v>
      </c>
      <c r="C12" s="360">
        <v>3072440</v>
      </c>
      <c r="D12" s="360">
        <f t="shared" si="1"/>
        <v>41364.5</v>
      </c>
      <c r="E12" s="360">
        <f t="shared" si="2"/>
        <v>11644182.5</v>
      </c>
      <c r="F12" s="360"/>
      <c r="G12" s="360"/>
      <c r="H12" s="360">
        <f>C10*0.7</f>
        <v>1312791.5499999998</v>
      </c>
      <c r="I12" s="360">
        <f>1000000+1300000</f>
        <v>2300000</v>
      </c>
      <c r="J12" s="360">
        <f t="shared" si="4"/>
        <v>3800000</v>
      </c>
      <c r="K12" s="360">
        <f t="shared" si="3"/>
        <v>1054876.2499999995</v>
      </c>
      <c r="L12" s="360">
        <f t="shared" si="0"/>
        <v>7844182.5</v>
      </c>
      <c r="M12" s="360"/>
    </row>
    <row r="13" spans="1:13" s="977" customFormat="1" ht="36" customHeight="1">
      <c r="A13" s="405" t="s">
        <v>672</v>
      </c>
      <c r="B13" s="360"/>
      <c r="C13" s="360">
        <v>41377.440000000002</v>
      </c>
      <c r="D13" s="360">
        <f t="shared" si="1"/>
        <v>41364.5</v>
      </c>
      <c r="E13" s="360">
        <f t="shared" si="2"/>
        <v>11685559.939999999</v>
      </c>
      <c r="F13" s="360"/>
      <c r="G13" s="360">
        <f>E11*0.3</f>
        <v>2571522.75</v>
      </c>
      <c r="H13" s="360">
        <f t="shared" ref="H13:H18" si="5">C13</f>
        <v>41377.440000000002</v>
      </c>
      <c r="I13" s="360"/>
      <c r="J13" s="360">
        <f t="shared" si="4"/>
        <v>3800000</v>
      </c>
      <c r="K13" s="360">
        <f t="shared" si="3"/>
        <v>1096253.6899999995</v>
      </c>
      <c r="L13" s="360">
        <f t="shared" si="0"/>
        <v>7885559.9399999995</v>
      </c>
      <c r="M13" s="360"/>
    </row>
    <row r="14" spans="1:13" s="977" customFormat="1" ht="36" customHeight="1">
      <c r="A14" s="405" t="s">
        <v>2688</v>
      </c>
      <c r="B14" s="360">
        <v>6060</v>
      </c>
      <c r="C14" s="360">
        <v>1917647.5</v>
      </c>
      <c r="D14" s="360">
        <f t="shared" si="1"/>
        <v>47424.5</v>
      </c>
      <c r="E14" s="360">
        <f t="shared" si="2"/>
        <v>13603207.439999999</v>
      </c>
      <c r="F14" s="360"/>
      <c r="G14" s="360">
        <f>E12*0.3</f>
        <v>3493254.75</v>
      </c>
      <c r="H14" s="360">
        <f>C11*0.7</f>
        <v>1145343.5</v>
      </c>
      <c r="I14" s="360">
        <v>2300000</v>
      </c>
      <c r="J14" s="360">
        <f t="shared" si="4"/>
        <v>6100000</v>
      </c>
      <c r="K14" s="360">
        <f t="shared" si="3"/>
        <v>-58402.810000000522</v>
      </c>
      <c r="L14" s="360">
        <f t="shared" si="0"/>
        <v>7503207.4399999995</v>
      </c>
      <c r="M14" s="360" t="s">
        <v>2689</v>
      </c>
    </row>
    <row r="15" spans="1:13" s="977" customFormat="1" ht="36" customHeight="1">
      <c r="A15" s="405" t="s">
        <v>2690</v>
      </c>
      <c r="B15" s="360">
        <v>6282</v>
      </c>
      <c r="C15" s="360">
        <v>1976350</v>
      </c>
      <c r="D15" s="360">
        <f t="shared" si="1"/>
        <v>53706.5</v>
      </c>
      <c r="E15" s="360">
        <f t="shared" si="2"/>
        <v>15579557.439999999</v>
      </c>
      <c r="F15" s="360"/>
      <c r="G15" s="360">
        <f>E12*0.3+C14*0.3+C15</f>
        <v>6044899</v>
      </c>
      <c r="H15" s="360">
        <f>C12*0.7</f>
        <v>2150708</v>
      </c>
      <c r="I15" s="360">
        <v>1300000</v>
      </c>
      <c r="J15" s="360">
        <f t="shared" si="4"/>
        <v>7400000</v>
      </c>
      <c r="K15" s="360">
        <f t="shared" si="3"/>
        <v>792305.18999999948</v>
      </c>
      <c r="L15" s="360">
        <f t="shared" si="0"/>
        <v>8179557.4399999995</v>
      </c>
      <c r="M15" s="360" t="s">
        <v>2691</v>
      </c>
    </row>
    <row r="16" spans="1:13" s="977" customFormat="1" ht="36" customHeight="1">
      <c r="A16" s="405" t="s">
        <v>2692</v>
      </c>
      <c r="B16" s="360">
        <v>7250.5</v>
      </c>
      <c r="C16" s="360">
        <v>2338390</v>
      </c>
      <c r="D16" s="360">
        <f t="shared" si="1"/>
        <v>60957</v>
      </c>
      <c r="E16" s="360">
        <f t="shared" si="2"/>
        <v>17917947.439999998</v>
      </c>
      <c r="F16" s="360"/>
      <c r="G16" s="360"/>
      <c r="H16" s="360">
        <f>C14*0.7</f>
        <v>1342353.25</v>
      </c>
      <c r="I16" s="360">
        <v>2100000</v>
      </c>
      <c r="J16" s="360">
        <f t="shared" si="4"/>
        <v>9500000</v>
      </c>
      <c r="K16" s="360">
        <f t="shared" si="3"/>
        <v>34658.439999999478</v>
      </c>
      <c r="L16" s="360">
        <f t="shared" ref="L16:L26" si="6">E16-J16</f>
        <v>8417947.4399999976</v>
      </c>
      <c r="M16" s="360" t="s">
        <v>2693</v>
      </c>
    </row>
    <row r="17" spans="1:13" s="977" customFormat="1" ht="36" customHeight="1">
      <c r="A17" s="405" t="s">
        <v>1404</v>
      </c>
      <c r="B17" s="360"/>
      <c r="C17" s="294">
        <v>201866.04271525162</v>
      </c>
      <c r="D17" s="360">
        <f t="shared" ref="D17:D26" si="7">D16+B17</f>
        <v>60957</v>
      </c>
      <c r="E17" s="360">
        <f t="shared" ref="E17:E26" si="8">E16+C17</f>
        <v>18119813.482715249</v>
      </c>
      <c r="F17" s="360"/>
      <c r="G17" s="360"/>
      <c r="H17" s="294">
        <f t="shared" si="5"/>
        <v>201866.04271525162</v>
      </c>
      <c r="I17" s="360"/>
      <c r="J17" s="360"/>
      <c r="K17" s="360">
        <f t="shared" si="3"/>
        <v>236524.4827152511</v>
      </c>
      <c r="L17" s="360">
        <f t="shared" si="6"/>
        <v>18119813.482715249</v>
      </c>
      <c r="M17" s="360"/>
    </row>
    <row r="18" spans="1:13" s="977" customFormat="1" ht="36" customHeight="1">
      <c r="A18" s="405" t="s">
        <v>2694</v>
      </c>
      <c r="B18" s="360"/>
      <c r="C18" s="294">
        <v>40528.20606979209</v>
      </c>
      <c r="D18" s="360">
        <f t="shared" si="7"/>
        <v>60957</v>
      </c>
      <c r="E18" s="360">
        <f t="shared" si="8"/>
        <v>18160341.688785043</v>
      </c>
      <c r="F18" s="360"/>
      <c r="G18" s="360">
        <f>E12*0.3+C14*0.3+C15*0.3+C16</f>
        <v>6999844</v>
      </c>
      <c r="H18" s="294">
        <f t="shared" si="5"/>
        <v>40528.20606979209</v>
      </c>
      <c r="I18" s="360"/>
      <c r="J18" s="360"/>
      <c r="K18" s="360">
        <f t="shared" si="3"/>
        <v>277052.6887850432</v>
      </c>
      <c r="L18" s="360">
        <f t="shared" si="6"/>
        <v>18160341.688785043</v>
      </c>
      <c r="M18" s="360"/>
    </row>
    <row r="19" spans="1:13" s="977" customFormat="1" ht="36" customHeight="1">
      <c r="A19" s="405" t="s">
        <v>2695</v>
      </c>
      <c r="B19" s="360">
        <v>4281.5</v>
      </c>
      <c r="C19" s="360">
        <v>1481295</v>
      </c>
      <c r="D19" s="360">
        <f t="shared" si="7"/>
        <v>65238.5</v>
      </c>
      <c r="E19" s="360">
        <f t="shared" si="8"/>
        <v>19641636.688785043</v>
      </c>
      <c r="F19" s="360"/>
      <c r="G19" s="360">
        <f>E12*0.3+C14*0.3+C15*0.3+C16*0.3+C19</f>
        <v>6844266</v>
      </c>
      <c r="H19" s="360">
        <f>C15*0.7</f>
        <v>1383445</v>
      </c>
      <c r="I19" s="360">
        <v>1300000</v>
      </c>
      <c r="J19" s="360">
        <f>J16+I19</f>
        <v>10800000</v>
      </c>
      <c r="K19" s="360">
        <f t="shared" si="3"/>
        <v>360497.68878504308</v>
      </c>
      <c r="L19" s="360">
        <f t="shared" si="6"/>
        <v>8841636.6887850426</v>
      </c>
      <c r="M19" s="360" t="s">
        <v>2696</v>
      </c>
    </row>
    <row r="20" spans="1:13" s="977" customFormat="1" ht="36" customHeight="1">
      <c r="A20" s="405" t="s">
        <v>2697</v>
      </c>
      <c r="B20" s="360">
        <v>2127</v>
      </c>
      <c r="C20" s="360">
        <v>729970</v>
      </c>
      <c r="D20" s="360">
        <f t="shared" si="7"/>
        <v>67365.5</v>
      </c>
      <c r="E20" s="360">
        <f t="shared" si="8"/>
        <v>20371606.688785043</v>
      </c>
      <c r="F20" s="360"/>
      <c r="G20" s="360">
        <f>E12*0.3+C14*0.3+C15*0.3+C16*0.3+C19*0.3+C20</f>
        <v>6537329.5</v>
      </c>
      <c r="H20" s="360">
        <f>C16*0.7</f>
        <v>1636873</v>
      </c>
      <c r="I20" s="360"/>
      <c r="J20" s="360">
        <f t="shared" ref="J20:J26" si="9">J19+I20</f>
        <v>10800000</v>
      </c>
      <c r="K20" s="360">
        <f t="shared" si="3"/>
        <v>1997370.6887850431</v>
      </c>
      <c r="L20" s="360">
        <f t="shared" si="6"/>
        <v>9571606.6887850426</v>
      </c>
      <c r="M20" s="360"/>
    </row>
    <row r="21" spans="1:13" s="977" customFormat="1" ht="36" customHeight="1">
      <c r="A21" s="405" t="s">
        <v>1921</v>
      </c>
      <c r="B21" s="360">
        <v>5775</v>
      </c>
      <c r="C21" s="360">
        <v>1871872.5</v>
      </c>
      <c r="D21" s="360">
        <f t="shared" si="7"/>
        <v>73140.5</v>
      </c>
      <c r="E21" s="360">
        <f t="shared" si="8"/>
        <v>22243479.188785043</v>
      </c>
      <c r="F21" s="360"/>
      <c r="G21" s="360">
        <f>E12*0.3+C14*0.3+C15*0.3+C16*0.3+C19*0.3+C20*0.3+C21</f>
        <v>7898223</v>
      </c>
      <c r="H21" s="360">
        <f t="shared" ref="H21:H27" si="10">C19*0.7</f>
        <v>1036906.4999999999</v>
      </c>
      <c r="I21" s="360"/>
      <c r="J21" s="360">
        <f t="shared" si="9"/>
        <v>10800000</v>
      </c>
      <c r="K21" s="360">
        <f t="shared" si="3"/>
        <v>3034277.1887850431</v>
      </c>
      <c r="L21" s="360">
        <f t="shared" si="6"/>
        <v>11443479.188785043</v>
      </c>
      <c r="M21" s="360" t="s">
        <v>2698</v>
      </c>
    </row>
    <row r="22" spans="1:13" s="977" customFormat="1" ht="36" customHeight="1">
      <c r="A22" s="405" t="s">
        <v>1923</v>
      </c>
      <c r="B22" s="360">
        <v>5999.5</v>
      </c>
      <c r="C22" s="360">
        <v>1895430</v>
      </c>
      <c r="D22" s="360">
        <f t="shared" si="7"/>
        <v>79140</v>
      </c>
      <c r="E22" s="360">
        <f t="shared" si="8"/>
        <v>24138909.188785043</v>
      </c>
      <c r="F22" s="360"/>
      <c r="G22" s="360">
        <f>E12*0.3+C14*0.3+C15*0.3+C16*0.3+C19*0.3+C20*0.3+C21*0.3+C22</f>
        <v>8483342.25</v>
      </c>
      <c r="H22" s="360">
        <f t="shared" si="10"/>
        <v>510978.99999999994</v>
      </c>
      <c r="I22" s="360">
        <v>3100000</v>
      </c>
      <c r="J22" s="360">
        <f t="shared" si="9"/>
        <v>13900000</v>
      </c>
      <c r="K22" s="360">
        <f t="shared" si="3"/>
        <v>445256.18878504308</v>
      </c>
      <c r="L22" s="360">
        <f t="shared" si="6"/>
        <v>10238909.188785043</v>
      </c>
      <c r="M22" s="360" t="s">
        <v>2699</v>
      </c>
    </row>
    <row r="23" spans="1:13" s="977" customFormat="1" ht="36" customHeight="1">
      <c r="A23" s="405" t="s">
        <v>1924</v>
      </c>
      <c r="B23" s="360">
        <v>3461</v>
      </c>
      <c r="C23" s="360">
        <v>1034033.5</v>
      </c>
      <c r="D23" s="360">
        <f t="shared" si="7"/>
        <v>82601</v>
      </c>
      <c r="E23" s="360">
        <f t="shared" si="8"/>
        <v>25172942.688785043</v>
      </c>
      <c r="F23" s="360"/>
      <c r="G23" s="360">
        <f>E12*0.3+C15*0.3+C16*0.3+C14*0.3+C20*0.3+C21*0.3+C22*0.3+C23+C19*0.3</f>
        <v>8190574.75</v>
      </c>
      <c r="H23" s="360">
        <f t="shared" si="10"/>
        <v>1310310.75</v>
      </c>
      <c r="I23" s="360">
        <v>1300000</v>
      </c>
      <c r="J23" s="360">
        <f t="shared" si="9"/>
        <v>15200000</v>
      </c>
      <c r="K23" s="360">
        <f t="shared" si="3"/>
        <v>455566.93878504308</v>
      </c>
      <c r="L23" s="360">
        <f t="shared" si="6"/>
        <v>9972942.6887850426</v>
      </c>
      <c r="M23" s="360" t="s">
        <v>2700</v>
      </c>
    </row>
    <row r="24" spans="1:13" s="977" customFormat="1" ht="36" customHeight="1">
      <c r="A24" s="405" t="s">
        <v>1925</v>
      </c>
      <c r="B24" s="360">
        <v>2137</v>
      </c>
      <c r="C24" s="360">
        <v>642082</v>
      </c>
      <c r="D24" s="360">
        <f t="shared" si="7"/>
        <v>84738</v>
      </c>
      <c r="E24" s="360">
        <f t="shared" si="8"/>
        <v>25815024.688785043</v>
      </c>
      <c r="F24" s="360"/>
      <c r="G24" s="360">
        <f>E12*0.3+C15*0.3+C16*0.3+C14*0.3+C20*0.3+C21*0.3+C22*0.3+C23*0.3+C19*0.3+C24</f>
        <v>8108833.2999999998</v>
      </c>
      <c r="H24" s="360">
        <f t="shared" si="10"/>
        <v>1326801</v>
      </c>
      <c r="I24" s="360"/>
      <c r="J24" s="360">
        <f t="shared" si="9"/>
        <v>15200000</v>
      </c>
      <c r="K24" s="360">
        <f t="shared" si="3"/>
        <v>1782367.9387850431</v>
      </c>
      <c r="L24" s="360">
        <f t="shared" si="6"/>
        <v>10615024.688785043</v>
      </c>
      <c r="M24" s="360" t="s">
        <v>2701</v>
      </c>
    </row>
    <row r="25" spans="1:13" s="977" customFormat="1" ht="36" customHeight="1">
      <c r="A25" s="405" t="s">
        <v>1926</v>
      </c>
      <c r="B25" s="360">
        <v>1016</v>
      </c>
      <c r="C25" s="360">
        <v>305310</v>
      </c>
      <c r="D25" s="360">
        <f t="shared" si="7"/>
        <v>85754</v>
      </c>
      <c r="E25" s="360">
        <f t="shared" si="8"/>
        <v>26120334.688785043</v>
      </c>
      <c r="F25" s="360"/>
      <c r="G25" s="360">
        <f>E12*0.3+C15*0.3+C16*0.3+C14*0.3+C20*0.3+C21*0.3+C22*0.3+C23*0.3+C19*0.3+C24*0.3+C25</f>
        <v>7964685.8999999994</v>
      </c>
      <c r="H25" s="360">
        <f t="shared" si="10"/>
        <v>723823.45</v>
      </c>
      <c r="I25" s="360">
        <v>1400000</v>
      </c>
      <c r="J25" s="360">
        <f t="shared" si="9"/>
        <v>16600000</v>
      </c>
      <c r="K25" s="360">
        <f t="shared" si="3"/>
        <v>1106191.3887850428</v>
      </c>
      <c r="L25" s="360">
        <f t="shared" si="6"/>
        <v>9520334.6887850426</v>
      </c>
      <c r="M25" s="360" t="s">
        <v>2702</v>
      </c>
    </row>
    <row r="26" spans="1:13" s="977" customFormat="1" ht="36" customHeight="1">
      <c r="A26" s="405" t="s">
        <v>2703</v>
      </c>
      <c r="B26" s="360">
        <v>381</v>
      </c>
      <c r="C26" s="360">
        <v>111925</v>
      </c>
      <c r="D26" s="360">
        <f t="shared" si="7"/>
        <v>86135</v>
      </c>
      <c r="E26" s="360">
        <f t="shared" si="8"/>
        <v>26232259.688785043</v>
      </c>
      <c r="F26" s="360"/>
      <c r="G26" s="360">
        <f>E12*0.3+C15*0.3+C16*0.3+C14*0.3+C20*0.3+C21*0.3+C22*0.3+C23*0.3+C19*0.3+C24*0.3+C25*0.3+C26</f>
        <v>7862893.8999999994</v>
      </c>
      <c r="H26" s="360">
        <f t="shared" si="10"/>
        <v>449457.39999999997</v>
      </c>
      <c r="I26" s="360">
        <v>800000</v>
      </c>
      <c r="J26" s="360">
        <f t="shared" si="9"/>
        <v>17400000</v>
      </c>
      <c r="K26" s="360">
        <f t="shared" si="3"/>
        <v>755648.78878504271</v>
      </c>
      <c r="L26" s="360">
        <f t="shared" si="6"/>
        <v>8832259.6887850426</v>
      </c>
      <c r="M26" s="360"/>
    </row>
    <row r="27" spans="1:13" s="977" customFormat="1" ht="36" customHeight="1">
      <c r="A27" s="405"/>
      <c r="B27" s="360"/>
      <c r="C27" s="360"/>
      <c r="D27" s="360"/>
      <c r="E27" s="360"/>
      <c r="F27" s="360"/>
      <c r="G27" s="360"/>
      <c r="H27" s="360">
        <f t="shared" si="10"/>
        <v>213717</v>
      </c>
      <c r="I27" s="360"/>
      <c r="J27" s="360"/>
      <c r="K27" s="360">
        <f t="shared" si="3"/>
        <v>969365.78878504271</v>
      </c>
      <c r="L27" s="360"/>
      <c r="M27" s="360"/>
    </row>
    <row r="28" spans="1:13" s="977" customFormat="1" ht="36" customHeight="1">
      <c r="A28" s="1622">
        <v>42979</v>
      </c>
      <c r="B28" s="360">
        <v>381</v>
      </c>
      <c r="C28" s="360">
        <v>111925</v>
      </c>
      <c r="D28" s="360">
        <v>86135</v>
      </c>
      <c r="E28" s="360">
        <v>26232259.688785043</v>
      </c>
      <c r="F28" s="360"/>
      <c r="G28" s="360">
        <v>7862893.8999999994</v>
      </c>
      <c r="H28" s="360">
        <v>449457.39999999997</v>
      </c>
      <c r="I28" s="360">
        <v>800000</v>
      </c>
      <c r="J28" s="360">
        <v>17400000</v>
      </c>
      <c r="K28" s="360">
        <v>755648.78878504271</v>
      </c>
      <c r="L28" s="360">
        <v>8832259.6887850426</v>
      </c>
      <c r="M28" s="360"/>
    </row>
    <row r="29"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0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35"/>
  <sheetViews>
    <sheetView topLeftCell="A13" zoomScaleSheetLayoutView="100" workbookViewId="0"/>
  </sheetViews>
  <sheetFormatPr defaultColWidth="9" defaultRowHeight="14.25"/>
  <cols>
    <col min="1" max="1" width="14.75" customWidth="1"/>
    <col min="2" max="2" width="16.125" customWidth="1"/>
    <col min="3" max="3" width="14.125" customWidth="1"/>
    <col min="4" max="4" width="13.75" customWidth="1"/>
    <col min="5" max="5" width="18" customWidth="1"/>
    <col min="6" max="6" width="13.375" customWidth="1"/>
    <col min="7" max="7" width="11.5" customWidth="1"/>
    <col min="8" max="8" width="11.625" customWidth="1"/>
    <col min="9" max="9" width="12.375" customWidth="1"/>
    <col min="10" max="10" width="15" customWidth="1"/>
    <col min="11" max="11" width="13.75" customWidth="1"/>
    <col min="12" max="12" width="15.875" customWidth="1"/>
    <col min="13" max="13" width="40.625" customWidth="1"/>
  </cols>
  <sheetData>
    <row r="1" spans="1:13" s="994" customFormat="1" ht="45" customHeight="1">
      <c r="A1" s="995" t="s">
        <v>348</v>
      </c>
      <c r="B1" s="996"/>
      <c r="C1" s="1903" t="s">
        <v>2704</v>
      </c>
      <c r="D1" s="1903"/>
      <c r="E1" s="995" t="s">
        <v>236</v>
      </c>
      <c r="F1" s="291" t="s">
        <v>2610</v>
      </c>
      <c r="G1" s="59" t="s">
        <v>351</v>
      </c>
      <c r="H1" s="59" t="s">
        <v>2705</v>
      </c>
      <c r="I1" s="1638" t="s">
        <v>237</v>
      </c>
      <c r="J1" s="1665" t="s">
        <v>2706</v>
      </c>
      <c r="K1" s="1665"/>
      <c r="L1" s="1665"/>
      <c r="M1" s="2020" t="s">
        <v>2707</v>
      </c>
    </row>
    <row r="2" spans="1:13" s="994" customFormat="1" ht="90" customHeight="1">
      <c r="A2" s="41" t="s">
        <v>240</v>
      </c>
      <c r="B2" s="1637" t="s">
        <v>2708</v>
      </c>
      <c r="C2" s="1637"/>
      <c r="D2" s="41" t="s">
        <v>242</v>
      </c>
      <c r="E2" s="1638"/>
      <c r="F2" s="1638"/>
      <c r="G2" s="41" t="s">
        <v>243</v>
      </c>
      <c r="H2" s="998" t="s">
        <v>421</v>
      </c>
      <c r="I2" s="1638"/>
      <c r="J2" s="1665"/>
      <c r="K2" s="1897"/>
      <c r="L2" s="1665"/>
      <c r="M2" s="2006"/>
    </row>
    <row r="3" spans="1:13" s="994" customFormat="1" ht="92.1" customHeight="1">
      <c r="A3" s="41" t="s">
        <v>247</v>
      </c>
      <c r="B3" s="1637" t="s">
        <v>2709</v>
      </c>
      <c r="C3" s="1637"/>
      <c r="D3" s="41" t="s">
        <v>249</v>
      </c>
      <c r="E3" s="186" t="s">
        <v>2710</v>
      </c>
      <c r="F3" s="41" t="s">
        <v>251</v>
      </c>
      <c r="G3" s="41"/>
      <c r="H3" s="41" t="s">
        <v>252</v>
      </c>
      <c r="I3" s="40" t="s">
        <v>425</v>
      </c>
      <c r="J3" s="2008" t="s">
        <v>2711</v>
      </c>
      <c r="K3" s="2014"/>
      <c r="L3" s="2014"/>
      <c r="M3" s="2015"/>
    </row>
    <row r="4" spans="1:13" s="994" customFormat="1" ht="55.5" customHeight="1">
      <c r="A4" s="41" t="s">
        <v>257</v>
      </c>
      <c r="B4" s="1637"/>
      <c r="C4" s="1637"/>
      <c r="D4" s="1637"/>
      <c r="E4" s="43" t="s">
        <v>258</v>
      </c>
      <c r="F4" s="998"/>
      <c r="G4" s="998"/>
      <c r="H4" s="998"/>
      <c r="I4" s="90"/>
      <c r="J4" s="1004" t="s">
        <v>253</v>
      </c>
      <c r="K4" s="40" t="s">
        <v>2712</v>
      </c>
      <c r="L4" s="400" t="s">
        <v>255</v>
      </c>
      <c r="M4" s="271" t="s">
        <v>2713</v>
      </c>
    </row>
    <row r="5" spans="1:13" s="994" customFormat="1" ht="111.95" customHeight="1">
      <c r="A5" s="41" t="s">
        <v>260</v>
      </c>
      <c r="B5" s="1811" t="s">
        <v>2714</v>
      </c>
      <c r="C5" s="1811"/>
      <c r="D5" s="1811"/>
      <c r="E5" s="1811"/>
      <c r="F5" s="1665"/>
      <c r="G5" s="1665"/>
      <c r="H5" s="1665"/>
      <c r="I5" s="1665"/>
      <c r="J5" s="1665"/>
      <c r="K5" s="1665"/>
      <c r="L5" s="41" t="s">
        <v>245</v>
      </c>
      <c r="M5" s="40" t="s">
        <v>2715</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t="s">
        <v>2716</v>
      </c>
      <c r="B7" s="360">
        <v>11418</v>
      </c>
      <c r="C7" s="360">
        <v>3018285</v>
      </c>
      <c r="D7" s="360">
        <f>B7</f>
        <v>11418</v>
      </c>
      <c r="E7" s="360">
        <f>C7</f>
        <v>3018285</v>
      </c>
      <c r="F7" s="360"/>
      <c r="G7" s="360">
        <f t="shared" ref="G7:G13" si="0">E7*0.3</f>
        <v>905485.5</v>
      </c>
      <c r="H7" s="360"/>
      <c r="I7" s="360"/>
      <c r="J7" s="360"/>
      <c r="K7" s="360"/>
      <c r="L7" s="360">
        <f t="shared" ref="L7:L14" si="1">E7-J7</f>
        <v>3018285</v>
      </c>
      <c r="M7" s="360"/>
    </row>
    <row r="8" spans="1:13" s="977" customFormat="1" ht="36" customHeight="1">
      <c r="A8" s="405" t="s">
        <v>2717</v>
      </c>
      <c r="B8" s="360">
        <v>3234</v>
      </c>
      <c r="C8" s="360">
        <v>849334</v>
      </c>
      <c r="D8" s="360">
        <f t="shared" ref="D8:D14" si="2">D7+B8</f>
        <v>14652</v>
      </c>
      <c r="E8" s="360">
        <f t="shared" ref="E8:E14" si="3">E7+C8</f>
        <v>3867619</v>
      </c>
      <c r="F8" s="360"/>
      <c r="G8" s="360">
        <f t="shared" si="0"/>
        <v>1160285.7</v>
      </c>
      <c r="H8" s="360">
        <f t="shared" ref="H8:H13" si="4">C7*0.7</f>
        <v>2112799.5</v>
      </c>
      <c r="I8" s="360"/>
      <c r="J8" s="360">
        <f t="shared" ref="J8:J14" si="5">I8+J7</f>
        <v>0</v>
      </c>
      <c r="K8" s="360">
        <f t="shared" ref="K8:K15" si="6">K7+H8-I8</f>
        <v>2112799.5</v>
      </c>
      <c r="L8" s="360">
        <f t="shared" si="1"/>
        <v>3867619</v>
      </c>
      <c r="M8" s="360"/>
    </row>
    <row r="9" spans="1:13" s="977" customFormat="1" ht="36" customHeight="1">
      <c r="A9" s="405" t="s">
        <v>2718</v>
      </c>
      <c r="B9" s="360">
        <v>4209</v>
      </c>
      <c r="C9" s="360">
        <v>1078740</v>
      </c>
      <c r="D9" s="360">
        <f t="shared" si="2"/>
        <v>18861</v>
      </c>
      <c r="E9" s="360">
        <f t="shared" si="3"/>
        <v>4946359</v>
      </c>
      <c r="F9" s="360"/>
      <c r="G9" s="360">
        <f t="shared" si="0"/>
        <v>1483907.7</v>
      </c>
      <c r="H9" s="360">
        <f t="shared" si="4"/>
        <v>594533.79999999993</v>
      </c>
      <c r="I9" s="360"/>
      <c r="J9" s="360"/>
      <c r="K9" s="360">
        <f t="shared" si="6"/>
        <v>2707333.3</v>
      </c>
      <c r="L9" s="360">
        <f t="shared" si="1"/>
        <v>4946359</v>
      </c>
      <c r="M9" s="360"/>
    </row>
    <row r="10" spans="1:13" s="977" customFormat="1" ht="36" customHeight="1">
      <c r="A10" s="405" t="s">
        <v>713</v>
      </c>
      <c r="B10" s="360">
        <v>853</v>
      </c>
      <c r="C10" s="360">
        <v>217515</v>
      </c>
      <c r="D10" s="360">
        <f t="shared" si="2"/>
        <v>19714</v>
      </c>
      <c r="E10" s="360">
        <f t="shared" si="3"/>
        <v>5163874</v>
      </c>
      <c r="F10" s="360"/>
      <c r="G10" s="360">
        <f t="shared" si="0"/>
        <v>1549162.2</v>
      </c>
      <c r="H10" s="360">
        <f t="shared" si="4"/>
        <v>755118</v>
      </c>
      <c r="I10" s="360">
        <v>2300000</v>
      </c>
      <c r="J10" s="360">
        <f>I10</f>
        <v>2300000</v>
      </c>
      <c r="K10" s="360">
        <f t="shared" si="6"/>
        <v>1162451.2999999998</v>
      </c>
      <c r="L10" s="360">
        <f t="shared" si="1"/>
        <v>2863874</v>
      </c>
      <c r="M10" s="412" t="s">
        <v>2719</v>
      </c>
    </row>
    <row r="11" spans="1:13" s="977" customFormat="1" ht="36" customHeight="1">
      <c r="A11" s="405" t="s">
        <v>715</v>
      </c>
      <c r="B11" s="360">
        <v>0</v>
      </c>
      <c r="C11" s="360">
        <v>0</v>
      </c>
      <c r="D11" s="360">
        <f t="shared" si="2"/>
        <v>19714</v>
      </c>
      <c r="E11" s="360">
        <f t="shared" si="3"/>
        <v>5163874</v>
      </c>
      <c r="F11" s="360"/>
      <c r="G11" s="360">
        <f t="shared" si="0"/>
        <v>1549162.2</v>
      </c>
      <c r="H11" s="360">
        <f t="shared" si="4"/>
        <v>152260.5</v>
      </c>
      <c r="I11" s="360">
        <v>300000</v>
      </c>
      <c r="J11" s="360">
        <f>I11+J10</f>
        <v>2600000</v>
      </c>
      <c r="K11" s="360">
        <f t="shared" si="6"/>
        <v>1014711.7999999998</v>
      </c>
      <c r="L11" s="360">
        <f t="shared" si="1"/>
        <v>2563874</v>
      </c>
      <c r="M11" s="360" t="s">
        <v>2720</v>
      </c>
    </row>
    <row r="12" spans="1:13" s="977" customFormat="1" ht="36" customHeight="1">
      <c r="A12" s="405" t="s">
        <v>433</v>
      </c>
      <c r="B12" s="360"/>
      <c r="C12" s="360">
        <v>18382.990000000002</v>
      </c>
      <c r="D12" s="360">
        <f t="shared" si="2"/>
        <v>19714</v>
      </c>
      <c r="E12" s="360">
        <f t="shared" si="3"/>
        <v>5182256.99</v>
      </c>
      <c r="F12" s="360"/>
      <c r="G12" s="360">
        <f t="shared" si="0"/>
        <v>1554677.0970000001</v>
      </c>
      <c r="H12" s="360">
        <f t="shared" si="4"/>
        <v>0</v>
      </c>
      <c r="I12" s="360">
        <v>1000000</v>
      </c>
      <c r="J12" s="360">
        <f t="shared" si="5"/>
        <v>3600000</v>
      </c>
      <c r="K12" s="360">
        <f t="shared" si="6"/>
        <v>14711.799999999814</v>
      </c>
      <c r="L12" s="360">
        <f t="shared" si="1"/>
        <v>1582256.9900000002</v>
      </c>
      <c r="M12" s="360"/>
    </row>
    <row r="13" spans="1:13" s="977" customFormat="1" ht="36" customHeight="1">
      <c r="A13" s="405" t="s">
        <v>2721</v>
      </c>
      <c r="B13" s="360">
        <f>60+523</f>
        <v>583</v>
      </c>
      <c r="C13" s="360">
        <f>15900+130792.5</f>
        <v>146692.5</v>
      </c>
      <c r="D13" s="360">
        <f t="shared" si="2"/>
        <v>20297</v>
      </c>
      <c r="E13" s="360">
        <f t="shared" si="3"/>
        <v>5328949.49</v>
      </c>
      <c r="F13" s="360"/>
      <c r="G13" s="360">
        <f t="shared" si="0"/>
        <v>1598684.8470000001</v>
      </c>
      <c r="H13" s="360">
        <f t="shared" si="4"/>
        <v>12868.093000000001</v>
      </c>
      <c r="I13" s="360">
        <v>1000000</v>
      </c>
      <c r="J13" s="360">
        <f t="shared" si="5"/>
        <v>4600000</v>
      </c>
      <c r="K13" s="360">
        <f t="shared" si="6"/>
        <v>-972420.10700000019</v>
      </c>
      <c r="L13" s="360">
        <f t="shared" si="1"/>
        <v>728949.49000000022</v>
      </c>
      <c r="M13" s="360" t="s">
        <v>2722</v>
      </c>
    </row>
    <row r="14" spans="1:13" s="977" customFormat="1" ht="36" customHeight="1">
      <c r="A14" s="365">
        <v>42917</v>
      </c>
      <c r="B14" s="360">
        <v>0</v>
      </c>
      <c r="C14" s="360">
        <v>0</v>
      </c>
      <c r="D14" s="360">
        <f t="shared" si="2"/>
        <v>20297</v>
      </c>
      <c r="E14" s="360">
        <f t="shared" si="3"/>
        <v>5328949.49</v>
      </c>
      <c r="F14" s="360"/>
      <c r="G14" s="360"/>
      <c r="H14" s="360">
        <f>C13*0.7+G13</f>
        <v>1701369.5970000001</v>
      </c>
      <c r="I14" s="360">
        <v>728949.49</v>
      </c>
      <c r="J14" s="360">
        <f t="shared" si="5"/>
        <v>5328949.49</v>
      </c>
      <c r="K14" s="360">
        <f t="shared" si="6"/>
        <v>0</v>
      </c>
      <c r="L14" s="360">
        <f t="shared" si="1"/>
        <v>0</v>
      </c>
      <c r="M14" s="360" t="s">
        <v>2723</v>
      </c>
    </row>
    <row r="15" spans="1:13" s="977" customFormat="1" ht="36" customHeight="1">
      <c r="A15" s="365"/>
      <c r="B15" s="360"/>
      <c r="C15" s="360"/>
      <c r="D15" s="360"/>
      <c r="E15" s="360"/>
      <c r="F15" s="360"/>
      <c r="G15" s="360"/>
      <c r="H15" s="360"/>
      <c r="I15" s="360"/>
      <c r="J15" s="360"/>
      <c r="K15" s="360">
        <f t="shared" si="6"/>
        <v>0</v>
      </c>
      <c r="L15" s="360"/>
      <c r="M15" s="360" t="s">
        <v>2724</v>
      </c>
    </row>
    <row r="16" spans="1:13" s="977" customFormat="1" ht="36" customHeight="1">
      <c r="A16" s="365"/>
      <c r="B16" s="360"/>
      <c r="C16" s="360"/>
      <c r="D16" s="360"/>
      <c r="E16" s="360"/>
      <c r="F16" s="360"/>
      <c r="G16" s="360"/>
      <c r="H16" s="360"/>
      <c r="I16" s="360"/>
      <c r="J16" s="360"/>
      <c r="K16" s="360"/>
      <c r="L16" s="360"/>
      <c r="M16" s="360"/>
    </row>
    <row r="17" spans="1:13" s="977" customFormat="1" ht="36" customHeight="1">
      <c r="A17" s="1002"/>
      <c r="B17" s="360"/>
      <c r="C17" s="360"/>
      <c r="D17" s="360"/>
      <c r="E17" s="360"/>
      <c r="F17" s="360"/>
      <c r="G17" s="360"/>
      <c r="H17" s="360"/>
      <c r="I17" s="360"/>
      <c r="J17" s="360"/>
      <c r="K17" s="360"/>
      <c r="L17" s="360"/>
      <c r="M17" s="360"/>
    </row>
    <row r="18" spans="1:13" ht="36" customHeight="1"/>
    <row r="31" spans="1:13">
      <c r="I31" s="434"/>
    </row>
    <row r="32" spans="1:13">
      <c r="I32" s="434"/>
    </row>
    <row r="35" spans="10:10">
      <c r="J35" s="434"/>
    </row>
  </sheetData>
  <mergeCells count="11">
    <mergeCell ref="J3:M3"/>
    <mergeCell ref="B4:D4"/>
    <mergeCell ref="B5:E5"/>
    <mergeCell ref="F5:K5"/>
    <mergeCell ref="I1:I2"/>
    <mergeCell ref="M1:M2"/>
    <mergeCell ref="J1:L2"/>
    <mergeCell ref="C1:D1"/>
    <mergeCell ref="B2:C2"/>
    <mergeCell ref="E2:F2"/>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A19" zoomScaleSheetLayoutView="100" workbookViewId="0">
      <selection activeCell="B23" sqref="B23:M23"/>
    </sheetView>
  </sheetViews>
  <sheetFormatPr defaultColWidth="9" defaultRowHeight="14.25"/>
  <cols>
    <col min="1" max="1" width="18.375" customWidth="1"/>
    <col min="2" max="3" width="16.5" customWidth="1"/>
    <col min="4" max="5" width="14.25" customWidth="1"/>
    <col min="6" max="6" width="11.375" customWidth="1"/>
    <col min="7" max="7" width="15.25" customWidth="1"/>
    <col min="8" max="8" width="1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v>42565</v>
      </c>
      <c r="C1" s="1405" t="s">
        <v>462</v>
      </c>
      <c r="D1" s="1187" t="s">
        <v>463</v>
      </c>
      <c r="E1" s="1034" t="s">
        <v>236</v>
      </c>
      <c r="F1" s="1406"/>
      <c r="G1" s="656" t="s">
        <v>351</v>
      </c>
      <c r="H1" s="1407" t="s">
        <v>464</v>
      </c>
      <c r="I1" s="1652" t="s">
        <v>237</v>
      </c>
      <c r="J1" s="1656" t="s">
        <v>465</v>
      </c>
      <c r="K1" s="1657"/>
      <c r="L1" s="1658"/>
      <c r="M1" s="1654" t="s">
        <v>466</v>
      </c>
    </row>
    <row r="2" spans="1:13" ht="60" customHeight="1">
      <c r="A2" s="39" t="s">
        <v>240</v>
      </c>
      <c r="B2" s="1637" t="s">
        <v>467</v>
      </c>
      <c r="C2" s="1637"/>
      <c r="D2" s="41" t="s">
        <v>242</v>
      </c>
      <c r="E2" s="1666"/>
      <c r="F2" s="1667"/>
      <c r="G2" s="41" t="s">
        <v>243</v>
      </c>
      <c r="H2" s="1408" t="s">
        <v>421</v>
      </c>
      <c r="I2" s="1653"/>
      <c r="J2" s="1659"/>
      <c r="K2" s="1660"/>
      <c r="L2" s="1661"/>
      <c r="M2" s="1655"/>
    </row>
    <row r="3" spans="1:13" ht="87.95" customHeight="1">
      <c r="A3" s="39" t="s">
        <v>247</v>
      </c>
      <c r="B3" s="1637" t="s">
        <v>468</v>
      </c>
      <c r="C3" s="1637"/>
      <c r="D3" s="41" t="s">
        <v>249</v>
      </c>
      <c r="E3" s="186" t="s">
        <v>469</v>
      </c>
      <c r="F3" s="41" t="s">
        <v>251</v>
      </c>
      <c r="G3" s="41" t="s">
        <v>470</v>
      </c>
      <c r="H3" s="40" t="s">
        <v>471</v>
      </c>
      <c r="I3" s="40" t="s">
        <v>425</v>
      </c>
      <c r="J3" s="1671" t="s">
        <v>472</v>
      </c>
      <c r="K3" s="1672"/>
      <c r="L3" s="1672"/>
      <c r="M3" s="1673"/>
    </row>
    <row r="4" spans="1:13" ht="47.25" customHeight="1">
      <c r="A4" s="39" t="s">
        <v>257</v>
      </c>
      <c r="B4" s="1637"/>
      <c r="C4" s="1637"/>
      <c r="D4" s="1637"/>
      <c r="E4" s="43" t="s">
        <v>258</v>
      </c>
      <c r="F4" s="1638"/>
      <c r="G4" s="1638"/>
      <c r="H4" s="1638"/>
      <c r="I4" s="1016"/>
      <c r="J4" s="1167" t="s">
        <v>253</v>
      </c>
      <c r="K4" s="1018"/>
      <c r="L4" s="15" t="s">
        <v>255</v>
      </c>
      <c r="M4" s="105" t="s">
        <v>473</v>
      </c>
    </row>
    <row r="5" spans="1:13" ht="102.95" customHeight="1">
      <c r="A5" s="1036" t="s">
        <v>260</v>
      </c>
      <c r="B5" s="1664" t="s">
        <v>474</v>
      </c>
      <c r="C5" s="1664"/>
      <c r="D5" s="1664"/>
      <c r="E5" s="1633" t="s">
        <v>475</v>
      </c>
      <c r="F5" s="1633"/>
      <c r="G5" s="1633"/>
      <c r="H5" s="1670"/>
      <c r="I5" s="1648"/>
      <c r="J5" s="1648"/>
      <c r="K5" s="1648"/>
      <c r="L5" s="1019" t="s">
        <v>360</v>
      </c>
      <c r="M5" s="105" t="s">
        <v>402</v>
      </c>
    </row>
    <row r="6" spans="1:13" ht="30.75">
      <c r="A6" s="19" t="s">
        <v>266</v>
      </c>
      <c r="B6" s="20" t="s">
        <v>267</v>
      </c>
      <c r="C6" s="20" t="s">
        <v>268</v>
      </c>
      <c r="D6" s="20" t="s">
        <v>269</v>
      </c>
      <c r="E6" s="20" t="s">
        <v>270</v>
      </c>
      <c r="F6" s="20" t="s">
        <v>271</v>
      </c>
      <c r="G6" s="383" t="s">
        <v>272</v>
      </c>
      <c r="H6" s="22" t="s">
        <v>273</v>
      </c>
      <c r="I6" s="859" t="s">
        <v>274</v>
      </c>
      <c r="J6" s="883" t="s">
        <v>275</v>
      </c>
      <c r="K6" s="883" t="s">
        <v>276</v>
      </c>
      <c r="L6" s="20" t="s">
        <v>277</v>
      </c>
      <c r="M6" s="71" t="s">
        <v>278</v>
      </c>
    </row>
    <row r="7" spans="1:13" ht="36" customHeight="1">
      <c r="A7" s="1409">
        <v>42461</v>
      </c>
      <c r="B7" s="1248">
        <v>343</v>
      </c>
      <c r="C7" s="1248">
        <v>114726</v>
      </c>
      <c r="D7" s="1067">
        <f>+B7</f>
        <v>343</v>
      </c>
      <c r="E7" s="1067">
        <f>C7</f>
        <v>114726</v>
      </c>
      <c r="F7" s="1410"/>
      <c r="G7" s="1245">
        <f>E7*0.3</f>
        <v>34417.799999999996</v>
      </c>
      <c r="H7" s="1411"/>
      <c r="I7" s="1415"/>
      <c r="J7" s="1415"/>
      <c r="K7" s="1416"/>
      <c r="L7" s="1417">
        <f t="shared" ref="L7:L21" si="0">E7-J7</f>
        <v>114726</v>
      </c>
      <c r="M7" s="1165"/>
    </row>
    <row r="8" spans="1:13" ht="36" customHeight="1">
      <c r="A8" s="1409" t="s">
        <v>476</v>
      </c>
      <c r="B8" s="1067">
        <v>3195.5</v>
      </c>
      <c r="C8" s="1067">
        <v>1050637.5</v>
      </c>
      <c r="D8" s="1248">
        <f t="shared" ref="D8:D21" si="1">B8+D7</f>
        <v>3538.5</v>
      </c>
      <c r="E8" s="1248">
        <f t="shared" ref="E8:E21" si="2">C8+E7</f>
        <v>1165363.5</v>
      </c>
      <c r="F8" s="1412"/>
      <c r="G8" s="1245">
        <f t="shared" ref="G8:G21" si="3">E8*0.3+261701.03</f>
        <v>611310.07999999996</v>
      </c>
      <c r="H8" s="1411">
        <f t="shared" ref="H8:H22" si="4">C7*0.7</f>
        <v>80308.2</v>
      </c>
      <c r="I8" s="1418"/>
      <c r="J8" s="1415"/>
      <c r="K8" s="1416">
        <f t="shared" ref="K8:K22" si="5">K7+H8-I8</f>
        <v>80308.2</v>
      </c>
      <c r="L8" s="1417">
        <f t="shared" si="0"/>
        <v>1165363.5</v>
      </c>
      <c r="M8" s="1199"/>
    </row>
    <row r="9" spans="1:13" ht="36" customHeight="1">
      <c r="A9" s="1413" t="s">
        <v>477</v>
      </c>
      <c r="B9" s="1067">
        <v>4174.5</v>
      </c>
      <c r="C9" s="1067">
        <v>1357448.5</v>
      </c>
      <c r="D9" s="1248">
        <f t="shared" si="1"/>
        <v>7713</v>
      </c>
      <c r="E9" s="1248">
        <f t="shared" si="2"/>
        <v>2522812</v>
      </c>
      <c r="F9" s="1412"/>
      <c r="G9" s="1245">
        <f t="shared" si="3"/>
        <v>1018544.63</v>
      </c>
      <c r="H9" s="1411">
        <f>C8*0.7-261701.03</f>
        <v>473745.22</v>
      </c>
      <c r="I9" s="1418">
        <v>400000</v>
      </c>
      <c r="J9" s="1418">
        <f>I9</f>
        <v>400000</v>
      </c>
      <c r="K9" s="1416">
        <f t="shared" si="5"/>
        <v>154053.41999999993</v>
      </c>
      <c r="L9" s="1417">
        <f t="shared" si="0"/>
        <v>2122812</v>
      </c>
      <c r="M9" s="412"/>
    </row>
    <row r="10" spans="1:13" ht="48.95" customHeight="1">
      <c r="A10" s="1413" t="s">
        <v>478</v>
      </c>
      <c r="B10" s="1067">
        <v>4058.5</v>
      </c>
      <c r="C10" s="1067">
        <v>1303789</v>
      </c>
      <c r="D10" s="1248">
        <f t="shared" si="1"/>
        <v>11771.5</v>
      </c>
      <c r="E10" s="1248">
        <f t="shared" si="2"/>
        <v>3826601</v>
      </c>
      <c r="F10" s="1067"/>
      <c r="G10" s="1245">
        <f t="shared" si="3"/>
        <v>1409681.33</v>
      </c>
      <c r="H10" s="1411">
        <f t="shared" si="4"/>
        <v>950213.95</v>
      </c>
      <c r="I10" s="1418"/>
      <c r="J10" s="1418">
        <f t="shared" ref="J10:J21" si="6">J9+I10</f>
        <v>400000</v>
      </c>
      <c r="K10" s="1416">
        <f t="shared" si="5"/>
        <v>1104267.3699999999</v>
      </c>
      <c r="L10" s="1417">
        <f t="shared" si="0"/>
        <v>3426601</v>
      </c>
      <c r="M10" s="412" t="s">
        <v>479</v>
      </c>
    </row>
    <row r="11" spans="1:13" ht="36" customHeight="1">
      <c r="A11" s="1413" t="s">
        <v>480</v>
      </c>
      <c r="B11" s="1067">
        <v>4925.5</v>
      </c>
      <c r="C11" s="1067">
        <v>1500099</v>
      </c>
      <c r="D11" s="1248">
        <f t="shared" si="1"/>
        <v>16697</v>
      </c>
      <c r="E11" s="1248">
        <f t="shared" si="2"/>
        <v>5326700</v>
      </c>
      <c r="F11" s="1067"/>
      <c r="G11" s="1245">
        <f t="shared" si="3"/>
        <v>1859711.03</v>
      </c>
      <c r="H11" s="1411">
        <f t="shared" si="4"/>
        <v>912652.29999999993</v>
      </c>
      <c r="I11" s="1418">
        <v>1500000</v>
      </c>
      <c r="J11" s="1418">
        <f t="shared" si="6"/>
        <v>1900000</v>
      </c>
      <c r="K11" s="1416">
        <f t="shared" si="5"/>
        <v>516919.66999999993</v>
      </c>
      <c r="L11" s="1417">
        <f t="shared" si="0"/>
        <v>3426700</v>
      </c>
      <c r="M11" s="412" t="s">
        <v>481</v>
      </c>
    </row>
    <row r="12" spans="1:13" ht="36" customHeight="1">
      <c r="A12" s="1413" t="s">
        <v>482</v>
      </c>
      <c r="B12" s="1067">
        <v>3954</v>
      </c>
      <c r="C12" s="1067">
        <v>1155712</v>
      </c>
      <c r="D12" s="1248">
        <f t="shared" si="1"/>
        <v>20651</v>
      </c>
      <c r="E12" s="1248">
        <f t="shared" si="2"/>
        <v>6482412</v>
      </c>
      <c r="F12" s="1067"/>
      <c r="G12" s="1245">
        <f t="shared" si="3"/>
        <v>2206424.63</v>
      </c>
      <c r="H12" s="1411">
        <f t="shared" si="4"/>
        <v>1050069.3</v>
      </c>
      <c r="I12" s="1418">
        <v>1200000</v>
      </c>
      <c r="J12" s="1418">
        <f t="shared" si="6"/>
        <v>3100000</v>
      </c>
      <c r="K12" s="1416">
        <f t="shared" si="5"/>
        <v>366988.97</v>
      </c>
      <c r="L12" s="1417">
        <f t="shared" si="0"/>
        <v>3382412</v>
      </c>
      <c r="M12" s="412" t="s">
        <v>483</v>
      </c>
    </row>
    <row r="13" spans="1:13" ht="36" customHeight="1">
      <c r="A13" s="1413" t="s">
        <v>484</v>
      </c>
      <c r="B13" s="1067">
        <v>3828</v>
      </c>
      <c r="C13" s="1067">
        <v>1099739</v>
      </c>
      <c r="D13" s="1248">
        <f t="shared" si="1"/>
        <v>24479</v>
      </c>
      <c r="E13" s="1248">
        <f t="shared" si="2"/>
        <v>7582151</v>
      </c>
      <c r="F13" s="1067"/>
      <c r="G13" s="1245">
        <f t="shared" si="3"/>
        <v>2536346.3299999996</v>
      </c>
      <c r="H13" s="1411">
        <f t="shared" si="4"/>
        <v>808998.39999999991</v>
      </c>
      <c r="I13" s="1418">
        <v>800000</v>
      </c>
      <c r="J13" s="1418">
        <f t="shared" si="6"/>
        <v>3900000</v>
      </c>
      <c r="K13" s="1416">
        <f t="shared" si="5"/>
        <v>375987.36999999988</v>
      </c>
      <c r="L13" s="1417">
        <f t="shared" si="0"/>
        <v>3682151</v>
      </c>
      <c r="M13" s="412" t="s">
        <v>485</v>
      </c>
    </row>
    <row r="14" spans="1:13" ht="36" customHeight="1">
      <c r="A14" s="1413" t="s">
        <v>486</v>
      </c>
      <c r="B14" s="1067">
        <v>3710</v>
      </c>
      <c r="C14" s="1067">
        <v>1039125</v>
      </c>
      <c r="D14" s="1248">
        <f t="shared" si="1"/>
        <v>28189</v>
      </c>
      <c r="E14" s="1248">
        <f t="shared" si="2"/>
        <v>8621276</v>
      </c>
      <c r="F14" s="1067"/>
      <c r="G14" s="1245">
        <f t="shared" si="3"/>
        <v>2848083.8299999996</v>
      </c>
      <c r="H14" s="1411">
        <f t="shared" si="4"/>
        <v>769817.29999999993</v>
      </c>
      <c r="I14" s="1418">
        <v>850000</v>
      </c>
      <c r="J14" s="1418">
        <f t="shared" si="6"/>
        <v>4750000</v>
      </c>
      <c r="K14" s="1416">
        <f t="shared" si="5"/>
        <v>295804.66999999993</v>
      </c>
      <c r="L14" s="1417">
        <f t="shared" si="0"/>
        <v>3871276</v>
      </c>
      <c r="M14" s="412" t="s">
        <v>487</v>
      </c>
    </row>
    <row r="15" spans="1:13" ht="36" customHeight="1">
      <c r="A15" s="1413" t="s">
        <v>488</v>
      </c>
      <c r="B15" s="1067">
        <v>4730</v>
      </c>
      <c r="C15" s="1067">
        <v>1412325</v>
      </c>
      <c r="D15" s="1248">
        <f t="shared" si="1"/>
        <v>32919</v>
      </c>
      <c r="E15" s="1248">
        <f t="shared" si="2"/>
        <v>10033601</v>
      </c>
      <c r="F15" s="1067"/>
      <c r="G15" s="1245">
        <f t="shared" si="3"/>
        <v>3271781.3299999996</v>
      </c>
      <c r="H15" s="1411">
        <f t="shared" si="4"/>
        <v>727387.5</v>
      </c>
      <c r="I15" s="1418">
        <v>1280000</v>
      </c>
      <c r="J15" s="1418">
        <f t="shared" si="6"/>
        <v>6030000</v>
      </c>
      <c r="K15" s="1416">
        <f t="shared" si="5"/>
        <v>-256807.83000000007</v>
      </c>
      <c r="L15" s="1417">
        <f t="shared" si="0"/>
        <v>4003601</v>
      </c>
      <c r="M15" s="412" t="s">
        <v>489</v>
      </c>
    </row>
    <row r="16" spans="1:13" ht="36" customHeight="1">
      <c r="A16" s="1413" t="s">
        <v>490</v>
      </c>
      <c r="B16" s="1067">
        <v>730.5</v>
      </c>
      <c r="C16" s="1067">
        <v>198010</v>
      </c>
      <c r="D16" s="1248">
        <f t="shared" si="1"/>
        <v>33649.5</v>
      </c>
      <c r="E16" s="1248">
        <f t="shared" si="2"/>
        <v>10231611</v>
      </c>
      <c r="F16" s="1067"/>
      <c r="G16" s="1245">
        <f t="shared" si="3"/>
        <v>3331184.3299999996</v>
      </c>
      <c r="H16" s="1411">
        <f t="shared" si="4"/>
        <v>988627.49999999988</v>
      </c>
      <c r="I16" s="1418"/>
      <c r="J16" s="1418">
        <f t="shared" si="6"/>
        <v>6030000</v>
      </c>
      <c r="K16" s="1416">
        <f t="shared" si="5"/>
        <v>731819.66999999981</v>
      </c>
      <c r="L16" s="1417">
        <f t="shared" si="0"/>
        <v>4201611</v>
      </c>
      <c r="M16" s="412"/>
    </row>
    <row r="17" spans="1:13" ht="36" customHeight="1">
      <c r="A17" s="1413" t="s">
        <v>491</v>
      </c>
      <c r="B17" s="1067">
        <v>319.5</v>
      </c>
      <c r="C17" s="1067">
        <v>90959</v>
      </c>
      <c r="D17" s="1248">
        <f t="shared" si="1"/>
        <v>33969</v>
      </c>
      <c r="E17" s="1248">
        <f t="shared" si="2"/>
        <v>10322570</v>
      </c>
      <c r="F17" s="1067"/>
      <c r="G17" s="1245">
        <f t="shared" si="3"/>
        <v>3358472.03</v>
      </c>
      <c r="H17" s="1411">
        <f t="shared" si="4"/>
        <v>138607</v>
      </c>
      <c r="I17" s="1418">
        <v>680000</v>
      </c>
      <c r="J17" s="1418">
        <f t="shared" si="6"/>
        <v>6710000</v>
      </c>
      <c r="K17" s="1416">
        <f t="shared" si="5"/>
        <v>190426.66999999981</v>
      </c>
      <c r="L17" s="1417">
        <f t="shared" si="0"/>
        <v>3612570</v>
      </c>
      <c r="M17" s="412" t="s">
        <v>492</v>
      </c>
    </row>
    <row r="18" spans="1:13" ht="36" customHeight="1">
      <c r="A18" s="1413" t="s">
        <v>493</v>
      </c>
      <c r="B18" s="1067">
        <v>321.5</v>
      </c>
      <c r="C18" s="1067">
        <v>89595</v>
      </c>
      <c r="D18" s="1248">
        <f t="shared" si="1"/>
        <v>34290.5</v>
      </c>
      <c r="E18" s="1248">
        <f t="shared" si="2"/>
        <v>10412165</v>
      </c>
      <c r="F18" s="1067"/>
      <c r="G18" s="1245">
        <f t="shared" si="3"/>
        <v>3385350.53</v>
      </c>
      <c r="H18" s="1411">
        <f t="shared" si="4"/>
        <v>63671.299999999996</v>
      </c>
      <c r="I18" s="1418"/>
      <c r="J18" s="1418">
        <f t="shared" si="6"/>
        <v>6710000</v>
      </c>
      <c r="K18" s="1416">
        <f t="shared" si="5"/>
        <v>254097.9699999998</v>
      </c>
      <c r="L18" s="1417">
        <f t="shared" si="0"/>
        <v>3702165</v>
      </c>
      <c r="M18" s="412"/>
    </row>
    <row r="19" spans="1:13" ht="36" customHeight="1">
      <c r="A19" s="1413" t="s">
        <v>494</v>
      </c>
      <c r="B19" s="1067"/>
      <c r="C19" s="1067">
        <v>21227.5</v>
      </c>
      <c r="D19" s="1248">
        <f t="shared" si="1"/>
        <v>34290.5</v>
      </c>
      <c r="E19" s="1248">
        <f t="shared" si="2"/>
        <v>10433392.5</v>
      </c>
      <c r="F19" s="1067"/>
      <c r="G19" s="1245">
        <f t="shared" si="3"/>
        <v>3391718.78</v>
      </c>
      <c r="H19" s="1411">
        <f t="shared" si="4"/>
        <v>62716.499999999993</v>
      </c>
      <c r="I19" s="1418"/>
      <c r="J19" s="1418">
        <f t="shared" si="6"/>
        <v>6710000</v>
      </c>
      <c r="K19" s="1416">
        <f t="shared" si="5"/>
        <v>316814.4699999998</v>
      </c>
      <c r="L19" s="1417">
        <f t="shared" si="0"/>
        <v>3723392.5</v>
      </c>
      <c r="M19" s="412"/>
    </row>
    <row r="20" spans="1:13" ht="36" customHeight="1">
      <c r="A20" s="1413" t="s">
        <v>495</v>
      </c>
      <c r="B20" s="1067">
        <v>280</v>
      </c>
      <c r="C20" s="1067">
        <v>78177</v>
      </c>
      <c r="D20" s="1248">
        <f t="shared" si="1"/>
        <v>34570.5</v>
      </c>
      <c r="E20" s="1248">
        <f t="shared" si="2"/>
        <v>10511569.5</v>
      </c>
      <c r="F20" s="1067"/>
      <c r="G20" s="1245">
        <f t="shared" si="3"/>
        <v>3415171.88</v>
      </c>
      <c r="H20" s="1411">
        <f t="shared" si="4"/>
        <v>14859.249999999998</v>
      </c>
      <c r="I20" s="1418">
        <v>160000</v>
      </c>
      <c r="J20" s="1418">
        <f t="shared" si="6"/>
        <v>6870000</v>
      </c>
      <c r="K20" s="1416">
        <f t="shared" si="5"/>
        <v>171673.7199999998</v>
      </c>
      <c r="L20" s="1417">
        <f t="shared" si="0"/>
        <v>3641569.5</v>
      </c>
      <c r="M20" s="412" t="s">
        <v>496</v>
      </c>
    </row>
    <row r="21" spans="1:13" ht="36" customHeight="1">
      <c r="A21" s="1413" t="s">
        <v>497</v>
      </c>
      <c r="B21" s="1067">
        <v>283</v>
      </c>
      <c r="C21" s="1067">
        <v>75526</v>
      </c>
      <c r="D21" s="1248">
        <f t="shared" si="1"/>
        <v>34853.5</v>
      </c>
      <c r="E21" s="1248">
        <f t="shared" si="2"/>
        <v>10587095.5</v>
      </c>
      <c r="F21" s="1067"/>
      <c r="G21" s="1245">
        <f t="shared" si="3"/>
        <v>3437829.6799999997</v>
      </c>
      <c r="H21" s="1411">
        <f t="shared" si="4"/>
        <v>54723.899999999994</v>
      </c>
      <c r="I21" s="1418"/>
      <c r="J21" s="1418">
        <f t="shared" si="6"/>
        <v>6870000</v>
      </c>
      <c r="K21" s="1416">
        <f t="shared" si="5"/>
        <v>226397.61999999979</v>
      </c>
      <c r="L21" s="1417">
        <f t="shared" si="0"/>
        <v>3717095.5</v>
      </c>
      <c r="M21" s="412"/>
    </row>
    <row r="22" spans="1:13" ht="36" customHeight="1">
      <c r="A22" s="1413"/>
      <c r="B22" s="1067"/>
      <c r="C22" s="1067"/>
      <c r="D22" s="1067"/>
      <c r="E22" s="1067"/>
      <c r="F22" s="1067"/>
      <c r="G22" s="1245"/>
      <c r="H22" s="1411">
        <f t="shared" si="4"/>
        <v>52868.2</v>
      </c>
      <c r="I22" s="1418"/>
      <c r="J22" s="1418"/>
      <c r="K22" s="1416">
        <f t="shared" si="5"/>
        <v>279265.81999999977</v>
      </c>
      <c r="L22" s="259"/>
      <c r="M22" s="412"/>
    </row>
    <row r="23" spans="1:13" ht="36" customHeight="1">
      <c r="A23" s="1413">
        <v>42979</v>
      </c>
      <c r="B23" s="1067">
        <v>283</v>
      </c>
      <c r="C23" s="1067">
        <v>75526</v>
      </c>
      <c r="D23" s="1067">
        <v>34853.5</v>
      </c>
      <c r="E23" s="1067">
        <v>10587095.5</v>
      </c>
      <c r="F23" s="1067"/>
      <c r="G23" s="1245">
        <v>3437829.6799999997</v>
      </c>
      <c r="H23" s="1414">
        <v>54723.899999999994</v>
      </c>
      <c r="I23" s="1418"/>
      <c r="J23" s="1418">
        <v>6870000</v>
      </c>
      <c r="K23" s="1067">
        <v>226397.61999999979</v>
      </c>
      <c r="L23" s="259">
        <v>3717095.5</v>
      </c>
      <c r="M23" s="412"/>
    </row>
  </sheetData>
  <mergeCells count="12">
    <mergeCell ref="M1:M2"/>
    <mergeCell ref="J1:L2"/>
    <mergeCell ref="B2:C2"/>
    <mergeCell ref="E2:F2"/>
    <mergeCell ref="B3:C3"/>
    <mergeCell ref="J3:M3"/>
    <mergeCell ref="B4:D4"/>
    <mergeCell ref="F4:H4"/>
    <mergeCell ref="B5:D5"/>
    <mergeCell ref="E5:H5"/>
    <mergeCell ref="I5:K5"/>
    <mergeCell ref="I1:I2"/>
  </mergeCells>
  <phoneticPr fontId="84" type="noConversion"/>
  <pageMargins left="0.75" right="0.75" top="1" bottom="1" header="0.51" footer="0.51"/>
  <pageSetup paperSize="9" orientation="portrait" verticalDpi="200"/>
  <headerFooter scaleWithDoc="0" alignWithMargins="0"/>
  <legacyDrawing r:id="rId1"/>
</worksheet>
</file>

<file path=xl/worksheets/sheet1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topLeftCell="A13" zoomScaleSheetLayoutView="100" workbookViewId="0">
      <selection activeCell="B19" sqref="B19:M19"/>
    </sheetView>
  </sheetViews>
  <sheetFormatPr defaultColWidth="9" defaultRowHeight="14.25"/>
  <cols>
    <col min="1" max="1" width="18.625" customWidth="1"/>
    <col min="2" max="2" width="16.125" customWidth="1"/>
    <col min="3" max="3" width="14.125" customWidth="1"/>
    <col min="4" max="4" width="13.75" customWidth="1"/>
    <col min="5" max="5" width="18" customWidth="1"/>
    <col min="6" max="6" width="17.25" customWidth="1"/>
    <col min="7" max="7" width="11.5" customWidth="1"/>
    <col min="8" max="9" width="11.625" customWidth="1"/>
    <col min="10" max="10" width="15" customWidth="1"/>
    <col min="11" max="11" width="13.75" customWidth="1"/>
    <col min="12" max="12" width="14.375" customWidth="1"/>
    <col min="13" max="13" width="47.875" customWidth="1"/>
  </cols>
  <sheetData>
    <row r="1" spans="1:13" s="994" customFormat="1" ht="68.099999999999994" customHeight="1">
      <c r="A1" s="995" t="s">
        <v>348</v>
      </c>
      <c r="B1" s="996">
        <v>42522</v>
      </c>
      <c r="C1" s="1903" t="s">
        <v>2725</v>
      </c>
      <c r="D1" s="1903"/>
      <c r="E1" s="995" t="s">
        <v>236</v>
      </c>
      <c r="F1" s="103" t="s">
        <v>2726</v>
      </c>
      <c r="G1" s="59" t="s">
        <v>351</v>
      </c>
      <c r="H1" s="59"/>
      <c r="I1" s="1638" t="s">
        <v>237</v>
      </c>
      <c r="J1" s="1665" t="s">
        <v>2727</v>
      </c>
      <c r="K1" s="1665"/>
      <c r="L1" s="1665"/>
      <c r="M1" s="2020" t="s">
        <v>2728</v>
      </c>
    </row>
    <row r="2" spans="1:13" s="994" customFormat="1" ht="54" customHeight="1">
      <c r="A2" s="41" t="s">
        <v>240</v>
      </c>
      <c r="B2" s="1637" t="s">
        <v>1528</v>
      </c>
      <c r="C2" s="1637"/>
      <c r="D2" s="41" t="s">
        <v>242</v>
      </c>
      <c r="E2" s="1638"/>
      <c r="F2" s="1638"/>
      <c r="G2" s="41" t="s">
        <v>243</v>
      </c>
      <c r="H2" s="998" t="s">
        <v>421</v>
      </c>
      <c r="I2" s="1638"/>
      <c r="J2" s="1665"/>
      <c r="K2" s="1897"/>
      <c r="L2" s="1665"/>
      <c r="M2" s="2006"/>
    </row>
    <row r="3" spans="1:13" s="994" customFormat="1" ht="69" customHeight="1">
      <c r="A3" s="41" t="s">
        <v>247</v>
      </c>
      <c r="B3" s="1637" t="s">
        <v>2729</v>
      </c>
      <c r="C3" s="1637"/>
      <c r="D3" s="41" t="s">
        <v>249</v>
      </c>
      <c r="E3" s="268" t="s">
        <v>2730</v>
      </c>
      <c r="F3" s="41" t="s">
        <v>251</v>
      </c>
      <c r="G3" s="41" t="s">
        <v>2731</v>
      </c>
      <c r="H3" s="40" t="s">
        <v>2732</v>
      </c>
      <c r="I3" s="40" t="s">
        <v>425</v>
      </c>
      <c r="J3" s="1676" t="s">
        <v>2733</v>
      </c>
      <c r="K3" s="1677"/>
      <c r="L3" s="1677"/>
      <c r="M3" s="1838"/>
    </row>
    <row r="4" spans="1:13" s="994" customFormat="1" ht="55.5" customHeight="1">
      <c r="A4" s="41" t="s">
        <v>257</v>
      </c>
      <c r="B4" s="1637"/>
      <c r="C4" s="1637"/>
      <c r="D4" s="1637"/>
      <c r="E4" s="43" t="s">
        <v>258</v>
      </c>
      <c r="F4" s="2019"/>
      <c r="G4" s="2019"/>
      <c r="H4" s="2019"/>
      <c r="I4" s="90"/>
      <c r="J4" s="1004" t="s">
        <v>253</v>
      </c>
      <c r="K4" s="40"/>
      <c r="L4" s="400" t="s">
        <v>255</v>
      </c>
      <c r="M4" s="271" t="s">
        <v>2734</v>
      </c>
    </row>
    <row r="5" spans="1:13" s="994" customFormat="1" ht="99.95" customHeight="1">
      <c r="A5" s="41" t="s">
        <v>260</v>
      </c>
      <c r="B5" s="1647" t="s">
        <v>2735</v>
      </c>
      <c r="C5" s="1647"/>
      <c r="D5" s="1647"/>
      <c r="E5" s="1647"/>
      <c r="F5" s="1665"/>
      <c r="G5" s="1665"/>
      <c r="H5" s="1665"/>
      <c r="I5" s="1665"/>
      <c r="J5" s="1665"/>
      <c r="K5" s="1665"/>
      <c r="L5" s="41" t="s">
        <v>245</v>
      </c>
      <c r="M5" s="269" t="s">
        <v>2736</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t="s">
        <v>2737</v>
      </c>
      <c r="B7" s="360">
        <v>4362</v>
      </c>
      <c r="C7" s="406">
        <v>1219940</v>
      </c>
      <c r="D7" s="360">
        <f>B7</f>
        <v>4362</v>
      </c>
      <c r="E7" s="360">
        <f>C7</f>
        <v>1219940</v>
      </c>
      <c r="F7" s="360"/>
      <c r="G7" s="360">
        <f>E7*0.3</f>
        <v>365982</v>
      </c>
      <c r="H7" s="360"/>
      <c r="I7" s="360"/>
      <c r="J7" s="360"/>
      <c r="K7" s="360"/>
      <c r="L7" s="360">
        <f t="shared" ref="L7:L16" si="0">E7-J7</f>
        <v>1219940</v>
      </c>
      <c r="M7" s="360"/>
    </row>
    <row r="8" spans="1:13" s="977" customFormat="1" ht="36" customHeight="1">
      <c r="A8" s="405" t="s">
        <v>480</v>
      </c>
      <c r="B8" s="360">
        <v>1848</v>
      </c>
      <c r="C8" s="406">
        <v>550660</v>
      </c>
      <c r="D8" s="360">
        <f t="shared" ref="D8:D16" si="1">D7+B8</f>
        <v>6210</v>
      </c>
      <c r="E8" s="360">
        <f t="shared" ref="E8:E16" si="2">E7+C8</f>
        <v>1770600</v>
      </c>
      <c r="F8" s="360"/>
      <c r="G8" s="360">
        <f>C8*0.3+E7*0.1</f>
        <v>287192</v>
      </c>
      <c r="H8" s="360">
        <f>C7*0.7</f>
        <v>853958</v>
      </c>
      <c r="I8" s="360"/>
      <c r="J8" s="360"/>
      <c r="K8" s="360">
        <f t="shared" ref="K8:K18" si="3">K7+H8-I8</f>
        <v>853958</v>
      </c>
      <c r="L8" s="360">
        <f t="shared" si="0"/>
        <v>1770600</v>
      </c>
      <c r="M8" s="360" t="s">
        <v>2738</v>
      </c>
    </row>
    <row r="9" spans="1:13" s="977" customFormat="1" ht="36" customHeight="1">
      <c r="A9" s="405" t="s">
        <v>2739</v>
      </c>
      <c r="B9" s="360">
        <v>1535</v>
      </c>
      <c r="C9" s="406">
        <v>434430</v>
      </c>
      <c r="D9" s="360">
        <f t="shared" si="1"/>
        <v>7745</v>
      </c>
      <c r="E9" s="360">
        <f t="shared" si="2"/>
        <v>2205030</v>
      </c>
      <c r="F9" s="360"/>
      <c r="G9" s="360">
        <f t="shared" ref="G9:G17" si="4">C9*0.3+E8*0.1</f>
        <v>307389</v>
      </c>
      <c r="H9" s="360">
        <f>C8*0.7+C7*0.2</f>
        <v>629450</v>
      </c>
      <c r="I9" s="360">
        <v>800000</v>
      </c>
      <c r="J9" s="360">
        <f t="shared" ref="J9:J17" si="5">I9+J8</f>
        <v>800000</v>
      </c>
      <c r="K9" s="360">
        <f t="shared" si="3"/>
        <v>683408</v>
      </c>
      <c r="L9" s="360">
        <f t="shared" si="0"/>
        <v>1405030</v>
      </c>
      <c r="M9" s="360"/>
    </row>
    <row r="10" spans="1:13" s="977" customFormat="1" ht="36" customHeight="1">
      <c r="A10" s="405" t="s">
        <v>2740</v>
      </c>
      <c r="B10" s="360">
        <v>757</v>
      </c>
      <c r="C10" s="406">
        <v>218290</v>
      </c>
      <c r="D10" s="360">
        <f t="shared" si="1"/>
        <v>8502</v>
      </c>
      <c r="E10" s="360">
        <f t="shared" si="2"/>
        <v>2423320</v>
      </c>
      <c r="F10" s="360"/>
      <c r="G10" s="360">
        <f t="shared" si="4"/>
        <v>285990</v>
      </c>
      <c r="H10" s="360">
        <f>C9*0.7+C8*0.2</f>
        <v>414233</v>
      </c>
      <c r="I10" s="360"/>
      <c r="J10" s="360">
        <f t="shared" si="5"/>
        <v>800000</v>
      </c>
      <c r="K10" s="360">
        <f t="shared" si="3"/>
        <v>1097641</v>
      </c>
      <c r="L10" s="360">
        <f t="shared" si="0"/>
        <v>1623320</v>
      </c>
      <c r="M10" s="360" t="s">
        <v>2741</v>
      </c>
    </row>
    <row r="11" spans="1:13" s="977" customFormat="1" ht="36" customHeight="1">
      <c r="A11" s="405" t="s">
        <v>672</v>
      </c>
      <c r="B11" s="360"/>
      <c r="C11" s="406">
        <v>57692.7</v>
      </c>
      <c r="D11" s="360">
        <f t="shared" si="1"/>
        <v>8502</v>
      </c>
      <c r="E11" s="360">
        <f t="shared" si="2"/>
        <v>2481012.7000000002</v>
      </c>
      <c r="F11" s="360"/>
      <c r="G11" s="360">
        <f t="shared" si="4"/>
        <v>259639.81</v>
      </c>
      <c r="H11" s="360">
        <f>C10*0.7+C9*0.2</f>
        <v>239689</v>
      </c>
      <c r="I11" s="360"/>
      <c r="J11" s="360">
        <f t="shared" si="5"/>
        <v>800000</v>
      </c>
      <c r="K11" s="360">
        <f t="shared" si="3"/>
        <v>1337330</v>
      </c>
      <c r="L11" s="360">
        <f t="shared" si="0"/>
        <v>1681012.7000000002</v>
      </c>
      <c r="M11" s="360" t="s">
        <v>2742</v>
      </c>
    </row>
    <row r="12" spans="1:13" s="977" customFormat="1" ht="36" customHeight="1">
      <c r="A12" s="405" t="s">
        <v>2743</v>
      </c>
      <c r="B12" s="360">
        <v>1351.5</v>
      </c>
      <c r="C12" s="406">
        <v>359377.5</v>
      </c>
      <c r="D12" s="360">
        <f t="shared" si="1"/>
        <v>9853.5</v>
      </c>
      <c r="E12" s="360">
        <f t="shared" si="2"/>
        <v>2840390.2</v>
      </c>
      <c r="F12" s="360"/>
      <c r="G12" s="360">
        <f t="shared" si="4"/>
        <v>355914.52</v>
      </c>
      <c r="H12" s="360">
        <f t="shared" ref="H12:H18" si="6">C11*0.7+C10*0.2</f>
        <v>84042.889999999985</v>
      </c>
      <c r="I12" s="360">
        <v>743521</v>
      </c>
      <c r="J12" s="360">
        <f t="shared" si="5"/>
        <v>1543521</v>
      </c>
      <c r="K12" s="360">
        <f t="shared" si="3"/>
        <v>677851.8899999999</v>
      </c>
      <c r="L12" s="360">
        <f t="shared" si="0"/>
        <v>1296869.2000000002</v>
      </c>
      <c r="M12" s="360" t="s">
        <v>2744</v>
      </c>
    </row>
    <row r="13" spans="1:13" s="977" customFormat="1" ht="36" customHeight="1">
      <c r="A13" s="405" t="s">
        <v>2745</v>
      </c>
      <c r="B13" s="360">
        <v>881.5</v>
      </c>
      <c r="C13" s="360">
        <v>251522.5</v>
      </c>
      <c r="D13" s="360">
        <f t="shared" si="1"/>
        <v>10735</v>
      </c>
      <c r="E13" s="360">
        <f t="shared" si="2"/>
        <v>3091912.7</v>
      </c>
      <c r="F13" s="360"/>
      <c r="G13" s="360">
        <f t="shared" si="4"/>
        <v>359495.77</v>
      </c>
      <c r="H13" s="360">
        <f t="shared" si="6"/>
        <v>263102.78999999998</v>
      </c>
      <c r="I13" s="360">
        <v>200000</v>
      </c>
      <c r="J13" s="360">
        <f t="shared" si="5"/>
        <v>1743521</v>
      </c>
      <c r="K13" s="360">
        <f t="shared" si="3"/>
        <v>740954.67999999993</v>
      </c>
      <c r="L13" s="360">
        <f t="shared" si="0"/>
        <v>1348391.7000000002</v>
      </c>
      <c r="M13" s="360" t="s">
        <v>2746</v>
      </c>
    </row>
    <row r="14" spans="1:13" s="977" customFormat="1" ht="36" customHeight="1">
      <c r="A14" s="405" t="s">
        <v>433</v>
      </c>
      <c r="B14" s="360"/>
      <c r="C14" s="360">
        <v>59969.77</v>
      </c>
      <c r="D14" s="360">
        <f t="shared" si="1"/>
        <v>10735</v>
      </c>
      <c r="E14" s="360">
        <f t="shared" si="2"/>
        <v>3151882.47</v>
      </c>
      <c r="F14" s="360"/>
      <c r="G14" s="360">
        <f t="shared" si="4"/>
        <v>327182.201</v>
      </c>
      <c r="H14" s="360">
        <f t="shared" si="6"/>
        <v>247941.25</v>
      </c>
      <c r="I14" s="360">
        <v>200000</v>
      </c>
      <c r="J14" s="360">
        <f t="shared" si="5"/>
        <v>1943521</v>
      </c>
      <c r="K14" s="360">
        <f t="shared" si="3"/>
        <v>788895.92999999993</v>
      </c>
      <c r="L14" s="360">
        <f t="shared" si="0"/>
        <v>1208361.4700000002</v>
      </c>
      <c r="M14" s="360" t="s">
        <v>2747</v>
      </c>
    </row>
    <row r="15" spans="1:13" s="977" customFormat="1" ht="36" customHeight="1">
      <c r="A15" s="405" t="s">
        <v>2748</v>
      </c>
      <c r="B15" s="360">
        <v>403</v>
      </c>
      <c r="C15" s="360">
        <v>113385</v>
      </c>
      <c r="D15" s="360">
        <f t="shared" si="1"/>
        <v>11138</v>
      </c>
      <c r="E15" s="360">
        <f t="shared" si="2"/>
        <v>3265267.47</v>
      </c>
      <c r="F15" s="360"/>
      <c r="G15" s="360">
        <f t="shared" si="4"/>
        <v>349203.74700000003</v>
      </c>
      <c r="H15" s="360">
        <f t="shared" si="6"/>
        <v>92283.338999999993</v>
      </c>
      <c r="I15" s="360">
        <v>200000</v>
      </c>
      <c r="J15" s="360">
        <f t="shared" si="5"/>
        <v>2143521</v>
      </c>
      <c r="K15" s="360">
        <f t="shared" si="3"/>
        <v>681179.26899999997</v>
      </c>
      <c r="L15" s="360">
        <f t="shared" si="0"/>
        <v>1121746.4700000002</v>
      </c>
      <c r="M15" s="360" t="s">
        <v>2749</v>
      </c>
    </row>
    <row r="16" spans="1:13" s="977" customFormat="1" ht="36" customHeight="1">
      <c r="A16" s="405" t="s">
        <v>2750</v>
      </c>
      <c r="B16" s="360">
        <v>861</v>
      </c>
      <c r="C16" s="360">
        <v>243825</v>
      </c>
      <c r="D16" s="360">
        <f t="shared" si="1"/>
        <v>11999</v>
      </c>
      <c r="E16" s="360">
        <f t="shared" si="2"/>
        <v>3509092.47</v>
      </c>
      <c r="F16" s="360"/>
      <c r="G16" s="360">
        <f t="shared" si="4"/>
        <v>399674.24700000003</v>
      </c>
      <c r="H16" s="360">
        <f t="shared" si="6"/>
        <v>91363.453999999998</v>
      </c>
      <c r="I16" s="360">
        <v>300000</v>
      </c>
      <c r="J16" s="360">
        <f t="shared" si="5"/>
        <v>2443521</v>
      </c>
      <c r="K16" s="360">
        <f t="shared" si="3"/>
        <v>472542.723</v>
      </c>
      <c r="L16" s="360">
        <f t="shared" si="0"/>
        <v>1065571.4700000002</v>
      </c>
      <c r="M16" s="360" t="s">
        <v>2751</v>
      </c>
    </row>
    <row r="17" spans="1:13" s="977" customFormat="1" ht="36" customHeight="1">
      <c r="A17" s="405"/>
      <c r="B17" s="360"/>
      <c r="C17" s="360"/>
      <c r="D17" s="360"/>
      <c r="E17" s="360"/>
      <c r="F17" s="360"/>
      <c r="G17" s="360">
        <f t="shared" si="4"/>
        <v>350909.24700000003</v>
      </c>
      <c r="H17" s="360">
        <f t="shared" si="6"/>
        <v>193354.5</v>
      </c>
      <c r="I17" s="360"/>
      <c r="J17" s="360">
        <f t="shared" si="5"/>
        <v>2443521</v>
      </c>
      <c r="K17" s="360">
        <f t="shared" si="3"/>
        <v>665897.223</v>
      </c>
      <c r="L17" s="360"/>
      <c r="M17" s="360" t="s">
        <v>2752</v>
      </c>
    </row>
    <row r="18" spans="1:13" s="977" customFormat="1" ht="36" customHeight="1">
      <c r="A18" s="365"/>
      <c r="B18" s="360"/>
      <c r="C18" s="360"/>
      <c r="D18" s="360"/>
      <c r="E18" s="360"/>
      <c r="F18" s="360"/>
      <c r="G18" s="360"/>
      <c r="H18" s="360">
        <f t="shared" si="6"/>
        <v>48765</v>
      </c>
      <c r="I18" s="360"/>
      <c r="J18" s="360"/>
      <c r="K18" s="360">
        <f t="shared" si="3"/>
        <v>714662.223</v>
      </c>
      <c r="L18" s="360"/>
      <c r="M18" s="360"/>
    </row>
    <row r="19" spans="1:13" s="977" customFormat="1" ht="36" customHeight="1">
      <c r="A19" s="365">
        <v>42979</v>
      </c>
      <c r="B19" s="360">
        <v>861</v>
      </c>
      <c r="C19" s="405">
        <v>243825</v>
      </c>
      <c r="D19" s="360">
        <v>11999</v>
      </c>
      <c r="E19" s="360">
        <v>3509092.47</v>
      </c>
      <c r="F19" s="360"/>
      <c r="G19" s="360">
        <v>399674.24700000003</v>
      </c>
      <c r="H19" s="360">
        <v>91363.453999999998</v>
      </c>
      <c r="I19" s="360">
        <v>300000</v>
      </c>
      <c r="J19" s="360">
        <v>2443521</v>
      </c>
      <c r="K19" s="360">
        <v>472542.723</v>
      </c>
      <c r="L19" s="360">
        <v>1065571.4700000002</v>
      </c>
      <c r="M19" s="360" t="s">
        <v>2751</v>
      </c>
    </row>
    <row r="20" spans="1:13" s="977" customFormat="1" ht="36" customHeight="1">
      <c r="A20" s="1002"/>
      <c r="B20" s="360"/>
      <c r="C20" s="360"/>
      <c r="D20" s="360"/>
      <c r="E20" s="360"/>
      <c r="F20" s="360"/>
      <c r="G20" s="360"/>
      <c r="H20" s="360"/>
      <c r="I20" s="360"/>
      <c r="J20" s="360"/>
      <c r="K20" s="360"/>
      <c r="L20" s="360"/>
      <c r="M20" s="360"/>
    </row>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legacyDrawing r:id="rId1"/>
</worksheet>
</file>

<file path=xl/worksheets/sheet1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6"/>
  <sheetViews>
    <sheetView topLeftCell="A10" zoomScaleSheetLayoutView="100" workbookViewId="0"/>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t="s">
        <v>2753</v>
      </c>
      <c r="C1" s="1903" t="s">
        <v>2754</v>
      </c>
      <c r="D1" s="1903"/>
      <c r="E1" s="995" t="s">
        <v>236</v>
      </c>
      <c r="F1" s="291"/>
      <c r="G1" s="59" t="s">
        <v>351</v>
      </c>
      <c r="H1" s="59"/>
      <c r="I1" s="1638" t="s">
        <v>237</v>
      </c>
      <c r="J1" s="2007" t="s">
        <v>2755</v>
      </c>
      <c r="K1" s="2007"/>
      <c r="L1" s="2007"/>
      <c r="M1" s="2006" t="s">
        <v>2505</v>
      </c>
    </row>
    <row r="2" spans="1:13" s="994" customFormat="1" ht="90" customHeight="1">
      <c r="A2" s="41" t="s">
        <v>240</v>
      </c>
      <c r="B2" s="1637" t="s">
        <v>2756</v>
      </c>
      <c r="C2" s="1637"/>
      <c r="D2" s="41" t="s">
        <v>242</v>
      </c>
      <c r="E2" s="1638" t="s">
        <v>553</v>
      </c>
      <c r="F2" s="1638"/>
      <c r="G2" s="41" t="s">
        <v>243</v>
      </c>
      <c r="H2" s="997">
        <v>0.03</v>
      </c>
      <c r="I2" s="1638"/>
      <c r="J2" s="2007"/>
      <c r="K2" s="2007"/>
      <c r="L2" s="2007"/>
      <c r="M2" s="2006"/>
    </row>
    <row r="3" spans="1:13" s="994" customFormat="1" ht="69" customHeight="1">
      <c r="A3" s="41" t="s">
        <v>247</v>
      </c>
      <c r="B3" s="1637" t="s">
        <v>2757</v>
      </c>
      <c r="C3" s="1637"/>
      <c r="D3" s="41" t="s">
        <v>249</v>
      </c>
      <c r="E3" s="186">
        <v>2500</v>
      </c>
      <c r="F3" s="41" t="s">
        <v>251</v>
      </c>
      <c r="G3" s="41"/>
      <c r="H3" s="40"/>
      <c r="I3" s="40" t="s">
        <v>425</v>
      </c>
      <c r="J3" s="1676" t="s">
        <v>2510</v>
      </c>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t="s">
        <v>2507</v>
      </c>
    </row>
    <row r="5" spans="1:13" s="994" customFormat="1" ht="50.1" customHeight="1">
      <c r="A5" s="41" t="s">
        <v>260</v>
      </c>
      <c r="B5" s="2001" t="s">
        <v>2512</v>
      </c>
      <c r="C5" s="2001"/>
      <c r="D5" s="2001"/>
      <c r="E5" s="2001"/>
      <c r="F5" s="1665" t="s">
        <v>2513</v>
      </c>
      <c r="G5" s="1665"/>
      <c r="H5" s="1665"/>
      <c r="I5" s="1665"/>
      <c r="J5" s="1665"/>
      <c r="K5" s="1665"/>
      <c r="L5" s="41" t="s">
        <v>245</v>
      </c>
      <c r="M5" s="41" t="s">
        <v>2511</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42614</v>
      </c>
      <c r="B7" s="360">
        <v>240</v>
      </c>
      <c r="C7" s="360">
        <v>67980</v>
      </c>
      <c r="D7" s="360">
        <f>B7</f>
        <v>240</v>
      </c>
      <c r="E7" s="360">
        <f>C7</f>
        <v>67980</v>
      </c>
      <c r="F7" s="360"/>
      <c r="G7" s="360">
        <f>E7</f>
        <v>67980</v>
      </c>
      <c r="H7" s="360"/>
      <c r="I7" s="360"/>
      <c r="J7" s="360"/>
      <c r="K7" s="360"/>
      <c r="L7" s="360">
        <f t="shared" ref="L7:L13" si="0">E7-J7</f>
        <v>67980</v>
      </c>
      <c r="M7" s="360"/>
    </row>
    <row r="8" spans="1:13" s="977" customFormat="1" ht="36" customHeight="1">
      <c r="A8" s="365">
        <v>42705</v>
      </c>
      <c r="B8" s="360">
        <v>94</v>
      </c>
      <c r="C8" s="360">
        <v>27730</v>
      </c>
      <c r="D8" s="360">
        <f t="shared" ref="D8:D13" si="1">D7+B8</f>
        <v>334</v>
      </c>
      <c r="E8" s="360">
        <f t="shared" ref="E8:E13" si="2">E7+C8</f>
        <v>95710</v>
      </c>
      <c r="F8" s="360"/>
      <c r="G8" s="360">
        <f t="shared" ref="G8:G13" si="3">C8+C7*0.2</f>
        <v>41326</v>
      </c>
      <c r="H8" s="360"/>
      <c r="I8" s="360"/>
      <c r="J8" s="360"/>
      <c r="K8" s="360">
        <f t="shared" ref="K8:K14" si="4">K7+H8-I8</f>
        <v>0</v>
      </c>
      <c r="L8" s="360">
        <f t="shared" si="0"/>
        <v>95710</v>
      </c>
      <c r="M8" s="360"/>
    </row>
    <row r="9" spans="1:13" s="977" customFormat="1" ht="36" customHeight="1">
      <c r="A9" s="365">
        <v>42767</v>
      </c>
      <c r="B9" s="360">
        <v>348</v>
      </c>
      <c r="C9" s="360">
        <v>107360</v>
      </c>
      <c r="D9" s="360">
        <f t="shared" si="1"/>
        <v>682</v>
      </c>
      <c r="E9" s="360">
        <f t="shared" si="2"/>
        <v>203070</v>
      </c>
      <c r="F9" s="360"/>
      <c r="G9" s="360">
        <f t="shared" si="3"/>
        <v>112906</v>
      </c>
      <c r="H9" s="360">
        <f>C7*0.8</f>
        <v>54384</v>
      </c>
      <c r="I9" s="360"/>
      <c r="J9" s="360">
        <f>I9+J8</f>
        <v>0</v>
      </c>
      <c r="K9" s="360">
        <f t="shared" si="4"/>
        <v>54384</v>
      </c>
      <c r="L9" s="360">
        <f t="shared" si="0"/>
        <v>203070</v>
      </c>
      <c r="M9" s="360"/>
    </row>
    <row r="10" spans="1:13" s="977" customFormat="1" ht="36" customHeight="1">
      <c r="A10" s="365">
        <v>42795</v>
      </c>
      <c r="B10" s="360">
        <v>231.5</v>
      </c>
      <c r="C10" s="360">
        <v>68240</v>
      </c>
      <c r="D10" s="360">
        <f t="shared" si="1"/>
        <v>913.5</v>
      </c>
      <c r="E10" s="360">
        <f t="shared" si="2"/>
        <v>271310</v>
      </c>
      <c r="F10" s="360"/>
      <c r="G10" s="360">
        <f t="shared" si="3"/>
        <v>89712</v>
      </c>
      <c r="H10" s="360">
        <f>C8*0.8+E7*0.2</f>
        <v>35780</v>
      </c>
      <c r="I10" s="360"/>
      <c r="J10" s="360"/>
      <c r="K10" s="360">
        <f t="shared" si="4"/>
        <v>90164</v>
      </c>
      <c r="L10" s="360">
        <f t="shared" si="0"/>
        <v>271310</v>
      </c>
      <c r="M10" s="360"/>
    </row>
    <row r="11" spans="1:13" s="977" customFormat="1" ht="36" customHeight="1">
      <c r="A11" s="365">
        <v>42826</v>
      </c>
      <c r="B11" s="360">
        <f>218+235.5</f>
        <v>453.5</v>
      </c>
      <c r="C11" s="360">
        <f>61230+62868.69</f>
        <v>124098.69</v>
      </c>
      <c r="D11" s="360">
        <f t="shared" si="1"/>
        <v>1367</v>
      </c>
      <c r="E11" s="360">
        <f t="shared" si="2"/>
        <v>395408.69</v>
      </c>
      <c r="F11" s="360"/>
      <c r="G11" s="360">
        <f t="shared" si="3"/>
        <v>137746.69</v>
      </c>
      <c r="H11" s="360">
        <f>C9*0.8+C8*0.2</f>
        <v>91434</v>
      </c>
      <c r="I11" s="360"/>
      <c r="J11" s="360"/>
      <c r="K11" s="360">
        <f t="shared" si="4"/>
        <v>181598</v>
      </c>
      <c r="L11" s="360">
        <f t="shared" si="0"/>
        <v>395408.69</v>
      </c>
      <c r="M11" s="360"/>
    </row>
    <row r="12" spans="1:13" s="977" customFormat="1" ht="36" customHeight="1">
      <c r="A12" s="365">
        <v>42856</v>
      </c>
      <c r="B12" s="360">
        <v>0</v>
      </c>
      <c r="C12" s="360">
        <v>0</v>
      </c>
      <c r="D12" s="360">
        <f t="shared" si="1"/>
        <v>1367</v>
      </c>
      <c r="E12" s="360">
        <f t="shared" si="2"/>
        <v>395408.69</v>
      </c>
      <c r="F12" s="360"/>
      <c r="G12" s="360">
        <f t="shared" si="3"/>
        <v>24819.738000000001</v>
      </c>
      <c r="H12" s="360">
        <f>C10*0.8+C9*0.2</f>
        <v>76064</v>
      </c>
      <c r="I12" s="360"/>
      <c r="J12" s="360"/>
      <c r="K12" s="360">
        <f t="shared" si="4"/>
        <v>257662</v>
      </c>
      <c r="L12" s="360">
        <f t="shared" si="0"/>
        <v>395408.69</v>
      </c>
      <c r="M12" s="360"/>
    </row>
    <row r="13" spans="1:13" s="977" customFormat="1" ht="36" customHeight="1">
      <c r="A13" s="365">
        <v>42887</v>
      </c>
      <c r="B13" s="360">
        <v>0</v>
      </c>
      <c r="C13" s="360">
        <v>0</v>
      </c>
      <c r="D13" s="360">
        <f t="shared" si="1"/>
        <v>1367</v>
      </c>
      <c r="E13" s="360">
        <f t="shared" si="2"/>
        <v>395408.69</v>
      </c>
      <c r="F13" s="360"/>
      <c r="G13" s="360">
        <f t="shared" si="3"/>
        <v>0</v>
      </c>
      <c r="H13" s="360">
        <f>C11*0.8+C10*0.2</f>
        <v>112926.952</v>
      </c>
      <c r="I13" s="360"/>
      <c r="J13" s="360"/>
      <c r="K13" s="360">
        <f t="shared" si="4"/>
        <v>370588.95199999999</v>
      </c>
      <c r="L13" s="360">
        <f t="shared" si="0"/>
        <v>395408.69</v>
      </c>
      <c r="M13" s="360"/>
    </row>
    <row r="14" spans="1:13" s="977" customFormat="1" ht="36" customHeight="1">
      <c r="A14" s="365"/>
      <c r="B14" s="360"/>
      <c r="C14" s="360"/>
      <c r="D14" s="360"/>
      <c r="E14" s="360"/>
      <c r="F14" s="360"/>
      <c r="G14" s="360"/>
      <c r="H14" s="360">
        <f>C12*0.8+C11*0.2</f>
        <v>24819.738000000001</v>
      </c>
      <c r="I14" s="360"/>
      <c r="J14" s="360"/>
      <c r="K14" s="360">
        <f t="shared" si="4"/>
        <v>395408.69</v>
      </c>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legacyDrawing r:id="rId1"/>
</worksheet>
</file>

<file path=xl/worksheets/sheet1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topLeftCell="A10" zoomScaleSheetLayoutView="100" workbookViewId="0">
      <selection activeCell="B15" sqref="B15:M15"/>
    </sheetView>
  </sheetViews>
  <sheetFormatPr defaultColWidth="9" defaultRowHeight="14.25"/>
  <cols>
    <col min="1" max="1" width="17.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3.625" customWidth="1"/>
    <col min="13" max="13" width="47.875" customWidth="1"/>
  </cols>
  <sheetData>
    <row r="1" spans="1:13" s="994" customFormat="1" ht="45" customHeight="1">
      <c r="A1" s="995" t="s">
        <v>348</v>
      </c>
      <c r="B1" s="996" t="s">
        <v>2758</v>
      </c>
      <c r="C1" s="1903" t="s">
        <v>2759</v>
      </c>
      <c r="D1" s="1903"/>
      <c r="E1" s="995" t="s">
        <v>236</v>
      </c>
      <c r="F1" s="291"/>
      <c r="G1" s="59" t="s">
        <v>351</v>
      </c>
      <c r="H1" s="1006" t="s">
        <v>2760</v>
      </c>
      <c r="I1" s="1638" t="s">
        <v>237</v>
      </c>
      <c r="J1" s="2007" t="s">
        <v>2761</v>
      </c>
      <c r="K1" s="2007"/>
      <c r="L1" s="2007"/>
      <c r="M1" s="2006" t="s">
        <v>2762</v>
      </c>
    </row>
    <row r="2" spans="1:13" s="994" customFormat="1" ht="90" customHeight="1">
      <c r="A2" s="41" t="s">
        <v>240</v>
      </c>
      <c r="B2" s="1637" t="s">
        <v>2763</v>
      </c>
      <c r="C2" s="1637"/>
      <c r="D2" s="41" t="s">
        <v>242</v>
      </c>
      <c r="E2" s="1638"/>
      <c r="F2" s="1638"/>
      <c r="G2" s="41" t="s">
        <v>243</v>
      </c>
      <c r="H2" s="997">
        <v>0.03</v>
      </c>
      <c r="I2" s="1638"/>
      <c r="J2" s="2007"/>
      <c r="K2" s="2007"/>
      <c r="L2" s="2007"/>
      <c r="M2" s="2006"/>
    </row>
    <row r="3" spans="1:13" s="994" customFormat="1" ht="86.1" customHeight="1">
      <c r="A3" s="41" t="s">
        <v>247</v>
      </c>
      <c r="B3" s="1637" t="s">
        <v>2764</v>
      </c>
      <c r="C3" s="1637"/>
      <c r="D3" s="41" t="s">
        <v>249</v>
      </c>
      <c r="E3" s="186" t="s">
        <v>2765</v>
      </c>
      <c r="F3" s="41" t="s">
        <v>251</v>
      </c>
      <c r="G3" s="41"/>
      <c r="H3" s="40"/>
      <c r="I3" s="40" t="s">
        <v>425</v>
      </c>
      <c r="J3" s="2008" t="s">
        <v>2766</v>
      </c>
      <c r="K3" s="2009"/>
      <c r="L3" s="2009"/>
      <c r="M3" s="2010"/>
    </row>
    <row r="4" spans="1:13" s="994" customFormat="1" ht="55.5" customHeight="1">
      <c r="A4" s="41" t="s">
        <v>257</v>
      </c>
      <c r="B4" s="1637"/>
      <c r="C4" s="1637"/>
      <c r="D4" s="1637"/>
      <c r="E4" s="43" t="s">
        <v>258</v>
      </c>
      <c r="F4" s="2019"/>
      <c r="G4" s="2019"/>
      <c r="H4" s="2019"/>
      <c r="I4" s="90"/>
      <c r="J4" s="1004" t="s">
        <v>253</v>
      </c>
      <c r="K4" s="40" t="s">
        <v>2767</v>
      </c>
      <c r="L4" s="15" t="s">
        <v>255</v>
      </c>
      <c r="M4" s="271" t="s">
        <v>2768</v>
      </c>
    </row>
    <row r="5" spans="1:13" s="994" customFormat="1" ht="60" customHeight="1">
      <c r="A5" s="41" t="s">
        <v>260</v>
      </c>
      <c r="B5" s="1665" t="s">
        <v>2769</v>
      </c>
      <c r="C5" s="1665"/>
      <c r="D5" s="1665"/>
      <c r="E5" s="1665"/>
      <c r="F5" s="1665"/>
      <c r="G5" s="1665"/>
      <c r="H5" s="1665"/>
      <c r="I5" s="1665"/>
      <c r="J5" s="1665"/>
      <c r="K5" s="1665"/>
      <c r="L5" s="41" t="s">
        <v>245</v>
      </c>
      <c r="M5" s="41" t="s">
        <v>2770</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t="s">
        <v>2771</v>
      </c>
      <c r="B7" s="360">
        <v>642.5</v>
      </c>
      <c r="C7" s="360">
        <v>144798.79</v>
      </c>
      <c r="D7" s="360">
        <f>B7</f>
        <v>642.5</v>
      </c>
      <c r="E7" s="360">
        <f>C7</f>
        <v>144798.79</v>
      </c>
      <c r="F7" s="360"/>
      <c r="G7" s="360">
        <f>E7</f>
        <v>144798.79</v>
      </c>
      <c r="H7" s="360"/>
      <c r="I7" s="360"/>
      <c r="J7" s="360"/>
      <c r="K7" s="360"/>
      <c r="L7" s="360">
        <f t="shared" ref="L7:L12" si="0">E7-J7</f>
        <v>144798.79</v>
      </c>
      <c r="M7" s="360"/>
    </row>
    <row r="8" spans="1:13" s="977" customFormat="1" ht="36" customHeight="1">
      <c r="A8" s="405" t="s">
        <v>433</v>
      </c>
      <c r="B8" s="360"/>
      <c r="C8" s="360">
        <v>15640</v>
      </c>
      <c r="D8" s="360">
        <f t="shared" ref="D8:D13" si="1">D7+B8</f>
        <v>642.5</v>
      </c>
      <c r="E8" s="360">
        <f t="shared" ref="E8:E13" si="2">E7+C8</f>
        <v>160438.79</v>
      </c>
      <c r="F8" s="360"/>
      <c r="G8" s="360">
        <f>C8+C7*0.3</f>
        <v>59079.637000000002</v>
      </c>
      <c r="H8" s="360"/>
      <c r="I8" s="360"/>
      <c r="J8" s="360"/>
      <c r="K8" s="294">
        <f t="shared" ref="K8:K13" si="3">K7+H8-I8</f>
        <v>0</v>
      </c>
      <c r="L8" s="360">
        <f t="shared" si="0"/>
        <v>160438.79</v>
      </c>
      <c r="M8" s="360"/>
    </row>
    <row r="9" spans="1:13" s="977" customFormat="1" ht="36" customHeight="1">
      <c r="A9" s="405" t="s">
        <v>2555</v>
      </c>
      <c r="B9" s="360">
        <v>1642.5</v>
      </c>
      <c r="C9" s="360">
        <v>444236</v>
      </c>
      <c r="D9" s="360">
        <f t="shared" si="1"/>
        <v>2285</v>
      </c>
      <c r="E9" s="360">
        <f t="shared" si="2"/>
        <v>604674.79</v>
      </c>
      <c r="F9" s="360"/>
      <c r="G9" s="360">
        <f>E8*0.3+C9</f>
        <v>492367.63699999999</v>
      </c>
      <c r="H9" s="360">
        <f>C7*0.7</f>
        <v>101359.15300000001</v>
      </c>
      <c r="I9" s="360"/>
      <c r="J9" s="360"/>
      <c r="K9" s="294">
        <f t="shared" si="3"/>
        <v>101359.15300000001</v>
      </c>
      <c r="L9" s="360">
        <f t="shared" si="0"/>
        <v>604674.79</v>
      </c>
      <c r="M9" s="360"/>
    </row>
    <row r="10" spans="1:13" s="977" customFormat="1" ht="36" customHeight="1">
      <c r="A10" s="405" t="s">
        <v>2772</v>
      </c>
      <c r="B10" s="360">
        <v>9537.5</v>
      </c>
      <c r="C10" s="360">
        <v>2700677.5</v>
      </c>
      <c r="D10" s="360">
        <f t="shared" si="1"/>
        <v>11822.5</v>
      </c>
      <c r="E10" s="360">
        <f t="shared" si="2"/>
        <v>3305352.29</v>
      </c>
      <c r="F10" s="360"/>
      <c r="G10" s="360">
        <f>E9*0.3+C10</f>
        <v>2882079.9369999999</v>
      </c>
      <c r="H10" s="360">
        <f>C8</f>
        <v>15640</v>
      </c>
      <c r="I10" s="360"/>
      <c r="J10" s="360"/>
      <c r="K10" s="294">
        <f t="shared" si="3"/>
        <v>116999.15300000001</v>
      </c>
      <c r="L10" s="360">
        <f t="shared" si="0"/>
        <v>3305352.29</v>
      </c>
      <c r="M10" s="360"/>
    </row>
    <row r="11" spans="1:13" s="977" customFormat="1" ht="36" customHeight="1">
      <c r="A11" s="405" t="s">
        <v>2773</v>
      </c>
      <c r="B11" s="360">
        <v>1671</v>
      </c>
      <c r="C11" s="360">
        <v>495515</v>
      </c>
      <c r="D11" s="360">
        <f t="shared" si="1"/>
        <v>13493.5</v>
      </c>
      <c r="E11" s="360">
        <f t="shared" si="2"/>
        <v>3800867.29</v>
      </c>
      <c r="F11" s="360"/>
      <c r="G11" s="360">
        <f>E10*0.3+C11</f>
        <v>1487120.6869999999</v>
      </c>
      <c r="H11" s="360">
        <f>C9*0.7</f>
        <v>310965.19999999995</v>
      </c>
      <c r="I11" s="360">
        <v>115347.95</v>
      </c>
      <c r="J11" s="360">
        <f>I11</f>
        <v>115347.95</v>
      </c>
      <c r="K11" s="294">
        <f t="shared" si="3"/>
        <v>312616.40299999993</v>
      </c>
      <c r="L11" s="360">
        <f t="shared" si="0"/>
        <v>3685519.34</v>
      </c>
      <c r="M11" s="360" t="s">
        <v>2774</v>
      </c>
    </row>
    <row r="12" spans="1:13" s="977" customFormat="1" ht="36" customHeight="1">
      <c r="A12" s="405" t="s">
        <v>2775</v>
      </c>
      <c r="B12" s="360">
        <v>339</v>
      </c>
      <c r="C12" s="360">
        <v>97617</v>
      </c>
      <c r="D12" s="360">
        <f t="shared" si="1"/>
        <v>13832.5</v>
      </c>
      <c r="E12" s="360">
        <f t="shared" si="2"/>
        <v>3898484.29</v>
      </c>
      <c r="F12" s="360"/>
      <c r="G12" s="360">
        <f>E11*0.3+C12</f>
        <v>1237877.1869999999</v>
      </c>
      <c r="H12" s="360">
        <f>C10*0.7</f>
        <v>1890474.2499999998</v>
      </c>
      <c r="I12" s="360">
        <f>2201431.39+346859.66</f>
        <v>2548291.0500000003</v>
      </c>
      <c r="J12" s="360">
        <f>I12+J11</f>
        <v>2663639.0000000005</v>
      </c>
      <c r="K12" s="294">
        <f t="shared" si="3"/>
        <v>-345200.39700000035</v>
      </c>
      <c r="L12" s="360">
        <f t="shared" si="0"/>
        <v>1234845.2899999996</v>
      </c>
      <c r="M12" s="360"/>
    </row>
    <row r="13" spans="1:13" s="977" customFormat="1" ht="36" customHeight="1">
      <c r="A13" s="405" t="s">
        <v>2776</v>
      </c>
      <c r="B13" s="360">
        <v>56</v>
      </c>
      <c r="C13" s="360">
        <f>20608+267690</f>
        <v>288298</v>
      </c>
      <c r="D13" s="360">
        <f t="shared" si="1"/>
        <v>13888.5</v>
      </c>
      <c r="E13" s="360">
        <f t="shared" si="2"/>
        <v>4186782.29</v>
      </c>
      <c r="F13" s="360"/>
      <c r="G13" s="360"/>
      <c r="H13" s="360">
        <f>C11*0.7</f>
        <v>346860.5</v>
      </c>
      <c r="I13" s="360"/>
      <c r="J13" s="360"/>
      <c r="K13" s="294">
        <f t="shared" si="3"/>
        <v>1660.1029999996535</v>
      </c>
      <c r="L13" s="360"/>
      <c r="M13" s="360" t="s">
        <v>2777</v>
      </c>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620">
        <v>42979</v>
      </c>
      <c r="B15" s="360">
        <v>56</v>
      </c>
      <c r="C15" s="360">
        <v>288298</v>
      </c>
      <c r="D15" s="360">
        <v>13888.5</v>
      </c>
      <c r="E15" s="360">
        <v>4186782.29</v>
      </c>
      <c r="F15" s="360"/>
      <c r="G15" s="360"/>
      <c r="H15" s="360">
        <v>346860.5</v>
      </c>
      <c r="I15" s="360"/>
      <c r="J15" s="360"/>
      <c r="K15" s="360">
        <v>1660.1029999996535</v>
      </c>
      <c r="L15" s="360"/>
      <c r="M15" s="360" t="s">
        <v>2777</v>
      </c>
    </row>
    <row r="16" spans="1:13" ht="36" customHeight="1"/>
    <row r="22" spans="3:3">
      <c r="C22">
        <v>4621250.5999999996</v>
      </c>
    </row>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legacyDrawing r:id="rId1"/>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F13" sqref="F13"/>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548</v>
      </c>
      <c r="D1" s="1903"/>
      <c r="E1" s="995" t="s">
        <v>236</v>
      </c>
      <c r="F1" s="291"/>
      <c r="G1" s="59" t="s">
        <v>351</v>
      </c>
      <c r="H1" s="59"/>
      <c r="I1" s="1638" t="s">
        <v>237</v>
      </c>
      <c r="J1" s="2007"/>
      <c r="K1" s="2007"/>
      <c r="L1" s="2007"/>
      <c r="M1" s="2006"/>
    </row>
    <row r="2" spans="1:13" s="994" customFormat="1" ht="68.099999999999994" customHeight="1">
      <c r="A2" s="41" t="s">
        <v>240</v>
      </c>
      <c r="B2" s="1637" t="s">
        <v>2778</v>
      </c>
      <c r="C2" s="1637"/>
      <c r="D2" s="41" t="s">
        <v>242</v>
      </c>
      <c r="E2" s="1638"/>
      <c r="F2" s="1638"/>
      <c r="G2" s="41" t="s">
        <v>243</v>
      </c>
      <c r="H2" s="997"/>
      <c r="I2" s="1638"/>
      <c r="J2" s="2007"/>
      <c r="K2" s="2007"/>
      <c r="L2" s="2007"/>
      <c r="M2" s="2006"/>
    </row>
    <row r="3" spans="1:13" s="994" customFormat="1" ht="68.099999999999994" customHeight="1">
      <c r="A3" s="41" t="s">
        <v>247</v>
      </c>
      <c r="B3" s="1637" t="s">
        <v>99</v>
      </c>
      <c r="C3" s="1637"/>
      <c r="D3" s="41" t="s">
        <v>249</v>
      </c>
      <c r="E3" s="186"/>
      <c r="F3" s="41" t="s">
        <v>251</v>
      </c>
      <c r="G3" s="41"/>
      <c r="H3" s="40"/>
      <c r="I3" s="40" t="s">
        <v>425</v>
      </c>
      <c r="J3" s="1676"/>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row>
    <row r="5" spans="1:13" s="994" customFormat="1" ht="50.1" customHeight="1">
      <c r="A5" s="41" t="s">
        <v>260</v>
      </c>
      <c r="B5" s="2001"/>
      <c r="C5" s="2001"/>
      <c r="D5" s="2001"/>
      <c r="E5" s="2001"/>
      <c r="F5" s="1665"/>
      <c r="G5" s="1665"/>
      <c r="H5" s="1665"/>
      <c r="I5" s="1665"/>
      <c r="J5" s="1665"/>
      <c r="K5" s="1665"/>
      <c r="L5" s="41" t="s">
        <v>245</v>
      </c>
      <c r="M5" s="41" t="s">
        <v>2779</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42826</v>
      </c>
      <c r="B7" s="360">
        <v>54</v>
      </c>
      <c r="C7" s="360">
        <v>15290</v>
      </c>
      <c r="D7" s="360">
        <f>B7</f>
        <v>54</v>
      </c>
      <c r="E7" s="360">
        <f>C7</f>
        <v>15290</v>
      </c>
      <c r="F7" s="360"/>
      <c r="G7" s="360"/>
      <c r="H7" s="360"/>
      <c r="I7" s="360"/>
      <c r="J7" s="360"/>
      <c r="K7" s="360"/>
      <c r="L7" s="360">
        <f>E7-J7</f>
        <v>15290</v>
      </c>
      <c r="M7" s="360"/>
    </row>
    <row r="8" spans="1:13" s="977" customFormat="1" ht="36" customHeight="1">
      <c r="A8" s="365"/>
      <c r="B8" s="360"/>
      <c r="C8" s="360"/>
      <c r="D8" s="360"/>
      <c r="E8" s="360"/>
      <c r="F8" s="360"/>
      <c r="G8" s="360"/>
      <c r="H8" s="360"/>
      <c r="I8" s="360"/>
      <c r="J8" s="360"/>
      <c r="K8" s="360">
        <f>K7+H8-I8</f>
        <v>0</v>
      </c>
      <c r="L8" s="360">
        <f>E8-J8</f>
        <v>0</v>
      </c>
      <c r="M8" s="360"/>
    </row>
    <row r="9" spans="1:13" s="977" customFormat="1" ht="36" customHeight="1">
      <c r="A9" s="365"/>
      <c r="B9" s="360"/>
      <c r="C9" s="360"/>
      <c r="D9" s="360"/>
      <c r="E9" s="360"/>
      <c r="F9" s="360"/>
      <c r="G9" s="360"/>
      <c r="H9" s="360"/>
      <c r="I9" s="360"/>
      <c r="J9" s="360"/>
      <c r="K9" s="360">
        <f>K8+H9-I9</f>
        <v>0</v>
      </c>
      <c r="L9" s="360">
        <f>E9-J9</f>
        <v>0</v>
      </c>
      <c r="M9" s="360"/>
    </row>
    <row r="10" spans="1:13" s="977" customFormat="1" ht="36" customHeight="1">
      <c r="A10" s="365"/>
      <c r="B10" s="360"/>
      <c r="C10" s="360"/>
      <c r="D10" s="360"/>
      <c r="E10" s="360"/>
      <c r="F10" s="360"/>
      <c r="G10" s="360"/>
      <c r="H10" s="360"/>
      <c r="I10" s="360"/>
      <c r="J10" s="360"/>
      <c r="K10" s="360">
        <f>K9+H10-I10</f>
        <v>0</v>
      </c>
      <c r="L10" s="360">
        <f>E10-J10</f>
        <v>0</v>
      </c>
      <c r="M10" s="360"/>
    </row>
    <row r="11" spans="1:13" s="977" customFormat="1" ht="36" customHeight="1">
      <c r="A11" s="365"/>
      <c r="B11" s="360"/>
      <c r="C11" s="360"/>
      <c r="D11" s="360"/>
      <c r="E11" s="360"/>
      <c r="F11" s="360"/>
      <c r="G11" s="360"/>
      <c r="H11" s="360"/>
      <c r="I11" s="360"/>
      <c r="J11" s="360"/>
      <c r="K11" s="360"/>
      <c r="L11" s="360">
        <f>E11-J11</f>
        <v>0</v>
      </c>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B4" sqref="B4:D4"/>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2780</v>
      </c>
      <c r="D1" s="1903"/>
      <c r="E1" s="995" t="s">
        <v>236</v>
      </c>
      <c r="F1" s="291"/>
      <c r="G1" s="59" t="s">
        <v>351</v>
      </c>
      <c r="H1" s="59"/>
      <c r="I1" s="1638" t="s">
        <v>237</v>
      </c>
      <c r="J1" s="2007" t="s">
        <v>2781</v>
      </c>
      <c r="K1" s="2007"/>
      <c r="L1" s="2007"/>
      <c r="M1" s="2006" t="s">
        <v>2782</v>
      </c>
    </row>
    <row r="2" spans="1:13" s="994" customFormat="1" ht="68.099999999999994" customHeight="1">
      <c r="A2" s="41" t="s">
        <v>240</v>
      </c>
      <c r="B2" s="1637" t="s">
        <v>2783</v>
      </c>
      <c r="C2" s="1637"/>
      <c r="D2" s="41" t="s">
        <v>242</v>
      </c>
      <c r="E2" s="1638"/>
      <c r="F2" s="1638"/>
      <c r="G2" s="41" t="s">
        <v>243</v>
      </c>
      <c r="H2" s="997"/>
      <c r="I2" s="1638"/>
      <c r="J2" s="2007"/>
      <c r="K2" s="2007"/>
      <c r="L2" s="2007"/>
      <c r="M2" s="2006"/>
    </row>
    <row r="3" spans="1:13" s="994" customFormat="1" ht="68.099999999999994" customHeight="1">
      <c r="A3" s="41" t="s">
        <v>247</v>
      </c>
      <c r="B3" s="1637" t="s">
        <v>2784</v>
      </c>
      <c r="C3" s="1637"/>
      <c r="D3" s="41" t="s">
        <v>249</v>
      </c>
      <c r="E3" s="186" t="s">
        <v>2785</v>
      </c>
      <c r="F3" s="41" t="s">
        <v>251</v>
      </c>
      <c r="G3" s="41"/>
      <c r="H3" s="40"/>
      <c r="I3" s="40" t="s">
        <v>425</v>
      </c>
      <c r="J3" s="1676" t="s">
        <v>2786</v>
      </c>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t="s">
        <v>2787</v>
      </c>
    </row>
    <row r="5" spans="1:13" s="994" customFormat="1" ht="50.1" customHeight="1">
      <c r="A5" s="41" t="s">
        <v>260</v>
      </c>
      <c r="B5" s="2001" t="s">
        <v>2788</v>
      </c>
      <c r="C5" s="2001"/>
      <c r="D5" s="2001"/>
      <c r="E5" s="2001"/>
      <c r="F5" s="1665" t="s">
        <v>2368</v>
      </c>
      <c r="G5" s="1665"/>
      <c r="H5" s="1665"/>
      <c r="I5" s="1665"/>
      <c r="J5" s="1665"/>
      <c r="K5" s="1665"/>
      <c r="L5" s="41" t="s">
        <v>245</v>
      </c>
      <c r="M5" s="41" t="s">
        <v>2789</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t="s">
        <v>2790</v>
      </c>
      <c r="B7" s="360">
        <v>1701</v>
      </c>
      <c r="C7" s="360">
        <v>532620</v>
      </c>
      <c r="D7" s="360">
        <f>B7</f>
        <v>1701</v>
      </c>
      <c r="E7" s="360">
        <f>C7</f>
        <v>532620</v>
      </c>
      <c r="F7" s="360"/>
      <c r="G7" s="360"/>
      <c r="H7" s="360">
        <f>C7</f>
        <v>532620</v>
      </c>
      <c r="I7" s="360">
        <v>150000</v>
      </c>
      <c r="J7" s="360">
        <f>I7</f>
        <v>150000</v>
      </c>
      <c r="K7" s="360">
        <f>H7-I7</f>
        <v>382620</v>
      </c>
      <c r="L7" s="360">
        <f>E7-J7</f>
        <v>382620</v>
      </c>
      <c r="M7" s="360"/>
    </row>
    <row r="8" spans="1:13" s="977" customFormat="1" ht="36" customHeight="1">
      <c r="A8" s="365">
        <v>42917</v>
      </c>
      <c r="B8" s="360">
        <v>0</v>
      </c>
      <c r="C8" s="360">
        <v>0</v>
      </c>
      <c r="D8" s="360">
        <f>D7+B8</f>
        <v>1701</v>
      </c>
      <c r="E8" s="360">
        <f>E7+C8</f>
        <v>532620</v>
      </c>
      <c r="F8" s="360"/>
      <c r="G8" s="360"/>
      <c r="H8" s="360">
        <f>C8</f>
        <v>0</v>
      </c>
      <c r="I8" s="360"/>
      <c r="J8" s="360">
        <f>I8</f>
        <v>0</v>
      </c>
      <c r="K8" s="360">
        <f>K7+H8-I8</f>
        <v>382620</v>
      </c>
      <c r="L8" s="360">
        <f>E8-J8</f>
        <v>532620</v>
      </c>
      <c r="M8" s="360" t="s">
        <v>2791</v>
      </c>
    </row>
    <row r="9" spans="1:13" s="977" customFormat="1" ht="36" customHeight="1">
      <c r="A9" s="365"/>
      <c r="B9" s="360"/>
      <c r="C9" s="360"/>
      <c r="D9" s="360"/>
      <c r="E9" s="360"/>
      <c r="F9" s="360"/>
      <c r="G9" s="360"/>
      <c r="H9" s="360"/>
      <c r="I9" s="360"/>
      <c r="J9" s="360"/>
      <c r="K9" s="360">
        <f>K8+H9-I9</f>
        <v>382620</v>
      </c>
      <c r="L9" s="360"/>
      <c r="M9" s="360"/>
    </row>
    <row r="10" spans="1:13" s="977" customFormat="1" ht="36" customHeight="1">
      <c r="A10" s="365"/>
      <c r="B10" s="360"/>
      <c r="C10" s="360"/>
      <c r="D10" s="360"/>
      <c r="E10" s="360"/>
      <c r="F10" s="360"/>
      <c r="G10" s="360"/>
      <c r="H10" s="360"/>
      <c r="I10" s="360"/>
      <c r="J10" s="360"/>
      <c r="K10" s="360"/>
      <c r="L10" s="360"/>
      <c r="M10" s="360"/>
    </row>
    <row r="11" spans="1:13" s="977" customFormat="1" ht="36" customHeight="1">
      <c r="A11" s="365"/>
      <c r="B11" s="360"/>
      <c r="C11" s="360"/>
      <c r="D11" s="360"/>
      <c r="E11" s="360"/>
      <c r="F11" s="360"/>
      <c r="G11" s="360"/>
      <c r="H11" s="360"/>
      <c r="I11" s="360"/>
      <c r="J11" s="360"/>
      <c r="K11" s="360"/>
      <c r="L11" s="360"/>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J9" sqref="J9"/>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v>42917</v>
      </c>
      <c r="C1" s="1903" t="s">
        <v>2792</v>
      </c>
      <c r="D1" s="1903"/>
      <c r="E1" s="995" t="s">
        <v>236</v>
      </c>
      <c r="F1" s="291"/>
      <c r="G1" s="59" t="s">
        <v>351</v>
      </c>
      <c r="H1" s="59" t="s">
        <v>2793</v>
      </c>
      <c r="I1" s="1638" t="s">
        <v>237</v>
      </c>
      <c r="J1" s="2007" t="s">
        <v>2794</v>
      </c>
      <c r="K1" s="2007"/>
      <c r="L1" s="2007"/>
      <c r="M1" s="2006"/>
    </row>
    <row r="2" spans="1:13" s="994" customFormat="1" ht="68.099999999999994" customHeight="1">
      <c r="A2" s="41" t="s">
        <v>240</v>
      </c>
      <c r="B2" s="1637" t="s">
        <v>2795</v>
      </c>
      <c r="C2" s="1637"/>
      <c r="D2" s="41" t="s">
        <v>242</v>
      </c>
      <c r="E2" s="1638"/>
      <c r="F2" s="1638"/>
      <c r="G2" s="41" t="s">
        <v>243</v>
      </c>
      <c r="H2" s="997" t="s">
        <v>421</v>
      </c>
      <c r="I2" s="1638"/>
      <c r="J2" s="2007"/>
      <c r="K2" s="2007"/>
      <c r="L2" s="2007"/>
      <c r="M2" s="2006"/>
    </row>
    <row r="3" spans="1:13" s="994" customFormat="1" ht="68.099999999999994" customHeight="1">
      <c r="A3" s="41" t="s">
        <v>247</v>
      </c>
      <c r="B3" s="1637" t="s">
        <v>2796</v>
      </c>
      <c r="C3" s="1637"/>
      <c r="D3" s="41" t="s">
        <v>249</v>
      </c>
      <c r="E3" s="186" t="s">
        <v>2797</v>
      </c>
      <c r="F3" s="41" t="s">
        <v>251</v>
      </c>
      <c r="G3" s="41"/>
      <c r="H3" s="40"/>
      <c r="I3" s="40" t="s">
        <v>425</v>
      </c>
      <c r="J3" s="2021" t="s">
        <v>2798</v>
      </c>
      <c r="K3" s="2022"/>
      <c r="L3" s="2022"/>
      <c r="M3" s="2023"/>
    </row>
    <row r="4" spans="1:13" s="994" customFormat="1" ht="55.5" customHeight="1">
      <c r="A4" s="41" t="s">
        <v>257</v>
      </c>
      <c r="B4" s="1637"/>
      <c r="C4" s="1637"/>
      <c r="D4" s="1637"/>
      <c r="E4" s="43" t="s">
        <v>258</v>
      </c>
      <c r="F4" s="2019"/>
      <c r="G4" s="2019"/>
      <c r="H4" s="2019"/>
      <c r="I4" s="90"/>
      <c r="J4" s="1004" t="s">
        <v>253</v>
      </c>
      <c r="K4" s="40" t="s">
        <v>2787</v>
      </c>
      <c r="L4" s="15" t="s">
        <v>255</v>
      </c>
      <c r="M4" s="271" t="s">
        <v>2787</v>
      </c>
    </row>
    <row r="5" spans="1:13" s="994" customFormat="1" ht="72.95" customHeight="1">
      <c r="A5" s="41" t="s">
        <v>260</v>
      </c>
      <c r="B5" s="2001" t="s">
        <v>2799</v>
      </c>
      <c r="C5" s="2001"/>
      <c r="D5" s="2001"/>
      <c r="E5" s="2001"/>
      <c r="F5" s="1820" t="s">
        <v>2800</v>
      </c>
      <c r="G5" s="1821"/>
      <c r="H5" s="1821"/>
      <c r="I5" s="1664" t="s">
        <v>2801</v>
      </c>
      <c r="J5" s="1664"/>
      <c r="K5" s="1664"/>
      <c r="L5" s="41" t="s">
        <v>245</v>
      </c>
      <c r="M5" s="41" t="s">
        <v>2065</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42948</v>
      </c>
      <c r="B7" s="360"/>
      <c r="C7" s="360"/>
      <c r="D7" s="360">
        <f>B7</f>
        <v>0</v>
      </c>
      <c r="E7" s="360">
        <f>C7</f>
        <v>0</v>
      </c>
      <c r="F7" s="360"/>
      <c r="G7" s="360"/>
      <c r="H7" s="360"/>
      <c r="I7" s="360"/>
      <c r="J7" s="360">
        <f>I7</f>
        <v>0</v>
      </c>
      <c r="K7" s="360">
        <f>H7-I7</f>
        <v>0</v>
      </c>
      <c r="L7" s="360">
        <f>E7-J7</f>
        <v>0</v>
      </c>
      <c r="M7" s="360"/>
    </row>
    <row r="8" spans="1:13" s="977" customFormat="1" ht="36" customHeight="1">
      <c r="A8" s="365">
        <v>42979</v>
      </c>
      <c r="B8" s="360"/>
      <c r="C8" s="360"/>
      <c r="D8" s="360"/>
      <c r="E8" s="360"/>
      <c r="F8" s="360"/>
      <c r="G8" s="360"/>
      <c r="H8" s="360">
        <f>C7</f>
        <v>0</v>
      </c>
      <c r="I8" s="360"/>
      <c r="J8" s="360">
        <f>I8</f>
        <v>0</v>
      </c>
      <c r="K8" s="360">
        <f>K7+H8-I8</f>
        <v>0</v>
      </c>
      <c r="L8" s="360">
        <f>E8-J8</f>
        <v>0</v>
      </c>
      <c r="M8" s="360"/>
    </row>
    <row r="9" spans="1:13" s="977" customFormat="1" ht="36" customHeight="1">
      <c r="A9" s="365"/>
      <c r="B9" s="360"/>
      <c r="C9" s="360"/>
      <c r="D9" s="360"/>
      <c r="E9" s="360"/>
      <c r="F9" s="360"/>
      <c r="G9" s="360"/>
      <c r="H9" s="360"/>
      <c r="I9" s="360"/>
      <c r="J9" s="360"/>
      <c r="K9" s="360">
        <f>K8+H9-I9</f>
        <v>0</v>
      </c>
      <c r="L9" s="360"/>
      <c r="M9" s="360"/>
    </row>
    <row r="10" spans="1:13" s="977" customFormat="1" ht="36" customHeight="1">
      <c r="A10" s="365"/>
      <c r="B10" s="360"/>
      <c r="C10" s="360"/>
      <c r="D10" s="360"/>
      <c r="E10" s="360"/>
      <c r="F10" s="360"/>
      <c r="G10" s="360"/>
      <c r="H10" s="360"/>
      <c r="I10" s="360"/>
      <c r="J10" s="360"/>
      <c r="K10" s="360"/>
      <c r="L10" s="360"/>
      <c r="M10" s="360"/>
    </row>
    <row r="11" spans="1:13" s="977" customFormat="1" ht="36" customHeight="1">
      <c r="A11" s="365"/>
      <c r="B11" s="360"/>
      <c r="C11" s="360"/>
      <c r="D11" s="360"/>
      <c r="E11" s="360"/>
      <c r="F11" s="360"/>
      <c r="G11" s="360"/>
      <c r="H11" s="360"/>
      <c r="I11" s="360"/>
      <c r="J11" s="360"/>
      <c r="K11" s="360"/>
      <c r="L11" s="360"/>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3">
    <mergeCell ref="I1:I2"/>
    <mergeCell ref="M1:M2"/>
    <mergeCell ref="J1:L2"/>
    <mergeCell ref="C1:D1"/>
    <mergeCell ref="B2:C2"/>
    <mergeCell ref="E2:F2"/>
    <mergeCell ref="J3:M3"/>
    <mergeCell ref="B4:D4"/>
    <mergeCell ref="F4:H4"/>
    <mergeCell ref="B5:E5"/>
    <mergeCell ref="F5:H5"/>
    <mergeCell ref="I5:K5"/>
    <mergeCell ref="B3:C3"/>
  </mergeCells>
  <phoneticPr fontId="84" type="noConversion"/>
  <pageMargins left="0.75" right="0.75" top="1" bottom="1" header="0.51" footer="0.51"/>
  <pageSetup paperSize="9" orientation="portrait" verticalDpi="200"/>
  <headerFooter scaleWithDoc="0"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H9" sqref="H9"/>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2802</v>
      </c>
      <c r="D1" s="1903"/>
      <c r="E1" s="995" t="s">
        <v>236</v>
      </c>
      <c r="F1" s="291"/>
      <c r="G1" s="59" t="s">
        <v>351</v>
      </c>
      <c r="H1" s="59" t="s">
        <v>2803</v>
      </c>
      <c r="I1" s="1638" t="s">
        <v>237</v>
      </c>
      <c r="J1" s="2007" t="s">
        <v>2804</v>
      </c>
      <c r="K1" s="2007"/>
      <c r="L1" s="2007"/>
      <c r="M1" s="2006" t="s">
        <v>2805</v>
      </c>
    </row>
    <row r="2" spans="1:13" s="994" customFormat="1" ht="68.099999999999994" customHeight="1">
      <c r="A2" s="41" t="s">
        <v>240</v>
      </c>
      <c r="B2" s="1637" t="s">
        <v>2360</v>
      </c>
      <c r="C2" s="1637"/>
      <c r="D2" s="41" t="s">
        <v>242</v>
      </c>
      <c r="E2" s="1638"/>
      <c r="F2" s="1638"/>
      <c r="G2" s="41" t="s">
        <v>243</v>
      </c>
      <c r="H2" s="997" t="s">
        <v>421</v>
      </c>
      <c r="I2" s="1638"/>
      <c r="J2" s="2007"/>
      <c r="K2" s="2007"/>
      <c r="L2" s="2007"/>
      <c r="M2" s="2006"/>
    </row>
    <row r="3" spans="1:13" s="994" customFormat="1" ht="68.099999999999994" customHeight="1">
      <c r="A3" s="41" t="s">
        <v>247</v>
      </c>
      <c r="B3" s="1637" t="s">
        <v>2806</v>
      </c>
      <c r="C3" s="1637"/>
      <c r="D3" s="41" t="s">
        <v>249</v>
      </c>
      <c r="E3" s="186" t="s">
        <v>2807</v>
      </c>
      <c r="F3" s="41" t="s">
        <v>251</v>
      </c>
      <c r="G3" s="41"/>
      <c r="H3" s="40"/>
      <c r="I3" s="40" t="s">
        <v>425</v>
      </c>
      <c r="J3" s="1676" t="s">
        <v>1902</v>
      </c>
      <c r="K3" s="1677"/>
      <c r="L3" s="1677"/>
      <c r="M3" s="1838"/>
    </row>
    <row r="4" spans="1:13" s="994" customFormat="1" ht="55.5" customHeight="1">
      <c r="A4" s="41" t="s">
        <v>257</v>
      </c>
      <c r="B4" s="1637"/>
      <c r="C4" s="1637"/>
      <c r="D4" s="1637"/>
      <c r="E4" s="43" t="s">
        <v>258</v>
      </c>
      <c r="F4" s="2019"/>
      <c r="G4" s="2019"/>
      <c r="H4" s="2019"/>
      <c r="I4" s="90"/>
      <c r="J4" s="1004" t="s">
        <v>253</v>
      </c>
      <c r="K4" s="40" t="s">
        <v>2808</v>
      </c>
      <c r="L4" s="15" t="s">
        <v>255</v>
      </c>
      <c r="M4" s="271" t="s">
        <v>2809</v>
      </c>
    </row>
    <row r="5" spans="1:13" s="994" customFormat="1" ht="50.1" customHeight="1">
      <c r="A5" s="41" t="s">
        <v>260</v>
      </c>
      <c r="B5" s="2001" t="s">
        <v>2810</v>
      </c>
      <c r="C5" s="2001"/>
      <c r="D5" s="2001"/>
      <c r="E5" s="2001"/>
      <c r="F5" s="1665" t="s">
        <v>2368</v>
      </c>
      <c r="G5" s="1665"/>
      <c r="H5" s="1665"/>
      <c r="I5" s="1665"/>
      <c r="J5" s="1665"/>
      <c r="K5" s="1665"/>
      <c r="L5" s="41" t="s">
        <v>245</v>
      </c>
      <c r="M5" s="41" t="s">
        <v>2811</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42948</v>
      </c>
      <c r="B7" s="360"/>
      <c r="C7" s="360"/>
      <c r="D7" s="360">
        <f>B7</f>
        <v>0</v>
      </c>
      <c r="E7" s="360">
        <f>C7</f>
        <v>0</v>
      </c>
      <c r="F7" s="360"/>
      <c r="G7" s="360"/>
      <c r="H7" s="360"/>
      <c r="I7" s="360"/>
      <c r="J7" s="360"/>
      <c r="K7" s="360"/>
      <c r="L7" s="360">
        <f>E7-J7</f>
        <v>0</v>
      </c>
      <c r="M7" s="360"/>
    </row>
    <row r="8" spans="1:13" s="977" customFormat="1" ht="36" customHeight="1">
      <c r="A8" s="365"/>
      <c r="B8" s="360"/>
      <c r="C8" s="360"/>
      <c r="D8" s="360">
        <f t="shared" ref="D8:E11" si="0">D7+B8</f>
        <v>0</v>
      </c>
      <c r="E8" s="360">
        <f t="shared" si="0"/>
        <v>0</v>
      </c>
      <c r="F8" s="360"/>
      <c r="G8" s="360"/>
      <c r="H8" s="360">
        <f>C7</f>
        <v>0</v>
      </c>
      <c r="I8" s="360"/>
      <c r="J8" s="360"/>
      <c r="K8" s="360">
        <f>K7+H8-I8</f>
        <v>0</v>
      </c>
      <c r="L8" s="360">
        <f>E8-J8</f>
        <v>0</v>
      </c>
      <c r="M8" s="360"/>
    </row>
    <row r="9" spans="1:13" s="977" customFormat="1" ht="36" customHeight="1">
      <c r="A9" s="365"/>
      <c r="B9" s="360"/>
      <c r="C9" s="360"/>
      <c r="D9" s="360">
        <f t="shared" si="0"/>
        <v>0</v>
      </c>
      <c r="E9" s="360">
        <f t="shared" si="0"/>
        <v>0</v>
      </c>
      <c r="F9" s="360"/>
      <c r="G9" s="360"/>
      <c r="H9" s="360"/>
      <c r="I9" s="360"/>
      <c r="J9" s="360"/>
      <c r="K9" s="360">
        <f>K8+H9-I9</f>
        <v>0</v>
      </c>
      <c r="L9" s="360">
        <f>E9-J9</f>
        <v>0</v>
      </c>
      <c r="M9" s="360"/>
    </row>
    <row r="10" spans="1:13" s="977" customFormat="1" ht="36" customHeight="1">
      <c r="A10" s="365"/>
      <c r="B10" s="360"/>
      <c r="C10" s="360"/>
      <c r="D10" s="360">
        <f t="shared" si="0"/>
        <v>0</v>
      </c>
      <c r="E10" s="360">
        <f t="shared" si="0"/>
        <v>0</v>
      </c>
      <c r="F10" s="360"/>
      <c r="G10" s="360"/>
      <c r="H10" s="360"/>
      <c r="I10" s="360"/>
      <c r="J10" s="360"/>
      <c r="K10" s="360">
        <f>K9+H10-I10</f>
        <v>0</v>
      </c>
      <c r="L10" s="360">
        <f>E10-J10</f>
        <v>0</v>
      </c>
      <c r="M10" s="360"/>
    </row>
    <row r="11" spans="1:13" s="977" customFormat="1" ht="36" customHeight="1">
      <c r="A11" s="365"/>
      <c r="B11" s="360"/>
      <c r="C11" s="360"/>
      <c r="D11" s="360">
        <f t="shared" si="0"/>
        <v>0</v>
      </c>
      <c r="E11" s="360">
        <f t="shared" si="0"/>
        <v>0</v>
      </c>
      <c r="F11" s="360"/>
      <c r="G11" s="360"/>
      <c r="H11" s="360"/>
      <c r="I11" s="360"/>
      <c r="J11" s="360"/>
      <c r="K11" s="360"/>
      <c r="L11" s="360">
        <f>E11-J11</f>
        <v>0</v>
      </c>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D9" sqref="D9:E9"/>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462</v>
      </c>
      <c r="D1" s="1903"/>
      <c r="E1" s="995" t="s">
        <v>236</v>
      </c>
      <c r="F1" s="291"/>
      <c r="G1" s="59" t="s">
        <v>351</v>
      </c>
      <c r="H1" s="59"/>
      <c r="I1" s="1638" t="s">
        <v>237</v>
      </c>
      <c r="J1" s="2007"/>
      <c r="K1" s="2007"/>
      <c r="L1" s="2007"/>
      <c r="M1" s="2006"/>
    </row>
    <row r="2" spans="1:13" s="994" customFormat="1" ht="68.099999999999994" customHeight="1">
      <c r="A2" s="41" t="s">
        <v>240</v>
      </c>
      <c r="B2" s="1637" t="s">
        <v>2812</v>
      </c>
      <c r="C2" s="1637"/>
      <c r="D2" s="41" t="s">
        <v>242</v>
      </c>
      <c r="E2" s="1638"/>
      <c r="F2" s="1638"/>
      <c r="G2" s="41" t="s">
        <v>243</v>
      </c>
      <c r="H2" s="997"/>
      <c r="I2" s="1638"/>
      <c r="J2" s="2007"/>
      <c r="K2" s="2007"/>
      <c r="L2" s="2007"/>
      <c r="M2" s="2006"/>
    </row>
    <row r="3" spans="1:13" s="994" customFormat="1" ht="68.099999999999994" customHeight="1">
      <c r="A3" s="41" t="s">
        <v>247</v>
      </c>
      <c r="B3" s="1637" t="s">
        <v>2813</v>
      </c>
      <c r="C3" s="1637"/>
      <c r="D3" s="41" t="s">
        <v>249</v>
      </c>
      <c r="E3" s="186"/>
      <c r="F3" s="41" t="s">
        <v>251</v>
      </c>
      <c r="G3" s="41"/>
      <c r="H3" s="40"/>
      <c r="I3" s="40" t="s">
        <v>425</v>
      </c>
      <c r="J3" s="1676"/>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row>
    <row r="5" spans="1:13" s="994" customFormat="1" ht="50.1" customHeight="1">
      <c r="A5" s="41" t="s">
        <v>260</v>
      </c>
      <c r="B5" s="2001"/>
      <c r="C5" s="2001"/>
      <c r="D5" s="2001"/>
      <c r="E5" s="2001"/>
      <c r="F5" s="1665"/>
      <c r="G5" s="1665"/>
      <c r="H5" s="1665"/>
      <c r="I5" s="1665"/>
      <c r="J5" s="1665"/>
      <c r="K5" s="1665"/>
      <c r="L5" s="41" t="s">
        <v>245</v>
      </c>
      <c r="M5" s="41"/>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42887</v>
      </c>
      <c r="B7" s="360">
        <v>229</v>
      </c>
      <c r="C7" s="360">
        <f>B7*280</f>
        <v>64120</v>
      </c>
      <c r="D7" s="360">
        <f>B7</f>
        <v>229</v>
      </c>
      <c r="E7" s="360">
        <f>C7</f>
        <v>64120</v>
      </c>
      <c r="F7" s="360"/>
      <c r="G7" s="360"/>
      <c r="H7" s="360"/>
      <c r="I7" s="360"/>
      <c r="J7" s="360"/>
      <c r="K7" s="360"/>
      <c r="L7" s="360">
        <f>E7-J7</f>
        <v>64120</v>
      </c>
      <c r="M7" s="360"/>
    </row>
    <row r="8" spans="1:13" s="977" customFormat="1" ht="36" customHeight="1">
      <c r="A8" s="365">
        <v>42917</v>
      </c>
      <c r="B8" s="360">
        <v>420.5</v>
      </c>
      <c r="C8" s="360">
        <f>B8*280</f>
        <v>117740</v>
      </c>
      <c r="D8" s="360">
        <f>D7+B8</f>
        <v>649.5</v>
      </c>
      <c r="E8" s="360">
        <f>E7+C8</f>
        <v>181860</v>
      </c>
      <c r="F8" s="360"/>
      <c r="G8" s="360"/>
      <c r="H8" s="360"/>
      <c r="I8" s="360"/>
      <c r="J8" s="360"/>
      <c r="K8" s="360">
        <f>K7+H8-I8</f>
        <v>0</v>
      </c>
      <c r="L8" s="360">
        <f>E8-J8</f>
        <v>181860</v>
      </c>
      <c r="M8" s="360"/>
    </row>
    <row r="9" spans="1:13" s="977" customFormat="1" ht="36" customHeight="1">
      <c r="A9" s="365">
        <v>42948</v>
      </c>
      <c r="B9" s="360">
        <v>32.5</v>
      </c>
      <c r="C9" s="360">
        <f>B9*280</f>
        <v>9100</v>
      </c>
      <c r="D9" s="360">
        <f>D8+B9</f>
        <v>682</v>
      </c>
      <c r="E9" s="360">
        <f>E8+C9</f>
        <v>190960</v>
      </c>
      <c r="F9" s="360"/>
      <c r="G9" s="360"/>
      <c r="H9" s="360"/>
      <c r="I9" s="360"/>
      <c r="J9" s="360"/>
      <c r="K9" s="360">
        <f>K8+H9-I9</f>
        <v>0</v>
      </c>
      <c r="L9" s="360">
        <f>E9-J9</f>
        <v>190960</v>
      </c>
      <c r="M9" s="360"/>
    </row>
    <row r="10" spans="1:13" s="977" customFormat="1" ht="36" customHeight="1">
      <c r="A10" s="365"/>
      <c r="B10" s="360"/>
      <c r="C10" s="360"/>
      <c r="D10" s="360"/>
      <c r="E10" s="360"/>
      <c r="F10" s="360"/>
      <c r="G10" s="360"/>
      <c r="H10" s="360"/>
      <c r="I10" s="360"/>
      <c r="J10" s="360"/>
      <c r="K10" s="360">
        <f>K9+H10-I10</f>
        <v>0</v>
      </c>
      <c r="L10" s="360">
        <f>E10-J10</f>
        <v>0</v>
      </c>
      <c r="M10" s="360"/>
    </row>
    <row r="11" spans="1:13" s="977" customFormat="1" ht="36" customHeight="1">
      <c r="A11" s="365"/>
      <c r="B11" s="360"/>
      <c r="C11" s="360"/>
      <c r="D11" s="360"/>
      <c r="E11" s="360"/>
      <c r="F11" s="360"/>
      <c r="G11" s="360"/>
      <c r="H11" s="360"/>
      <c r="I11" s="360"/>
      <c r="J11" s="360"/>
      <c r="K11" s="360"/>
      <c r="L11" s="360">
        <f>E11-J11</f>
        <v>0</v>
      </c>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A10" sqref="A10"/>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3.375" customWidth="1"/>
    <col min="13" max="13" width="47.875" customWidth="1"/>
  </cols>
  <sheetData>
    <row r="1" spans="1:13" s="994" customFormat="1" ht="45" customHeight="1">
      <c r="A1" s="995" t="s">
        <v>348</v>
      </c>
      <c r="B1" s="996" t="s">
        <v>2814</v>
      </c>
      <c r="C1" s="1903" t="s">
        <v>2815</v>
      </c>
      <c r="D1" s="1903"/>
      <c r="E1" s="995" t="s">
        <v>236</v>
      </c>
      <c r="F1" s="291"/>
      <c r="G1" s="59" t="s">
        <v>351</v>
      </c>
      <c r="H1" s="59"/>
      <c r="I1" s="1638" t="s">
        <v>237</v>
      </c>
      <c r="J1" s="1665" t="s">
        <v>2816</v>
      </c>
      <c r="K1" s="1665"/>
      <c r="L1" s="1665"/>
      <c r="M1" s="2006" t="s">
        <v>2817</v>
      </c>
    </row>
    <row r="2" spans="1:13" s="994" customFormat="1" ht="68.099999999999994" customHeight="1">
      <c r="A2" s="41" t="s">
        <v>240</v>
      </c>
      <c r="B2" s="1637" t="s">
        <v>553</v>
      </c>
      <c r="C2" s="1637"/>
      <c r="D2" s="41" t="s">
        <v>242</v>
      </c>
      <c r="E2" s="1638"/>
      <c r="F2" s="1638"/>
      <c r="G2" s="41" t="s">
        <v>243</v>
      </c>
      <c r="H2" s="1005" t="s">
        <v>2818</v>
      </c>
      <c r="I2" s="1638"/>
      <c r="J2" s="1665"/>
      <c r="K2" s="1665"/>
      <c r="L2" s="1665"/>
      <c r="M2" s="2006"/>
    </row>
    <row r="3" spans="1:13" s="994" customFormat="1" ht="68.099999999999994" customHeight="1">
      <c r="A3" s="41" t="s">
        <v>247</v>
      </c>
      <c r="B3" s="1637" t="s">
        <v>2819</v>
      </c>
      <c r="C3" s="1637"/>
      <c r="D3" s="41" t="s">
        <v>249</v>
      </c>
      <c r="E3" s="186" t="s">
        <v>2820</v>
      </c>
      <c r="F3" s="41" t="s">
        <v>251</v>
      </c>
      <c r="G3" s="40" t="s">
        <v>2821</v>
      </c>
      <c r="H3" s="40"/>
      <c r="I3" s="40" t="s">
        <v>425</v>
      </c>
      <c r="J3" s="1676" t="s">
        <v>1902</v>
      </c>
      <c r="K3" s="1677"/>
      <c r="L3" s="1677"/>
      <c r="M3" s="1838"/>
    </row>
    <row r="4" spans="1:13" s="994" customFormat="1" ht="78" customHeight="1">
      <c r="A4" s="41" t="s">
        <v>257</v>
      </c>
      <c r="B4" s="1665" t="s">
        <v>2822</v>
      </c>
      <c r="C4" s="1665"/>
      <c r="D4" s="1665"/>
      <c r="E4" s="43" t="s">
        <v>258</v>
      </c>
      <c r="F4" s="2019"/>
      <c r="G4" s="2019"/>
      <c r="H4" s="2019"/>
      <c r="I4" s="90"/>
      <c r="J4" s="1004" t="s">
        <v>253</v>
      </c>
      <c r="K4" s="40" t="s">
        <v>2823</v>
      </c>
      <c r="L4" s="15" t="s">
        <v>255</v>
      </c>
      <c r="M4" s="271" t="s">
        <v>2824</v>
      </c>
    </row>
    <row r="5" spans="1:13" s="994" customFormat="1" ht="50.1" customHeight="1">
      <c r="A5" s="41" t="s">
        <v>260</v>
      </c>
      <c r="B5" s="2001"/>
      <c r="C5" s="2001"/>
      <c r="D5" s="2001"/>
      <c r="E5" s="2001"/>
      <c r="F5" s="1665" t="s">
        <v>1793</v>
      </c>
      <c r="G5" s="1665"/>
      <c r="H5" s="1665"/>
      <c r="I5" s="1665"/>
      <c r="J5" s="1665"/>
      <c r="K5" s="1665"/>
      <c r="L5" s="41" t="s">
        <v>245</v>
      </c>
      <c r="M5" s="41" t="s">
        <v>2825</v>
      </c>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42887</v>
      </c>
      <c r="B7" s="360">
        <v>31</v>
      </c>
      <c r="C7" s="360">
        <f>B7*280</f>
        <v>8680</v>
      </c>
      <c r="D7" s="360">
        <f>B7</f>
        <v>31</v>
      </c>
      <c r="E7" s="360">
        <f>C7</f>
        <v>8680</v>
      </c>
      <c r="F7" s="360"/>
      <c r="G7" s="360">
        <f>E7</f>
        <v>8680</v>
      </c>
      <c r="H7" s="360"/>
      <c r="I7" s="360"/>
      <c r="J7" s="360"/>
      <c r="K7" s="360"/>
      <c r="L7" s="360">
        <f>E7-J7</f>
        <v>8680</v>
      </c>
      <c r="M7" s="360"/>
    </row>
    <row r="8" spans="1:13" s="977" customFormat="1" ht="36" customHeight="1">
      <c r="A8" s="365">
        <v>42917</v>
      </c>
      <c r="B8" s="360">
        <v>125.5</v>
      </c>
      <c r="C8" s="360">
        <f>B8*280</f>
        <v>35140</v>
      </c>
      <c r="D8" s="360">
        <f>D7+B8</f>
        <v>156.5</v>
      </c>
      <c r="E8" s="360">
        <f>E7+C8</f>
        <v>43820</v>
      </c>
      <c r="F8" s="360"/>
      <c r="G8" s="360">
        <f>C8</f>
        <v>35140</v>
      </c>
      <c r="H8" s="360"/>
      <c r="I8" s="360"/>
      <c r="J8" s="360"/>
      <c r="K8" s="360"/>
      <c r="L8" s="360">
        <f>E8-J8</f>
        <v>43820</v>
      </c>
      <c r="M8" s="360"/>
    </row>
    <row r="9" spans="1:13" s="977" customFormat="1" ht="36" customHeight="1">
      <c r="A9" s="365">
        <v>42948</v>
      </c>
      <c r="B9" s="360">
        <v>2189</v>
      </c>
      <c r="C9" s="360">
        <v>618565</v>
      </c>
      <c r="D9" s="360">
        <f>D8+B9</f>
        <v>2345.5</v>
      </c>
      <c r="E9" s="360">
        <f>E8+C9</f>
        <v>662385</v>
      </c>
      <c r="F9" s="360"/>
      <c r="G9" s="360">
        <f>C9</f>
        <v>618565</v>
      </c>
      <c r="H9" s="360">
        <f>C7</f>
        <v>8680</v>
      </c>
      <c r="I9" s="360"/>
      <c r="J9" s="360"/>
      <c r="K9" s="360">
        <f>K8+H9-I9</f>
        <v>8680</v>
      </c>
      <c r="L9" s="360">
        <f>E9-J9</f>
        <v>662385</v>
      </c>
      <c r="M9" s="360"/>
    </row>
    <row r="10" spans="1:13" s="977" customFormat="1" ht="36" customHeight="1">
      <c r="A10" s="365"/>
      <c r="B10" s="360"/>
      <c r="C10" s="360"/>
      <c r="D10" s="360"/>
      <c r="E10" s="360"/>
      <c r="F10" s="360"/>
      <c r="G10" s="360"/>
      <c r="H10" s="360">
        <f>C8</f>
        <v>35140</v>
      </c>
      <c r="I10" s="360"/>
      <c r="J10" s="360"/>
      <c r="K10" s="360">
        <f>K9+H10-I10</f>
        <v>43820</v>
      </c>
      <c r="L10" s="360"/>
      <c r="M10" s="360"/>
    </row>
    <row r="11" spans="1:13" s="977" customFormat="1" ht="36" customHeight="1">
      <c r="A11" s="365"/>
      <c r="B11" s="360"/>
      <c r="C11" s="360"/>
      <c r="D11" s="360"/>
      <c r="E11" s="360"/>
      <c r="F11" s="360"/>
      <c r="G11" s="360"/>
      <c r="H11" s="360"/>
      <c r="I11" s="360"/>
      <c r="J11" s="360"/>
      <c r="K11" s="360"/>
      <c r="L11" s="360"/>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A9" sqref="A9"/>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462</v>
      </c>
      <c r="D1" s="1903"/>
      <c r="E1" s="995" t="s">
        <v>236</v>
      </c>
      <c r="F1" s="291"/>
      <c r="G1" s="59" t="s">
        <v>351</v>
      </c>
      <c r="H1" s="59"/>
      <c r="I1" s="1638" t="s">
        <v>237</v>
      </c>
      <c r="J1" s="1665"/>
      <c r="K1" s="1665"/>
      <c r="L1" s="1665"/>
      <c r="M1" s="2006"/>
    </row>
    <row r="2" spans="1:13" s="994" customFormat="1" ht="68.099999999999994" customHeight="1">
      <c r="A2" s="41" t="s">
        <v>240</v>
      </c>
      <c r="B2" s="1637" t="s">
        <v>2826</v>
      </c>
      <c r="C2" s="1637"/>
      <c r="D2" s="41" t="s">
        <v>242</v>
      </c>
      <c r="E2" s="1638"/>
      <c r="F2" s="1638"/>
      <c r="G2" s="41" t="s">
        <v>243</v>
      </c>
      <c r="H2" s="997"/>
      <c r="I2" s="1638"/>
      <c r="J2" s="1665"/>
      <c r="K2" s="1665"/>
      <c r="L2" s="1665"/>
      <c r="M2" s="2006"/>
    </row>
    <row r="3" spans="1:13" s="994" customFormat="1" ht="68.099999999999994" customHeight="1">
      <c r="A3" s="41" t="s">
        <v>247</v>
      </c>
      <c r="B3" s="1637" t="s">
        <v>2827</v>
      </c>
      <c r="C3" s="1637"/>
      <c r="D3" s="41" t="s">
        <v>249</v>
      </c>
      <c r="E3" s="186"/>
      <c r="F3" s="41" t="s">
        <v>251</v>
      </c>
      <c r="G3" s="40" t="s">
        <v>2828</v>
      </c>
      <c r="H3" s="40"/>
      <c r="I3" s="40" t="s">
        <v>425</v>
      </c>
      <c r="J3" s="1676"/>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row>
    <row r="5" spans="1:13" s="994" customFormat="1" ht="50.1" customHeight="1">
      <c r="A5" s="41" t="s">
        <v>260</v>
      </c>
      <c r="B5" s="2001"/>
      <c r="C5" s="2001"/>
      <c r="D5" s="2001"/>
      <c r="E5" s="2001"/>
      <c r="F5" s="1665"/>
      <c r="G5" s="1665"/>
      <c r="H5" s="1665"/>
      <c r="I5" s="1665"/>
      <c r="J5" s="1665"/>
      <c r="K5" s="1665"/>
      <c r="L5" s="41" t="s">
        <v>245</v>
      </c>
      <c r="M5" s="41"/>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42917</v>
      </c>
      <c r="B7" s="360">
        <v>109</v>
      </c>
      <c r="C7" s="360">
        <f>B7*280</f>
        <v>30520</v>
      </c>
      <c r="D7" s="360">
        <f>B7</f>
        <v>109</v>
      </c>
      <c r="E7" s="360">
        <f>C7</f>
        <v>30520</v>
      </c>
      <c r="F7" s="360"/>
      <c r="G7" s="360">
        <f>E7</f>
        <v>30520</v>
      </c>
      <c r="H7" s="360"/>
      <c r="I7" s="360"/>
      <c r="J7" s="360"/>
      <c r="K7" s="360"/>
      <c r="L7" s="360">
        <f>E7-J7</f>
        <v>30520</v>
      </c>
      <c r="M7" s="360"/>
    </row>
    <row r="8" spans="1:13" s="977" customFormat="1" ht="36" customHeight="1">
      <c r="A8" s="365">
        <v>42948</v>
      </c>
      <c r="B8" s="360"/>
      <c r="C8" s="360"/>
      <c r="D8" s="360">
        <f>B8+D7</f>
        <v>109</v>
      </c>
      <c r="E8" s="360">
        <f>C8+E7</f>
        <v>30520</v>
      </c>
      <c r="F8" s="360"/>
      <c r="G8" s="360">
        <f>E8</f>
        <v>30520</v>
      </c>
      <c r="H8" s="360"/>
      <c r="I8" s="360"/>
      <c r="J8" s="360"/>
      <c r="K8" s="360">
        <f>K7+H8-I8</f>
        <v>0</v>
      </c>
      <c r="L8" s="360">
        <f>E8-J8</f>
        <v>30520</v>
      </c>
      <c r="M8" s="360"/>
    </row>
    <row r="9" spans="1:13" s="977" customFormat="1" ht="36" customHeight="1">
      <c r="A9" s="365"/>
      <c r="B9" s="360"/>
      <c r="C9" s="360"/>
      <c r="D9" s="360"/>
      <c r="E9" s="360"/>
      <c r="F9" s="360"/>
      <c r="G9" s="360"/>
      <c r="H9" s="360"/>
      <c r="I9" s="360"/>
      <c r="J9" s="360"/>
      <c r="K9" s="360">
        <f>K8+H9-I9</f>
        <v>0</v>
      </c>
      <c r="L9" s="360">
        <f>E9-J9</f>
        <v>0</v>
      </c>
      <c r="M9" s="360"/>
    </row>
    <row r="10" spans="1:13" s="977" customFormat="1" ht="36" customHeight="1">
      <c r="A10" s="365"/>
      <c r="B10" s="360"/>
      <c r="C10" s="360"/>
      <c r="D10" s="360"/>
      <c r="E10" s="360"/>
      <c r="F10" s="360"/>
      <c r="G10" s="360"/>
      <c r="H10" s="360"/>
      <c r="I10" s="360"/>
      <c r="J10" s="360"/>
      <c r="K10" s="360">
        <f>K9+H10-I10</f>
        <v>0</v>
      </c>
      <c r="L10" s="360">
        <f>E10-J10</f>
        <v>0</v>
      </c>
      <c r="M10" s="360"/>
    </row>
    <row r="11" spans="1:13" s="977" customFormat="1" ht="36" customHeight="1">
      <c r="A11" s="365"/>
      <c r="B11" s="360"/>
      <c r="C11" s="360"/>
      <c r="D11" s="360"/>
      <c r="E11" s="360"/>
      <c r="F11" s="360"/>
      <c r="G11" s="360"/>
      <c r="H11" s="360"/>
      <c r="I11" s="360"/>
      <c r="J11" s="360"/>
      <c r="K11" s="360"/>
      <c r="L11" s="360">
        <f>E11-J11</f>
        <v>0</v>
      </c>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opLeftCell="A19" zoomScaleSheetLayoutView="100" workbookViewId="0">
      <selection activeCell="A24" sqref="A24"/>
    </sheetView>
  </sheetViews>
  <sheetFormatPr defaultColWidth="9" defaultRowHeight="14.25"/>
  <cols>
    <col min="1" max="1" width="13.5" customWidth="1"/>
    <col min="2" max="3" width="16.5" customWidth="1"/>
    <col min="4" max="4" width="17.875" customWidth="1"/>
    <col min="5" max="5" width="14.25" customWidth="1"/>
    <col min="6" max="6" width="11.375" customWidth="1"/>
    <col min="7" max="7" width="14.25" customWidth="1"/>
    <col min="8" max="8" width="13.25" customWidth="1"/>
    <col min="9" max="9" width="13.5" customWidth="1"/>
    <col min="10" max="10" width="15.375" customWidth="1"/>
    <col min="11" max="11" width="14.75" customWidth="1"/>
    <col min="12" max="12" width="13.5" customWidth="1"/>
    <col min="13" max="13" width="33.25" customWidth="1"/>
  </cols>
  <sheetData>
    <row r="1" spans="1:13" ht="63" customHeight="1">
      <c r="A1" s="1032" t="s">
        <v>498</v>
      </c>
      <c r="B1" s="1033" t="s">
        <v>499</v>
      </c>
      <c r="C1" s="1187" t="s">
        <v>500</v>
      </c>
      <c r="D1" s="1175"/>
      <c r="E1" s="1034" t="s">
        <v>236</v>
      </c>
      <c r="F1" s="1406"/>
      <c r="G1" s="656" t="s">
        <v>351</v>
      </c>
      <c r="H1" s="1407" t="s">
        <v>501</v>
      </c>
      <c r="I1" s="1674" t="s">
        <v>502</v>
      </c>
      <c r="J1" s="1656" t="s">
        <v>503</v>
      </c>
      <c r="K1" s="1657"/>
      <c r="L1" s="1658"/>
      <c r="M1" s="1654" t="s">
        <v>504</v>
      </c>
    </row>
    <row r="2" spans="1:13" ht="60" customHeight="1">
      <c r="A2" s="39" t="s">
        <v>240</v>
      </c>
      <c r="B2" s="1637" t="s">
        <v>505</v>
      </c>
      <c r="C2" s="1637"/>
      <c r="D2" s="41" t="s">
        <v>242</v>
      </c>
      <c r="E2" s="1666"/>
      <c r="F2" s="1667"/>
      <c r="G2" s="41" t="s">
        <v>243</v>
      </c>
      <c r="H2" s="1408" t="s">
        <v>421</v>
      </c>
      <c r="I2" s="1675"/>
      <c r="J2" s="1659"/>
      <c r="K2" s="1660"/>
      <c r="L2" s="1661"/>
      <c r="M2" s="1655"/>
    </row>
    <row r="3" spans="1:13" ht="87.95" customHeight="1">
      <c r="A3" s="39" t="s">
        <v>247</v>
      </c>
      <c r="B3" s="1637" t="s">
        <v>506</v>
      </c>
      <c r="C3" s="1637"/>
      <c r="D3" s="41" t="s">
        <v>249</v>
      </c>
      <c r="E3" s="186">
        <v>15000</v>
      </c>
      <c r="F3" s="41" t="s">
        <v>251</v>
      </c>
      <c r="G3" s="41" t="s">
        <v>507</v>
      </c>
      <c r="H3" s="40" t="s">
        <v>508</v>
      </c>
      <c r="I3" s="40" t="s">
        <v>425</v>
      </c>
      <c r="J3" s="1676" t="s">
        <v>509</v>
      </c>
      <c r="K3" s="1677"/>
      <c r="L3" s="1677"/>
      <c r="M3" s="1678"/>
    </row>
    <row r="4" spans="1:13" ht="47.25" customHeight="1">
      <c r="A4" s="39" t="s">
        <v>510</v>
      </c>
      <c r="B4" s="1637" t="s">
        <v>511</v>
      </c>
      <c r="C4" s="1637"/>
      <c r="D4" s="1637"/>
      <c r="E4" s="43" t="s">
        <v>258</v>
      </c>
      <c r="F4" s="1638"/>
      <c r="G4" s="1638"/>
      <c r="H4" s="1638"/>
      <c r="I4" s="90"/>
      <c r="J4" s="91" t="s">
        <v>253</v>
      </c>
      <c r="K4" s="40" t="s">
        <v>512</v>
      </c>
      <c r="L4" s="15" t="s">
        <v>255</v>
      </c>
      <c r="M4" s="105" t="s">
        <v>513</v>
      </c>
    </row>
    <row r="5" spans="1:13" ht="116.1" customHeight="1">
      <c r="A5" s="1036" t="s">
        <v>260</v>
      </c>
      <c r="B5" s="1665" t="s">
        <v>514</v>
      </c>
      <c r="C5" s="1665"/>
      <c r="D5" s="1665"/>
      <c r="E5" s="1633" t="s">
        <v>515</v>
      </c>
      <c r="F5" s="1633"/>
      <c r="G5" s="1633"/>
      <c r="H5" s="1633"/>
      <c r="I5" s="1649"/>
      <c r="J5" s="1650"/>
      <c r="K5" s="1650"/>
      <c r="L5" s="41" t="s">
        <v>360</v>
      </c>
      <c r="M5" s="105" t="s">
        <v>402</v>
      </c>
    </row>
    <row r="6" spans="1:13" ht="42.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v>42461</v>
      </c>
      <c r="B7" s="1248">
        <v>239</v>
      </c>
      <c r="C7" s="1248">
        <v>58680</v>
      </c>
      <c r="D7" s="1067">
        <f>+B7</f>
        <v>239</v>
      </c>
      <c r="E7" s="1067">
        <f>C7</f>
        <v>58680</v>
      </c>
      <c r="F7" s="1410"/>
      <c r="G7" s="1416">
        <f>E7</f>
        <v>58680</v>
      </c>
      <c r="H7" s="1411"/>
      <c r="I7" s="1415"/>
      <c r="J7" s="1415"/>
      <c r="K7" s="1416"/>
      <c r="L7" s="1417">
        <f>E7-J7</f>
        <v>58680</v>
      </c>
      <c r="M7" s="1165"/>
    </row>
    <row r="8" spans="1:13" ht="36" customHeight="1">
      <c r="A8" s="1409">
        <v>42491</v>
      </c>
      <c r="B8" s="1067">
        <v>1534</v>
      </c>
      <c r="C8" s="1067">
        <v>417740</v>
      </c>
      <c r="D8" s="1248">
        <f t="shared" ref="D8:D23" si="0">B8+D7</f>
        <v>1773</v>
      </c>
      <c r="E8" s="1248">
        <f t="shared" ref="E8:E23" si="1">C8+E7</f>
        <v>476420</v>
      </c>
      <c r="F8" s="1412"/>
      <c r="G8" s="1416">
        <f>E8</f>
        <v>476420</v>
      </c>
      <c r="H8" s="1411"/>
      <c r="I8" s="1418"/>
      <c r="J8" s="1415"/>
      <c r="K8" s="1416">
        <f>K7+H8-I8</f>
        <v>0</v>
      </c>
      <c r="L8" s="1417">
        <f>E8-J8</f>
        <v>476420</v>
      </c>
      <c r="M8" s="1199"/>
    </row>
    <row r="9" spans="1:13" ht="36" customHeight="1">
      <c r="A9" s="1413">
        <v>42522</v>
      </c>
      <c r="B9" s="1067">
        <v>3165.5</v>
      </c>
      <c r="C9" s="1067">
        <v>870512.5</v>
      </c>
      <c r="D9" s="1248">
        <f t="shared" si="0"/>
        <v>4938.5</v>
      </c>
      <c r="E9" s="1248">
        <f t="shared" si="1"/>
        <v>1346932.5</v>
      </c>
      <c r="F9" s="1412"/>
      <c r="G9" s="1416">
        <f t="shared" ref="G9:G23" si="2">E7*0.2+C8+C9</f>
        <v>1299988.5</v>
      </c>
      <c r="H9" s="1411"/>
      <c r="I9" s="1418"/>
      <c r="J9" s="1418"/>
      <c r="K9" s="1416">
        <f>K8+H9-I9</f>
        <v>0</v>
      </c>
      <c r="L9" s="1417">
        <f t="shared" ref="L9:L23" si="3">E9-J9</f>
        <v>1346932.5</v>
      </c>
      <c r="M9" s="412"/>
    </row>
    <row r="10" spans="1:13" ht="36" customHeight="1">
      <c r="A10" s="1413">
        <v>42552</v>
      </c>
      <c r="B10" s="1067">
        <v>2373</v>
      </c>
      <c r="C10" s="1067">
        <v>657950</v>
      </c>
      <c r="D10" s="1248">
        <f t="shared" si="0"/>
        <v>7311.5</v>
      </c>
      <c r="E10" s="1248">
        <f t="shared" si="1"/>
        <v>2004882.5</v>
      </c>
      <c r="F10" s="1067"/>
      <c r="G10" s="1416">
        <f t="shared" si="2"/>
        <v>1623746.5</v>
      </c>
      <c r="H10" s="1414">
        <f t="shared" ref="H10:H24" si="4">C7*0.8</f>
        <v>46944</v>
      </c>
      <c r="I10" s="1418"/>
      <c r="J10" s="1418"/>
      <c r="K10" s="1416">
        <f>K9+H10-I10</f>
        <v>46944</v>
      </c>
      <c r="L10" s="1417">
        <f t="shared" si="3"/>
        <v>2004882.5</v>
      </c>
      <c r="M10" s="412"/>
    </row>
    <row r="11" spans="1:13" ht="36" customHeight="1">
      <c r="A11" s="1413">
        <v>42583</v>
      </c>
      <c r="B11" s="1067">
        <v>1641.5</v>
      </c>
      <c r="C11" s="1067">
        <v>475492.5</v>
      </c>
      <c r="D11" s="1248">
        <f t="shared" si="0"/>
        <v>8953</v>
      </c>
      <c r="E11" s="1248">
        <f t="shared" si="1"/>
        <v>2480375</v>
      </c>
      <c r="F11" s="1067"/>
      <c r="G11" s="1416">
        <f t="shared" si="2"/>
        <v>1402829</v>
      </c>
      <c r="H11" s="1414">
        <f t="shared" si="4"/>
        <v>334192</v>
      </c>
      <c r="I11" s="1418"/>
      <c r="J11" s="1418"/>
      <c r="K11" s="1416">
        <f t="shared" ref="K11:K24" si="5">K10+H11-I11</f>
        <v>381136</v>
      </c>
      <c r="L11" s="1417">
        <f t="shared" si="3"/>
        <v>2480375</v>
      </c>
      <c r="M11" s="412" t="s">
        <v>516</v>
      </c>
    </row>
    <row r="12" spans="1:13" ht="36" customHeight="1">
      <c r="A12" s="1413">
        <v>42614</v>
      </c>
      <c r="B12" s="1067">
        <v>22</v>
      </c>
      <c r="C12" s="1067">
        <v>5830</v>
      </c>
      <c r="D12" s="1248">
        <f t="shared" si="0"/>
        <v>8975</v>
      </c>
      <c r="E12" s="1248">
        <f t="shared" si="1"/>
        <v>2486205</v>
      </c>
      <c r="F12" s="1067"/>
      <c r="G12" s="1416">
        <f t="shared" si="2"/>
        <v>882299</v>
      </c>
      <c r="H12" s="1414">
        <f t="shared" si="4"/>
        <v>696410</v>
      </c>
      <c r="I12" s="1418">
        <v>381136</v>
      </c>
      <c r="J12" s="1418">
        <f t="shared" ref="J12:J23" si="6">J11+I12</f>
        <v>381136</v>
      </c>
      <c r="K12" s="1416">
        <f t="shared" si="5"/>
        <v>696410</v>
      </c>
      <c r="L12" s="1417">
        <f t="shared" si="3"/>
        <v>2105069</v>
      </c>
      <c r="M12" s="412" t="s">
        <v>517</v>
      </c>
    </row>
    <row r="13" spans="1:13" ht="36" customHeight="1">
      <c r="A13" s="1413">
        <v>42644</v>
      </c>
      <c r="B13" s="1067">
        <v>822</v>
      </c>
      <c r="C13" s="1067">
        <v>224926</v>
      </c>
      <c r="D13" s="1248">
        <f t="shared" si="0"/>
        <v>9797</v>
      </c>
      <c r="E13" s="1248">
        <f t="shared" si="1"/>
        <v>2711131</v>
      </c>
      <c r="F13" s="1067"/>
      <c r="G13" s="1416">
        <f t="shared" si="2"/>
        <v>726831</v>
      </c>
      <c r="H13" s="1414">
        <f t="shared" si="4"/>
        <v>526360</v>
      </c>
      <c r="I13" s="1418">
        <v>696410</v>
      </c>
      <c r="J13" s="1418">
        <f t="shared" si="6"/>
        <v>1077546</v>
      </c>
      <c r="K13" s="1416">
        <f t="shared" si="5"/>
        <v>526360</v>
      </c>
      <c r="L13" s="1417">
        <f t="shared" si="3"/>
        <v>1633585</v>
      </c>
      <c r="M13" s="412" t="s">
        <v>518</v>
      </c>
    </row>
    <row r="14" spans="1:13" ht="36" customHeight="1">
      <c r="A14" s="1413">
        <v>42675</v>
      </c>
      <c r="B14" s="1067">
        <v>519.5</v>
      </c>
      <c r="C14" s="1067">
        <v>143181.5</v>
      </c>
      <c r="D14" s="1248">
        <f t="shared" si="0"/>
        <v>10316.5</v>
      </c>
      <c r="E14" s="1248">
        <f t="shared" si="1"/>
        <v>2854312.5</v>
      </c>
      <c r="F14" s="1067"/>
      <c r="G14" s="1416">
        <f t="shared" si="2"/>
        <v>865348.5</v>
      </c>
      <c r="H14" s="1414">
        <f t="shared" si="4"/>
        <v>380394</v>
      </c>
      <c r="I14" s="1418">
        <v>526360</v>
      </c>
      <c r="J14" s="1418">
        <f t="shared" si="6"/>
        <v>1603906</v>
      </c>
      <c r="K14" s="1416">
        <f t="shared" si="5"/>
        <v>380394</v>
      </c>
      <c r="L14" s="1417">
        <f t="shared" si="3"/>
        <v>1250406.5</v>
      </c>
      <c r="M14" s="412" t="s">
        <v>519</v>
      </c>
    </row>
    <row r="15" spans="1:13" ht="36" customHeight="1">
      <c r="A15" s="1413">
        <v>42705</v>
      </c>
      <c r="B15" s="1067">
        <v>452</v>
      </c>
      <c r="C15" s="1067">
        <v>125204</v>
      </c>
      <c r="D15" s="1248">
        <f t="shared" si="0"/>
        <v>10768.5</v>
      </c>
      <c r="E15" s="1248">
        <f t="shared" si="1"/>
        <v>2979516.5</v>
      </c>
      <c r="F15" s="1067"/>
      <c r="G15" s="1416">
        <f t="shared" si="2"/>
        <v>810611.70000000007</v>
      </c>
      <c r="H15" s="1414">
        <f t="shared" si="4"/>
        <v>4664</v>
      </c>
      <c r="I15" s="1418">
        <v>380394</v>
      </c>
      <c r="J15" s="1418">
        <f t="shared" si="6"/>
        <v>1984300</v>
      </c>
      <c r="K15" s="1416">
        <f t="shared" si="5"/>
        <v>4664</v>
      </c>
      <c r="L15" s="1417">
        <f t="shared" si="3"/>
        <v>995216.5</v>
      </c>
      <c r="M15" s="412" t="s">
        <v>520</v>
      </c>
    </row>
    <row r="16" spans="1:13" ht="36" customHeight="1">
      <c r="A16" s="1413">
        <v>42736</v>
      </c>
      <c r="B16" s="1067">
        <v>182</v>
      </c>
      <c r="C16" s="1067">
        <v>55724</v>
      </c>
      <c r="D16" s="1248">
        <f t="shared" si="0"/>
        <v>10950.5</v>
      </c>
      <c r="E16" s="1248">
        <f t="shared" si="1"/>
        <v>3035240.5</v>
      </c>
      <c r="F16" s="1067"/>
      <c r="G16" s="1416">
        <f t="shared" si="2"/>
        <v>751790.5</v>
      </c>
      <c r="H16" s="1414">
        <f t="shared" si="4"/>
        <v>179940.80000000002</v>
      </c>
      <c r="I16" s="1418">
        <v>184604.08</v>
      </c>
      <c r="J16" s="1418">
        <f t="shared" si="6"/>
        <v>2168904.08</v>
      </c>
      <c r="K16" s="1416">
        <f t="shared" si="5"/>
        <v>0.72000000003026798</v>
      </c>
      <c r="L16" s="1417">
        <f t="shared" si="3"/>
        <v>866336.41999999993</v>
      </c>
      <c r="M16" s="412"/>
    </row>
    <row r="17" spans="1:13" ht="36" customHeight="1">
      <c r="A17" s="1413">
        <v>42767</v>
      </c>
      <c r="B17" s="1067">
        <v>0</v>
      </c>
      <c r="C17" s="1067">
        <v>0</v>
      </c>
      <c r="D17" s="1248">
        <f t="shared" si="0"/>
        <v>10950.5</v>
      </c>
      <c r="E17" s="1248">
        <f t="shared" si="1"/>
        <v>3035240.5</v>
      </c>
      <c r="F17" s="1067"/>
      <c r="G17" s="1416">
        <f t="shared" si="2"/>
        <v>651627.30000000005</v>
      </c>
      <c r="H17" s="1414">
        <f t="shared" si="4"/>
        <v>114545.20000000001</v>
      </c>
      <c r="I17" s="1418"/>
      <c r="J17" s="1418">
        <f t="shared" si="6"/>
        <v>2168904.08</v>
      </c>
      <c r="K17" s="1416">
        <f t="shared" si="5"/>
        <v>114545.92000000004</v>
      </c>
      <c r="L17" s="1417">
        <f t="shared" si="3"/>
        <v>866336.41999999993</v>
      </c>
      <c r="M17" s="412"/>
    </row>
    <row r="18" spans="1:13" ht="36" customHeight="1">
      <c r="A18" s="1413">
        <v>42795</v>
      </c>
      <c r="B18" s="1067">
        <f>334</f>
        <v>334</v>
      </c>
      <c r="C18" s="1067">
        <f>101278</f>
        <v>101278</v>
      </c>
      <c r="D18" s="1248">
        <f t="shared" si="0"/>
        <v>11284.5</v>
      </c>
      <c r="E18" s="1248">
        <f t="shared" si="1"/>
        <v>3136518.5</v>
      </c>
      <c r="F18" s="1067"/>
      <c r="G18" s="1416">
        <f t="shared" si="2"/>
        <v>708326.1</v>
      </c>
      <c r="H18" s="1414">
        <f t="shared" si="4"/>
        <v>100163.20000000001</v>
      </c>
      <c r="I18" s="1418"/>
      <c r="J18" s="1418">
        <f t="shared" si="6"/>
        <v>2168904.08</v>
      </c>
      <c r="K18" s="1416">
        <f t="shared" si="5"/>
        <v>214709.12000000005</v>
      </c>
      <c r="L18" s="1417">
        <f t="shared" si="3"/>
        <v>967614.41999999993</v>
      </c>
      <c r="M18" s="412"/>
    </row>
    <row r="19" spans="1:13" ht="36" customHeight="1">
      <c r="A19" s="1413">
        <v>42826</v>
      </c>
      <c r="B19" s="1067">
        <v>453</v>
      </c>
      <c r="C19" s="1067">
        <v>129993</v>
      </c>
      <c r="D19" s="1248">
        <f t="shared" si="0"/>
        <v>11737.5</v>
      </c>
      <c r="E19" s="1248">
        <f t="shared" si="1"/>
        <v>3266511.5</v>
      </c>
      <c r="F19" s="1067"/>
      <c r="G19" s="1416">
        <f t="shared" si="2"/>
        <v>838319.1</v>
      </c>
      <c r="H19" s="1414">
        <f t="shared" si="4"/>
        <v>44579.200000000004</v>
      </c>
      <c r="I19" s="1418"/>
      <c r="J19" s="1418">
        <f t="shared" si="6"/>
        <v>2168904.08</v>
      </c>
      <c r="K19" s="1416">
        <f t="shared" si="5"/>
        <v>259288.32000000007</v>
      </c>
      <c r="L19" s="1417">
        <f t="shared" si="3"/>
        <v>1097607.42</v>
      </c>
      <c r="M19" s="412"/>
    </row>
    <row r="20" spans="1:13" ht="36" customHeight="1">
      <c r="A20" s="1413">
        <v>42856</v>
      </c>
      <c r="B20" s="1067">
        <v>180</v>
      </c>
      <c r="C20" s="1067">
        <v>51625</v>
      </c>
      <c r="D20" s="1248">
        <f t="shared" si="0"/>
        <v>11917.5</v>
      </c>
      <c r="E20" s="1248">
        <f t="shared" si="1"/>
        <v>3318136.5</v>
      </c>
      <c r="F20" s="1067"/>
      <c r="G20" s="1416">
        <f t="shared" si="2"/>
        <v>808921.70000000007</v>
      </c>
      <c r="H20" s="1414">
        <f t="shared" si="4"/>
        <v>0</v>
      </c>
      <c r="I20" s="1418">
        <v>214708.4</v>
      </c>
      <c r="J20" s="1418">
        <f t="shared" si="6"/>
        <v>2383612.48</v>
      </c>
      <c r="K20" s="1416">
        <f t="shared" si="5"/>
        <v>44579.920000000071</v>
      </c>
      <c r="L20" s="1417">
        <f t="shared" si="3"/>
        <v>934524.02</v>
      </c>
      <c r="M20" s="412" t="s">
        <v>521</v>
      </c>
    </row>
    <row r="21" spans="1:13" ht="36" customHeight="1">
      <c r="A21" s="1413">
        <v>42887</v>
      </c>
      <c r="B21" s="1067">
        <f>20+6</f>
        <v>26</v>
      </c>
      <c r="C21" s="1067">
        <f>4940+1590</f>
        <v>6530</v>
      </c>
      <c r="D21" s="1248">
        <f t="shared" si="0"/>
        <v>11943.5</v>
      </c>
      <c r="E21" s="1248">
        <f t="shared" si="1"/>
        <v>3324666.5</v>
      </c>
      <c r="F21" s="1067"/>
      <c r="G21" s="1416">
        <f t="shared" si="2"/>
        <v>711457.3</v>
      </c>
      <c r="H21" s="1414">
        <f t="shared" si="4"/>
        <v>81022.400000000009</v>
      </c>
      <c r="I21" s="1418"/>
      <c r="J21" s="1418">
        <f t="shared" si="6"/>
        <v>2383612.48</v>
      </c>
      <c r="K21" s="1416">
        <f t="shared" si="5"/>
        <v>125602.32000000008</v>
      </c>
      <c r="L21" s="1417">
        <f t="shared" si="3"/>
        <v>941054.02</v>
      </c>
      <c r="M21" s="412"/>
    </row>
    <row r="22" spans="1:13" ht="36" customHeight="1">
      <c r="A22" s="1413">
        <v>42917</v>
      </c>
      <c r="B22" s="1067">
        <v>229</v>
      </c>
      <c r="C22" s="1067">
        <v>62288</v>
      </c>
      <c r="D22" s="1248">
        <f t="shared" si="0"/>
        <v>12172.5</v>
      </c>
      <c r="E22" s="1248">
        <f t="shared" si="1"/>
        <v>3386954.5</v>
      </c>
      <c r="F22" s="1067"/>
      <c r="G22" s="1416">
        <f t="shared" si="2"/>
        <v>732445.3</v>
      </c>
      <c r="H22" s="1414">
        <f t="shared" si="4"/>
        <v>103994.40000000001</v>
      </c>
      <c r="I22" s="1418"/>
      <c r="J22" s="1418">
        <f t="shared" si="6"/>
        <v>2383612.48</v>
      </c>
      <c r="K22" s="1416">
        <f t="shared" si="5"/>
        <v>229596.72000000009</v>
      </c>
      <c r="L22" s="1417">
        <f t="shared" si="3"/>
        <v>1003342.02</v>
      </c>
      <c r="M22" s="412"/>
    </row>
    <row r="23" spans="1:13" ht="36" customHeight="1">
      <c r="A23" s="1413">
        <v>42948</v>
      </c>
      <c r="B23" s="1067">
        <f>6+30</f>
        <v>36</v>
      </c>
      <c r="C23" s="1067">
        <f>1590+8160</f>
        <v>9750</v>
      </c>
      <c r="D23" s="1248">
        <f t="shared" si="0"/>
        <v>12208.5</v>
      </c>
      <c r="E23" s="1248">
        <f t="shared" si="1"/>
        <v>3396704.5</v>
      </c>
      <c r="F23" s="1067"/>
      <c r="G23" s="1416">
        <f t="shared" si="2"/>
        <v>736971.3</v>
      </c>
      <c r="H23" s="1414">
        <f t="shared" si="4"/>
        <v>41300</v>
      </c>
      <c r="I23" s="1418"/>
      <c r="J23" s="1418">
        <f t="shared" si="6"/>
        <v>2383612.48</v>
      </c>
      <c r="K23" s="1416">
        <f t="shared" si="5"/>
        <v>270896.72000000009</v>
      </c>
      <c r="L23" s="1417">
        <f t="shared" si="3"/>
        <v>1013092.02</v>
      </c>
      <c r="M23" s="412" t="s">
        <v>522</v>
      </c>
    </row>
    <row r="24" spans="1:13" ht="36" customHeight="1">
      <c r="A24" s="1413"/>
      <c r="B24" s="1067"/>
      <c r="C24" s="1067"/>
      <c r="D24" s="1067"/>
      <c r="E24" s="1067"/>
      <c r="F24" s="1067"/>
      <c r="G24" s="1245"/>
      <c r="H24" s="1414">
        <f t="shared" si="4"/>
        <v>5224</v>
      </c>
      <c r="I24" s="1418"/>
      <c r="J24" s="1418"/>
      <c r="K24" s="1416">
        <f t="shared" si="5"/>
        <v>276120.72000000009</v>
      </c>
      <c r="L24" s="1417"/>
      <c r="M24" s="412"/>
    </row>
    <row r="25" spans="1:13" ht="36" customHeight="1">
      <c r="A25" s="1413"/>
      <c r="B25" s="1067"/>
      <c r="C25" s="1067"/>
      <c r="D25" s="1067"/>
      <c r="E25" s="1067"/>
      <c r="F25" s="1067"/>
      <c r="G25" s="1245"/>
      <c r="H25" s="1414"/>
      <c r="I25" s="1418"/>
      <c r="J25" s="1418"/>
      <c r="K25" s="1067"/>
      <c r="L25" s="1417"/>
      <c r="M25" s="412"/>
    </row>
  </sheetData>
  <mergeCells count="12">
    <mergeCell ref="M1:M2"/>
    <mergeCell ref="J1:L2"/>
    <mergeCell ref="B2:C2"/>
    <mergeCell ref="E2:F2"/>
    <mergeCell ref="B3:C3"/>
    <mergeCell ref="J3:M3"/>
    <mergeCell ref="B4:D4"/>
    <mergeCell ref="F4:H4"/>
    <mergeCell ref="B5:D5"/>
    <mergeCell ref="E5:H5"/>
    <mergeCell ref="I5:K5"/>
    <mergeCell ref="I1:I2"/>
  </mergeCells>
  <phoneticPr fontId="84" type="noConversion"/>
  <pageMargins left="0.75" right="0.75" top="1" bottom="1" header="0.51" footer="0.51"/>
  <pageSetup paperSize="9" orientation="portrait" verticalDpi="200"/>
  <headerFooter scaleWithDoc="0" alignWithMargins="0"/>
  <legacyDrawing r:id="rId1"/>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A9" sqref="A9"/>
    </sheetView>
  </sheetViews>
  <sheetFormatPr defaultColWidth="9" defaultRowHeight="14.25"/>
  <cols>
    <col min="1" max="1" width="15.875"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5" customWidth="1"/>
    <col min="11" max="11" width="13.75" customWidth="1"/>
    <col min="12" max="12" width="10" customWidth="1"/>
    <col min="13" max="13" width="47.875" customWidth="1"/>
  </cols>
  <sheetData>
    <row r="1" spans="1:13" s="994" customFormat="1" ht="45" customHeight="1">
      <c r="A1" s="995" t="s">
        <v>348</v>
      </c>
      <c r="B1" s="996"/>
      <c r="C1" s="1903" t="s">
        <v>462</v>
      </c>
      <c r="D1" s="1903"/>
      <c r="E1" s="995" t="s">
        <v>236</v>
      </c>
      <c r="F1" s="291"/>
      <c r="G1" s="59" t="s">
        <v>351</v>
      </c>
      <c r="H1" s="59"/>
      <c r="I1" s="1638" t="s">
        <v>237</v>
      </c>
      <c r="J1" s="1665"/>
      <c r="K1" s="1665"/>
      <c r="L1" s="1665"/>
      <c r="M1" s="2006"/>
    </row>
    <row r="2" spans="1:13" s="994" customFormat="1" ht="68.099999999999994" customHeight="1">
      <c r="A2" s="41" t="s">
        <v>240</v>
      </c>
      <c r="B2" s="1637" t="s">
        <v>2829</v>
      </c>
      <c r="C2" s="1637"/>
      <c r="D2" s="41" t="s">
        <v>242</v>
      </c>
      <c r="E2" s="1638"/>
      <c r="F2" s="1638"/>
      <c r="G2" s="41" t="s">
        <v>243</v>
      </c>
      <c r="H2" s="997"/>
      <c r="I2" s="1638"/>
      <c r="J2" s="1665"/>
      <c r="K2" s="1665"/>
      <c r="L2" s="1665"/>
      <c r="M2" s="2006"/>
    </row>
    <row r="3" spans="1:13" s="994" customFormat="1" ht="68.099999999999994" customHeight="1">
      <c r="A3" s="41" t="s">
        <v>247</v>
      </c>
      <c r="B3" s="1637" t="s">
        <v>2830</v>
      </c>
      <c r="C3" s="1637"/>
      <c r="D3" s="41" t="s">
        <v>249</v>
      </c>
      <c r="E3" s="186"/>
      <c r="F3" s="41" t="s">
        <v>251</v>
      </c>
      <c r="G3" s="40" t="s">
        <v>2828</v>
      </c>
      <c r="H3" s="40"/>
      <c r="I3" s="40" t="s">
        <v>425</v>
      </c>
      <c r="J3" s="1676"/>
      <c r="K3" s="1677"/>
      <c r="L3" s="1677"/>
      <c r="M3" s="1838"/>
    </row>
    <row r="4" spans="1:13" s="994" customFormat="1" ht="55.5" customHeight="1">
      <c r="A4" s="41" t="s">
        <v>257</v>
      </c>
      <c r="B4" s="1637"/>
      <c r="C4" s="1637"/>
      <c r="D4" s="1637"/>
      <c r="E4" s="43" t="s">
        <v>258</v>
      </c>
      <c r="F4" s="2019"/>
      <c r="G4" s="2019"/>
      <c r="H4" s="2019"/>
      <c r="I4" s="90"/>
      <c r="J4" s="1004" t="s">
        <v>253</v>
      </c>
      <c r="K4" s="40"/>
      <c r="L4" s="15" t="s">
        <v>255</v>
      </c>
      <c r="M4" s="271"/>
    </row>
    <row r="5" spans="1:13" s="994" customFormat="1" ht="50.1" customHeight="1">
      <c r="A5" s="41" t="s">
        <v>260</v>
      </c>
      <c r="B5" s="2001"/>
      <c r="C5" s="2001"/>
      <c r="D5" s="2001"/>
      <c r="E5" s="2001"/>
      <c r="F5" s="1665"/>
      <c r="G5" s="1665"/>
      <c r="H5" s="1665"/>
      <c r="I5" s="1665"/>
      <c r="J5" s="1665"/>
      <c r="K5" s="1665"/>
      <c r="L5" s="41" t="s">
        <v>245</v>
      </c>
      <c r="M5" s="41"/>
    </row>
    <row r="6" spans="1:13"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3" s="977" customFormat="1" ht="36" customHeight="1">
      <c r="A7" s="405">
        <v>42917</v>
      </c>
      <c r="B7" s="360">
        <v>30.5</v>
      </c>
      <c r="C7" s="360">
        <v>7912.5</v>
      </c>
      <c r="D7" s="360">
        <f>B7</f>
        <v>30.5</v>
      </c>
      <c r="E7" s="360">
        <f>C7</f>
        <v>7912.5</v>
      </c>
      <c r="F7" s="360"/>
      <c r="G7" s="360">
        <f>E7</f>
        <v>7912.5</v>
      </c>
      <c r="H7" s="360"/>
      <c r="I7" s="360"/>
      <c r="J7" s="360"/>
      <c r="K7" s="360"/>
      <c r="L7" s="360">
        <f>E7-J7</f>
        <v>7912.5</v>
      </c>
      <c r="M7" s="360"/>
    </row>
    <row r="8" spans="1:13" s="977" customFormat="1" ht="36" customHeight="1">
      <c r="A8" s="365">
        <v>42948</v>
      </c>
      <c r="B8" s="360">
        <v>809</v>
      </c>
      <c r="C8" s="360">
        <v>214425</v>
      </c>
      <c r="D8" s="360">
        <f>D7+B8</f>
        <v>839.5</v>
      </c>
      <c r="E8" s="360">
        <f>E7+C8</f>
        <v>222337.5</v>
      </c>
      <c r="F8" s="360"/>
      <c r="G8" s="360">
        <f>E8</f>
        <v>222337.5</v>
      </c>
      <c r="H8" s="360"/>
      <c r="I8" s="360"/>
      <c r="J8" s="360"/>
      <c r="K8" s="360"/>
      <c r="L8" s="360"/>
      <c r="M8" s="360"/>
    </row>
    <row r="9" spans="1:13" s="977" customFormat="1" ht="36" customHeight="1">
      <c r="A9" s="365"/>
      <c r="B9" s="360"/>
      <c r="C9" s="360"/>
      <c r="D9" s="360"/>
      <c r="E9" s="360"/>
      <c r="F9" s="360"/>
      <c r="G9" s="360"/>
      <c r="H9" s="360"/>
      <c r="I9" s="360"/>
      <c r="J9" s="360"/>
      <c r="K9" s="360"/>
      <c r="L9" s="360"/>
      <c r="M9" s="360"/>
    </row>
    <row r="10" spans="1:13" s="977" customFormat="1" ht="36" customHeight="1">
      <c r="A10" s="365"/>
      <c r="B10" s="360"/>
      <c r="C10" s="360"/>
      <c r="D10" s="360"/>
      <c r="E10" s="360"/>
      <c r="F10" s="360"/>
      <c r="G10" s="360"/>
      <c r="H10" s="360"/>
      <c r="I10" s="360"/>
      <c r="J10" s="360"/>
      <c r="K10" s="360"/>
      <c r="L10" s="360"/>
      <c r="M10" s="360"/>
    </row>
    <row r="11" spans="1:13" s="977" customFormat="1" ht="36" customHeight="1">
      <c r="A11" s="365"/>
      <c r="B11" s="360"/>
      <c r="C11" s="360"/>
      <c r="D11" s="360"/>
      <c r="E11" s="360"/>
      <c r="F11" s="360"/>
      <c r="G11" s="360"/>
      <c r="H11" s="360"/>
      <c r="I11" s="360"/>
      <c r="J11" s="360"/>
      <c r="K11" s="360"/>
      <c r="L11" s="360"/>
      <c r="M11" s="360"/>
    </row>
    <row r="12" spans="1:13" s="977" customFormat="1" ht="36" customHeight="1">
      <c r="A12" s="365"/>
      <c r="B12" s="360"/>
      <c r="C12" s="360"/>
      <c r="D12" s="360"/>
      <c r="E12" s="360"/>
      <c r="F12" s="360"/>
      <c r="G12" s="360"/>
      <c r="H12" s="360"/>
      <c r="I12" s="360"/>
      <c r="J12" s="360"/>
      <c r="K12" s="360"/>
      <c r="L12" s="360"/>
      <c r="M12" s="360"/>
    </row>
    <row r="13" spans="1:13" s="977" customFormat="1" ht="36" customHeight="1">
      <c r="A13" s="365"/>
      <c r="B13" s="360"/>
      <c r="C13" s="360"/>
      <c r="D13" s="360"/>
      <c r="E13" s="360"/>
      <c r="F13" s="360"/>
      <c r="G13" s="360"/>
      <c r="H13" s="360"/>
      <c r="I13" s="360"/>
      <c r="J13" s="360"/>
      <c r="K13" s="360"/>
      <c r="L13" s="360"/>
      <c r="M13" s="360"/>
    </row>
    <row r="14" spans="1:13" s="977" customFormat="1" ht="36" customHeight="1">
      <c r="A14" s="365"/>
      <c r="B14" s="360"/>
      <c r="C14" s="360"/>
      <c r="D14" s="360"/>
      <c r="E14" s="360"/>
      <c r="F14" s="360"/>
      <c r="G14" s="360"/>
      <c r="H14" s="360"/>
      <c r="I14" s="360"/>
      <c r="J14" s="360"/>
      <c r="K14" s="360"/>
      <c r="L14" s="360"/>
      <c r="M14" s="360"/>
    </row>
    <row r="15" spans="1:13" s="977" customFormat="1" ht="36" customHeight="1">
      <c r="A15" s="1002"/>
      <c r="B15" s="360"/>
      <c r="C15" s="360"/>
      <c r="D15" s="360"/>
      <c r="E15" s="360"/>
      <c r="F15" s="360"/>
      <c r="G15" s="360"/>
      <c r="H15" s="360"/>
      <c r="I15" s="360"/>
      <c r="J15" s="360"/>
      <c r="K15" s="360"/>
      <c r="L15" s="360"/>
      <c r="M15" s="360"/>
    </row>
    <row r="16" spans="1:1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worksheet>
</file>

<file path=xl/worksheets/sheet1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5"/>
  <sheetViews>
    <sheetView topLeftCell="A49" zoomScaleSheetLayoutView="100" workbookViewId="0">
      <selection activeCell="D60" sqref="D60"/>
    </sheetView>
  </sheetViews>
  <sheetFormatPr defaultColWidth="9" defaultRowHeight="14.25"/>
  <cols>
    <col min="1" max="1" width="12.625" bestFit="1" customWidth="1"/>
    <col min="2" max="2" width="12.25" customWidth="1"/>
    <col min="3" max="3" width="15.125" customWidth="1"/>
    <col min="4" max="4" width="12.25" customWidth="1"/>
    <col min="5" max="5" width="16.75" customWidth="1"/>
    <col min="6" max="6" width="12.5" customWidth="1"/>
    <col min="7" max="7" width="13.125" customWidth="1"/>
    <col min="8" max="9" width="14.625" customWidth="1"/>
    <col min="10" max="10" width="12.5" customWidth="1"/>
    <col min="11" max="11" width="11.125" customWidth="1"/>
    <col min="12" max="12" width="13.25" customWidth="1"/>
    <col min="13" max="13" width="24.75" customWidth="1"/>
  </cols>
  <sheetData>
    <row r="1" spans="1:13" ht="69" customHeight="1">
      <c r="A1" s="34" t="s">
        <v>2831</v>
      </c>
      <c r="B1" s="982"/>
      <c r="C1" s="38" t="s">
        <v>2832</v>
      </c>
      <c r="D1" s="38" t="s">
        <v>236</v>
      </c>
      <c r="E1" s="2024" t="s">
        <v>2833</v>
      </c>
      <c r="F1" s="2024"/>
      <c r="G1" s="2024"/>
      <c r="H1" s="57" t="s">
        <v>237</v>
      </c>
      <c r="I1" s="2025" t="s">
        <v>2834</v>
      </c>
      <c r="J1" s="2025"/>
      <c r="K1" s="2025"/>
      <c r="L1" s="2025" t="s">
        <v>2835</v>
      </c>
      <c r="M1" s="2026"/>
    </row>
    <row r="2" spans="1:13" ht="36" customHeight="1">
      <c r="A2" s="39" t="s">
        <v>240</v>
      </c>
      <c r="B2" s="1639" t="s">
        <v>2836</v>
      </c>
      <c r="C2" s="1639"/>
      <c r="D2" s="41" t="s">
        <v>242</v>
      </c>
      <c r="E2" s="1637" t="s">
        <v>2836</v>
      </c>
      <c r="F2" s="1637"/>
      <c r="G2" s="1637"/>
      <c r="H2" s="41" t="s">
        <v>243</v>
      </c>
      <c r="I2" s="1638" t="s">
        <v>2837</v>
      </c>
      <c r="J2" s="1638"/>
      <c r="K2" s="1638"/>
      <c r="L2" s="103" t="s">
        <v>2838</v>
      </c>
      <c r="M2" s="104" t="s">
        <v>2839</v>
      </c>
    </row>
    <row r="3" spans="1:13" ht="47.1" customHeight="1">
      <c r="A3" s="39" t="s">
        <v>247</v>
      </c>
      <c r="B3" s="1637" t="s">
        <v>2840</v>
      </c>
      <c r="C3" s="1637"/>
      <c r="D3" s="41" t="s">
        <v>249</v>
      </c>
      <c r="E3" s="291" t="s">
        <v>985</v>
      </c>
      <c r="F3" s="41" t="s">
        <v>251</v>
      </c>
      <c r="G3" s="40" t="s">
        <v>2841</v>
      </c>
      <c r="H3" s="41" t="s">
        <v>252</v>
      </c>
      <c r="I3" s="41">
        <v>18688881653</v>
      </c>
      <c r="J3" s="91" t="s">
        <v>253</v>
      </c>
      <c r="K3" s="987" t="s">
        <v>2842</v>
      </c>
      <c r="L3" s="15" t="s">
        <v>255</v>
      </c>
      <c r="M3" s="104" t="s">
        <v>2843</v>
      </c>
    </row>
    <row r="4" spans="1:13" ht="27" customHeight="1">
      <c r="A4" s="39" t="s">
        <v>1022</v>
      </c>
      <c r="B4" s="1637" t="s">
        <v>2844</v>
      </c>
      <c r="C4" s="1637"/>
      <c r="D4" s="1637"/>
      <c r="E4" s="1648" t="s">
        <v>2845</v>
      </c>
      <c r="F4" s="1648"/>
      <c r="G4" s="1648"/>
      <c r="H4" s="1958" t="s">
        <v>2846</v>
      </c>
      <c r="I4" s="1958"/>
      <c r="J4" s="1958"/>
      <c r="K4" s="1958"/>
      <c r="L4" s="1638"/>
      <c r="M4" s="2027"/>
    </row>
    <row r="5" spans="1:13" ht="54.95" customHeight="1">
      <c r="A5" s="39" t="s">
        <v>260</v>
      </c>
      <c r="B5" s="1633" t="s">
        <v>2847</v>
      </c>
      <c r="C5" s="1633"/>
      <c r="D5" s="1633"/>
      <c r="E5" s="1633" t="s">
        <v>2848</v>
      </c>
      <c r="F5" s="1633"/>
      <c r="G5" s="1633"/>
      <c r="H5" s="1633"/>
      <c r="I5" s="1633"/>
      <c r="J5" s="1633" t="s">
        <v>2849</v>
      </c>
      <c r="K5" s="1633"/>
      <c r="L5" s="1633"/>
      <c r="M5" s="988" t="s">
        <v>2850</v>
      </c>
    </row>
    <row r="6" spans="1:13" ht="39.95000000000000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45">
        <v>40603</v>
      </c>
      <c r="B7" s="140">
        <v>45</v>
      </c>
      <c r="C7" s="140">
        <v>11610</v>
      </c>
      <c r="D7" s="140">
        <f>B7</f>
        <v>45</v>
      </c>
      <c r="E7" s="140">
        <f>C7</f>
        <v>11610</v>
      </c>
      <c r="F7" s="140">
        <f t="shared" ref="F7:F54" si="0">40000-D7</f>
        <v>39955</v>
      </c>
      <c r="G7" s="46"/>
      <c r="H7" s="141"/>
      <c r="I7" s="140"/>
      <c r="J7" s="140"/>
      <c r="K7" s="140"/>
      <c r="L7" s="140">
        <f t="shared" ref="L7:L55" si="1">E7-J7</f>
        <v>11610</v>
      </c>
      <c r="M7" s="171" t="s">
        <v>2851</v>
      </c>
    </row>
    <row r="8" spans="1:13" ht="30" customHeight="1">
      <c r="A8" s="45">
        <v>40634</v>
      </c>
      <c r="B8" s="46">
        <v>156</v>
      </c>
      <c r="C8" s="46">
        <v>40350</v>
      </c>
      <c r="D8" s="46">
        <f t="shared" ref="D8:D55" si="2">D7+B8</f>
        <v>201</v>
      </c>
      <c r="E8" s="46">
        <f t="shared" ref="E8:E55" si="3">E7+C8</f>
        <v>51960</v>
      </c>
      <c r="F8" s="140">
        <f t="shared" si="0"/>
        <v>39799</v>
      </c>
      <c r="G8" s="46"/>
      <c r="H8" s="47">
        <f t="shared" ref="H8:H55" si="4">C7</f>
        <v>11610</v>
      </c>
      <c r="I8" s="47"/>
      <c r="J8" s="47">
        <f t="shared" ref="J8:J55" si="5">J7+I8</f>
        <v>0</v>
      </c>
      <c r="K8" s="47">
        <f t="shared" ref="K8:K55" si="6">K7+H8-I8</f>
        <v>11610</v>
      </c>
      <c r="L8" s="140">
        <f t="shared" si="1"/>
        <v>51960</v>
      </c>
      <c r="M8" s="989" t="s">
        <v>2852</v>
      </c>
    </row>
    <row r="9" spans="1:13" ht="30" customHeight="1">
      <c r="A9" s="45">
        <v>40664</v>
      </c>
      <c r="B9" s="46">
        <v>4</v>
      </c>
      <c r="C9" s="46">
        <v>1040</v>
      </c>
      <c r="D9" s="46">
        <f t="shared" si="2"/>
        <v>205</v>
      </c>
      <c r="E9" s="46">
        <f t="shared" si="3"/>
        <v>53000</v>
      </c>
      <c r="F9" s="140">
        <f t="shared" si="0"/>
        <v>39795</v>
      </c>
      <c r="G9" s="46"/>
      <c r="H9" s="47">
        <f t="shared" si="4"/>
        <v>40350</v>
      </c>
      <c r="I9" s="47">
        <f>11610+40350</f>
        <v>51960</v>
      </c>
      <c r="J9" s="47">
        <f t="shared" si="5"/>
        <v>51960</v>
      </c>
      <c r="K9" s="47">
        <f t="shared" si="6"/>
        <v>0</v>
      </c>
      <c r="L9" s="140">
        <f t="shared" si="1"/>
        <v>1040</v>
      </c>
      <c r="M9" s="989"/>
    </row>
    <row r="10" spans="1:13" ht="30" customHeight="1">
      <c r="A10" s="45">
        <v>40695</v>
      </c>
      <c r="B10" s="46">
        <v>2055</v>
      </c>
      <c r="C10" s="46">
        <v>513850</v>
      </c>
      <c r="D10" s="46">
        <f t="shared" si="2"/>
        <v>2260</v>
      </c>
      <c r="E10" s="46">
        <f t="shared" si="3"/>
        <v>566850</v>
      </c>
      <c r="F10" s="140">
        <f t="shared" si="0"/>
        <v>37740</v>
      </c>
      <c r="G10" s="46"/>
      <c r="H10" s="47">
        <f t="shared" si="4"/>
        <v>1040</v>
      </c>
      <c r="I10" s="47">
        <v>0</v>
      </c>
      <c r="J10" s="47">
        <f t="shared" si="5"/>
        <v>51960</v>
      </c>
      <c r="K10" s="47">
        <f t="shared" si="6"/>
        <v>1040</v>
      </c>
      <c r="L10" s="140">
        <f t="shared" si="1"/>
        <v>514890</v>
      </c>
      <c r="M10" s="989"/>
    </row>
    <row r="11" spans="1:13" ht="30" customHeight="1">
      <c r="A11" s="45">
        <v>40725</v>
      </c>
      <c r="B11" s="46">
        <v>2074</v>
      </c>
      <c r="C11" s="46">
        <v>518800</v>
      </c>
      <c r="D11" s="46">
        <f t="shared" si="2"/>
        <v>4334</v>
      </c>
      <c r="E11" s="46">
        <f t="shared" si="3"/>
        <v>1085650</v>
      </c>
      <c r="F11" s="140">
        <f t="shared" si="0"/>
        <v>35666</v>
      </c>
      <c r="G11" s="46"/>
      <c r="H11" s="47">
        <f t="shared" si="4"/>
        <v>513850</v>
      </c>
      <c r="I11" s="47">
        <v>0</v>
      </c>
      <c r="J11" s="47">
        <f t="shared" si="5"/>
        <v>51960</v>
      </c>
      <c r="K11" s="47">
        <f t="shared" si="6"/>
        <v>514890</v>
      </c>
      <c r="L11" s="140">
        <f t="shared" si="1"/>
        <v>1033690</v>
      </c>
      <c r="M11" s="989" t="s">
        <v>2853</v>
      </c>
    </row>
    <row r="12" spans="1:13" ht="30" customHeight="1">
      <c r="A12" s="45">
        <v>40756</v>
      </c>
      <c r="B12" s="46">
        <v>2161</v>
      </c>
      <c r="C12" s="46">
        <v>540320</v>
      </c>
      <c r="D12" s="46">
        <f t="shared" si="2"/>
        <v>6495</v>
      </c>
      <c r="E12" s="46">
        <f t="shared" si="3"/>
        <v>1625970</v>
      </c>
      <c r="F12" s="140">
        <f t="shared" si="0"/>
        <v>33505</v>
      </c>
      <c r="G12" s="46"/>
      <c r="H12" s="47">
        <f t="shared" si="4"/>
        <v>518800</v>
      </c>
      <c r="I12" s="47">
        <f>514890+518800</f>
        <v>1033690</v>
      </c>
      <c r="J12" s="47">
        <f t="shared" si="5"/>
        <v>1085650</v>
      </c>
      <c r="K12" s="47">
        <f t="shared" si="6"/>
        <v>0</v>
      </c>
      <c r="L12" s="140">
        <f t="shared" si="1"/>
        <v>540320</v>
      </c>
      <c r="M12" s="989" t="s">
        <v>2854</v>
      </c>
    </row>
    <row r="13" spans="1:13" ht="30" customHeight="1">
      <c r="A13" s="45">
        <v>40787</v>
      </c>
      <c r="B13" s="46">
        <v>407</v>
      </c>
      <c r="C13" s="46">
        <v>103454</v>
      </c>
      <c r="D13" s="46">
        <f t="shared" si="2"/>
        <v>6902</v>
      </c>
      <c r="E13" s="46">
        <f t="shared" si="3"/>
        <v>1729424</v>
      </c>
      <c r="F13" s="140">
        <f t="shared" si="0"/>
        <v>33098</v>
      </c>
      <c r="G13" s="46"/>
      <c r="H13" s="47">
        <f t="shared" si="4"/>
        <v>540320</v>
      </c>
      <c r="I13" s="47">
        <v>540320</v>
      </c>
      <c r="J13" s="47">
        <f t="shared" si="5"/>
        <v>1625970</v>
      </c>
      <c r="K13" s="47">
        <f t="shared" si="6"/>
        <v>0</v>
      </c>
      <c r="L13" s="140">
        <f t="shared" si="1"/>
        <v>103454</v>
      </c>
      <c r="M13" s="989"/>
    </row>
    <row r="14" spans="1:13" ht="30" customHeight="1">
      <c r="A14" s="45">
        <v>40817</v>
      </c>
      <c r="B14" s="46">
        <v>427</v>
      </c>
      <c r="C14" s="46">
        <v>109312</v>
      </c>
      <c r="D14" s="46">
        <f t="shared" si="2"/>
        <v>7329</v>
      </c>
      <c r="E14" s="46">
        <f t="shared" si="3"/>
        <v>1838736</v>
      </c>
      <c r="F14" s="140">
        <f t="shared" si="0"/>
        <v>32671</v>
      </c>
      <c r="G14" s="46"/>
      <c r="H14" s="47">
        <f t="shared" si="4"/>
        <v>103454</v>
      </c>
      <c r="I14" s="47">
        <v>0</v>
      </c>
      <c r="J14" s="47">
        <f t="shared" si="5"/>
        <v>1625970</v>
      </c>
      <c r="K14" s="47">
        <f t="shared" si="6"/>
        <v>103454</v>
      </c>
      <c r="L14" s="140">
        <f t="shared" si="1"/>
        <v>212766</v>
      </c>
      <c r="M14" s="989" t="s">
        <v>2855</v>
      </c>
    </row>
    <row r="15" spans="1:13" ht="30" customHeight="1">
      <c r="A15" s="45">
        <v>40848</v>
      </c>
      <c r="B15" s="46">
        <v>492</v>
      </c>
      <c r="C15" s="46">
        <v>128777</v>
      </c>
      <c r="D15" s="46">
        <f t="shared" si="2"/>
        <v>7821</v>
      </c>
      <c r="E15" s="46">
        <f t="shared" si="3"/>
        <v>1967513</v>
      </c>
      <c r="F15" s="140">
        <f t="shared" si="0"/>
        <v>32179</v>
      </c>
      <c r="G15" s="46"/>
      <c r="H15" s="47">
        <f t="shared" si="4"/>
        <v>109312</v>
      </c>
      <c r="I15" s="47">
        <v>103454</v>
      </c>
      <c r="J15" s="47">
        <f t="shared" si="5"/>
        <v>1729424</v>
      </c>
      <c r="K15" s="47">
        <f t="shared" si="6"/>
        <v>109312</v>
      </c>
      <c r="L15" s="140">
        <f t="shared" si="1"/>
        <v>238089</v>
      </c>
      <c r="M15" s="989" t="s">
        <v>2856</v>
      </c>
    </row>
    <row r="16" spans="1:13" ht="29.1" customHeight="1">
      <c r="A16" s="45">
        <v>40878</v>
      </c>
      <c r="B16" s="46">
        <v>140</v>
      </c>
      <c r="C16" s="46">
        <v>35840</v>
      </c>
      <c r="D16" s="46">
        <f t="shared" si="2"/>
        <v>7961</v>
      </c>
      <c r="E16" s="46">
        <f t="shared" si="3"/>
        <v>2003353</v>
      </c>
      <c r="F16" s="140">
        <f t="shared" si="0"/>
        <v>32039</v>
      </c>
      <c r="G16" s="46"/>
      <c r="H16" s="47">
        <f t="shared" si="4"/>
        <v>128777</v>
      </c>
      <c r="I16" s="47">
        <v>109312</v>
      </c>
      <c r="J16" s="47">
        <f t="shared" si="5"/>
        <v>1838736</v>
      </c>
      <c r="K16" s="47">
        <f t="shared" si="6"/>
        <v>128777</v>
      </c>
      <c r="L16" s="140">
        <f t="shared" si="1"/>
        <v>164617</v>
      </c>
      <c r="M16" s="989" t="s">
        <v>2857</v>
      </c>
    </row>
    <row r="17" spans="1:13" ht="29.1" customHeight="1">
      <c r="A17" s="45">
        <v>40909</v>
      </c>
      <c r="B17" s="46">
        <v>160</v>
      </c>
      <c r="C17" s="46">
        <v>44710</v>
      </c>
      <c r="D17" s="46">
        <f t="shared" si="2"/>
        <v>8121</v>
      </c>
      <c r="E17" s="46">
        <f t="shared" si="3"/>
        <v>2048063</v>
      </c>
      <c r="F17" s="140">
        <f t="shared" si="0"/>
        <v>31879</v>
      </c>
      <c r="G17" s="46"/>
      <c r="H17" s="47">
        <f t="shared" si="4"/>
        <v>35840</v>
      </c>
      <c r="I17" s="47">
        <v>128777</v>
      </c>
      <c r="J17" s="47">
        <f t="shared" si="5"/>
        <v>1967513</v>
      </c>
      <c r="K17" s="47">
        <f t="shared" si="6"/>
        <v>35840</v>
      </c>
      <c r="L17" s="140">
        <f t="shared" si="1"/>
        <v>80550</v>
      </c>
      <c r="M17" s="989"/>
    </row>
    <row r="18" spans="1:13" ht="29.1" customHeight="1">
      <c r="A18" s="45">
        <v>40940</v>
      </c>
      <c r="B18" s="46">
        <v>0</v>
      </c>
      <c r="C18" s="46">
        <v>0</v>
      </c>
      <c r="D18" s="46">
        <f t="shared" si="2"/>
        <v>8121</v>
      </c>
      <c r="E18" s="46">
        <f t="shared" si="3"/>
        <v>2048063</v>
      </c>
      <c r="F18" s="140">
        <f t="shared" si="0"/>
        <v>31879</v>
      </c>
      <c r="G18" s="46"/>
      <c r="H18" s="47">
        <f t="shared" si="4"/>
        <v>44710</v>
      </c>
      <c r="I18" s="47">
        <v>0</v>
      </c>
      <c r="J18" s="47">
        <f t="shared" si="5"/>
        <v>1967513</v>
      </c>
      <c r="K18" s="47">
        <f t="shared" si="6"/>
        <v>80550</v>
      </c>
      <c r="L18" s="140">
        <f t="shared" si="1"/>
        <v>80550</v>
      </c>
      <c r="M18" s="989" t="s">
        <v>2858</v>
      </c>
    </row>
    <row r="19" spans="1:13" ht="29.1" customHeight="1">
      <c r="A19" s="45">
        <v>40969</v>
      </c>
      <c r="B19" s="46">
        <v>530</v>
      </c>
      <c r="C19" s="46">
        <v>144360</v>
      </c>
      <c r="D19" s="46">
        <f t="shared" si="2"/>
        <v>8651</v>
      </c>
      <c r="E19" s="46">
        <f t="shared" si="3"/>
        <v>2192423</v>
      </c>
      <c r="F19" s="140">
        <f t="shared" si="0"/>
        <v>31349</v>
      </c>
      <c r="G19" s="46"/>
      <c r="H19" s="47">
        <f t="shared" si="4"/>
        <v>0</v>
      </c>
      <c r="I19" s="47">
        <v>80550</v>
      </c>
      <c r="J19" s="47">
        <f t="shared" si="5"/>
        <v>2048063</v>
      </c>
      <c r="K19" s="47">
        <f t="shared" si="6"/>
        <v>0</v>
      </c>
      <c r="L19" s="140">
        <f t="shared" si="1"/>
        <v>144360</v>
      </c>
      <c r="M19" s="989"/>
    </row>
    <row r="20" spans="1:13" ht="29.1" customHeight="1">
      <c r="A20" s="45">
        <v>41000</v>
      </c>
      <c r="B20" s="46">
        <v>323</v>
      </c>
      <c r="C20" s="46">
        <v>90673</v>
      </c>
      <c r="D20" s="46">
        <f t="shared" si="2"/>
        <v>8974</v>
      </c>
      <c r="E20" s="46">
        <f t="shared" si="3"/>
        <v>2283096</v>
      </c>
      <c r="F20" s="140">
        <f t="shared" si="0"/>
        <v>31026</v>
      </c>
      <c r="G20" s="46"/>
      <c r="H20" s="47">
        <f t="shared" si="4"/>
        <v>144360</v>
      </c>
      <c r="I20" s="47">
        <v>0</v>
      </c>
      <c r="J20" s="47">
        <f t="shared" si="5"/>
        <v>2048063</v>
      </c>
      <c r="K20" s="47">
        <f t="shared" si="6"/>
        <v>144360</v>
      </c>
      <c r="L20" s="140">
        <f t="shared" si="1"/>
        <v>235033</v>
      </c>
      <c r="M20" s="989" t="s">
        <v>2859</v>
      </c>
    </row>
    <row r="21" spans="1:13" ht="29.1" customHeight="1">
      <c r="A21" s="45">
        <v>41030</v>
      </c>
      <c r="B21" s="46">
        <v>169</v>
      </c>
      <c r="C21" s="46">
        <v>47489</v>
      </c>
      <c r="D21" s="46">
        <f t="shared" si="2"/>
        <v>9143</v>
      </c>
      <c r="E21" s="46">
        <f t="shared" si="3"/>
        <v>2330585</v>
      </c>
      <c r="F21" s="140">
        <f t="shared" si="0"/>
        <v>30857</v>
      </c>
      <c r="G21" s="46"/>
      <c r="H21" s="47">
        <f t="shared" si="4"/>
        <v>90673</v>
      </c>
      <c r="I21" s="47">
        <v>0</v>
      </c>
      <c r="J21" s="47">
        <f t="shared" si="5"/>
        <v>2048063</v>
      </c>
      <c r="K21" s="47">
        <f t="shared" si="6"/>
        <v>235033</v>
      </c>
      <c r="L21" s="140">
        <f t="shared" si="1"/>
        <v>282522</v>
      </c>
      <c r="M21" s="989"/>
    </row>
    <row r="22" spans="1:13" ht="29.1" customHeight="1">
      <c r="A22" s="45">
        <v>41061</v>
      </c>
      <c r="B22" s="46">
        <v>229</v>
      </c>
      <c r="C22" s="46">
        <v>64349</v>
      </c>
      <c r="D22" s="46">
        <f t="shared" si="2"/>
        <v>9372</v>
      </c>
      <c r="E22" s="46">
        <f t="shared" si="3"/>
        <v>2394934</v>
      </c>
      <c r="F22" s="140">
        <f t="shared" si="0"/>
        <v>30628</v>
      </c>
      <c r="G22" s="46"/>
      <c r="H22" s="47">
        <f t="shared" si="4"/>
        <v>47489</v>
      </c>
      <c r="I22" s="47">
        <v>200000</v>
      </c>
      <c r="J22" s="47">
        <f t="shared" si="5"/>
        <v>2248063</v>
      </c>
      <c r="K22" s="47">
        <f t="shared" si="6"/>
        <v>82522</v>
      </c>
      <c r="L22" s="140">
        <f t="shared" si="1"/>
        <v>146871</v>
      </c>
      <c r="M22" s="989"/>
    </row>
    <row r="23" spans="1:13" ht="29.1" customHeight="1">
      <c r="A23" s="45">
        <v>41091</v>
      </c>
      <c r="B23" s="46">
        <v>188</v>
      </c>
      <c r="C23" s="46">
        <v>59408</v>
      </c>
      <c r="D23" s="46">
        <f t="shared" si="2"/>
        <v>9560</v>
      </c>
      <c r="E23" s="46">
        <f t="shared" si="3"/>
        <v>2454342</v>
      </c>
      <c r="F23" s="140">
        <f t="shared" si="0"/>
        <v>30440</v>
      </c>
      <c r="G23" s="46"/>
      <c r="H23" s="47">
        <f t="shared" si="4"/>
        <v>64349</v>
      </c>
      <c r="I23" s="47">
        <v>0</v>
      </c>
      <c r="J23" s="47">
        <f t="shared" si="5"/>
        <v>2248063</v>
      </c>
      <c r="K23" s="47">
        <f t="shared" si="6"/>
        <v>146871</v>
      </c>
      <c r="L23" s="140">
        <f t="shared" si="1"/>
        <v>206279</v>
      </c>
      <c r="M23" s="989" t="s">
        <v>2860</v>
      </c>
    </row>
    <row r="24" spans="1:13" ht="29.1" customHeight="1">
      <c r="A24" s="45">
        <v>41122</v>
      </c>
      <c r="B24" s="46">
        <v>13</v>
      </c>
      <c r="C24" s="46">
        <v>2860</v>
      </c>
      <c r="D24" s="46">
        <f t="shared" si="2"/>
        <v>9573</v>
      </c>
      <c r="E24" s="46">
        <f t="shared" si="3"/>
        <v>2457202</v>
      </c>
      <c r="F24" s="140">
        <f t="shared" si="0"/>
        <v>30427</v>
      </c>
      <c r="G24" s="46"/>
      <c r="H24" s="47">
        <f t="shared" si="4"/>
        <v>59408</v>
      </c>
      <c r="I24" s="47">
        <f>6384+140487</f>
        <v>146871</v>
      </c>
      <c r="J24" s="47">
        <f t="shared" si="5"/>
        <v>2394934</v>
      </c>
      <c r="K24" s="47">
        <f t="shared" si="6"/>
        <v>59408</v>
      </c>
      <c r="L24" s="140">
        <f t="shared" si="1"/>
        <v>62268</v>
      </c>
      <c r="M24" s="989"/>
    </row>
    <row r="25" spans="1:13" ht="29.1" customHeight="1">
      <c r="A25" s="45">
        <v>41153</v>
      </c>
      <c r="B25" s="46">
        <v>305</v>
      </c>
      <c r="C25" s="46">
        <v>84390</v>
      </c>
      <c r="D25" s="46">
        <f t="shared" si="2"/>
        <v>9878</v>
      </c>
      <c r="E25" s="46">
        <f t="shared" si="3"/>
        <v>2541592</v>
      </c>
      <c r="F25" s="140">
        <f t="shared" si="0"/>
        <v>30122</v>
      </c>
      <c r="G25" s="46"/>
      <c r="H25" s="47">
        <f t="shared" si="4"/>
        <v>2860</v>
      </c>
      <c r="I25" s="47">
        <v>0</v>
      </c>
      <c r="J25" s="47">
        <f t="shared" si="5"/>
        <v>2394934</v>
      </c>
      <c r="K25" s="47">
        <f t="shared" si="6"/>
        <v>62268</v>
      </c>
      <c r="L25" s="140">
        <f t="shared" si="1"/>
        <v>146658</v>
      </c>
      <c r="M25" s="989"/>
    </row>
    <row r="26" spans="1:13" ht="29.1" customHeight="1">
      <c r="A26" s="45">
        <v>41183</v>
      </c>
      <c r="B26" s="46">
        <v>39.5</v>
      </c>
      <c r="C26" s="46">
        <v>10170</v>
      </c>
      <c r="D26" s="46">
        <f t="shared" si="2"/>
        <v>9917.5</v>
      </c>
      <c r="E26" s="46">
        <f t="shared" si="3"/>
        <v>2551762</v>
      </c>
      <c r="F26" s="140">
        <f t="shared" si="0"/>
        <v>30082.5</v>
      </c>
      <c r="G26" s="46"/>
      <c r="H26" s="47">
        <f t="shared" si="4"/>
        <v>84390</v>
      </c>
      <c r="I26" s="47">
        <v>0</v>
      </c>
      <c r="J26" s="47">
        <f t="shared" si="5"/>
        <v>2394934</v>
      </c>
      <c r="K26" s="47">
        <f t="shared" si="6"/>
        <v>146658</v>
      </c>
      <c r="L26" s="140">
        <f t="shared" si="1"/>
        <v>156828</v>
      </c>
      <c r="M26" s="989" t="s">
        <v>2861</v>
      </c>
    </row>
    <row r="27" spans="1:13" ht="30" customHeight="1">
      <c r="A27" s="45">
        <v>41214</v>
      </c>
      <c r="B27" s="46">
        <v>193.5</v>
      </c>
      <c r="C27" s="46">
        <v>47110</v>
      </c>
      <c r="D27" s="46">
        <f t="shared" si="2"/>
        <v>10111</v>
      </c>
      <c r="E27" s="46">
        <f t="shared" si="3"/>
        <v>2598872</v>
      </c>
      <c r="F27" s="140">
        <f t="shared" si="0"/>
        <v>29889</v>
      </c>
      <c r="G27" s="46"/>
      <c r="H27" s="47">
        <f t="shared" si="4"/>
        <v>10170</v>
      </c>
      <c r="I27" s="47">
        <f>62268+94560</f>
        <v>156828</v>
      </c>
      <c r="J27" s="47">
        <f t="shared" si="5"/>
        <v>2551762</v>
      </c>
      <c r="K27" s="47">
        <f t="shared" si="6"/>
        <v>0</v>
      </c>
      <c r="L27" s="140">
        <f t="shared" si="1"/>
        <v>47110</v>
      </c>
      <c r="M27" s="989" t="s">
        <v>2862</v>
      </c>
    </row>
    <row r="28" spans="1:13" ht="30" customHeight="1">
      <c r="A28" s="45">
        <v>41244</v>
      </c>
      <c r="B28" s="46">
        <v>1112.5</v>
      </c>
      <c r="C28" s="46">
        <v>299450</v>
      </c>
      <c r="D28" s="46">
        <f t="shared" si="2"/>
        <v>11223.5</v>
      </c>
      <c r="E28" s="46">
        <f t="shared" si="3"/>
        <v>2898322</v>
      </c>
      <c r="F28" s="140">
        <f t="shared" si="0"/>
        <v>28776.5</v>
      </c>
      <c r="G28" s="46"/>
      <c r="H28" s="47">
        <f t="shared" si="4"/>
        <v>47110</v>
      </c>
      <c r="I28" s="47">
        <v>0</v>
      </c>
      <c r="J28" s="47">
        <f t="shared" si="5"/>
        <v>2551762</v>
      </c>
      <c r="K28" s="47">
        <f t="shared" si="6"/>
        <v>47110</v>
      </c>
      <c r="L28" s="140">
        <f t="shared" si="1"/>
        <v>346560</v>
      </c>
      <c r="M28" s="989"/>
    </row>
    <row r="29" spans="1:13" ht="30" customHeight="1">
      <c r="A29" s="45">
        <v>41275</v>
      </c>
      <c r="B29" s="46">
        <v>2057.5</v>
      </c>
      <c r="C29" s="46">
        <v>551790</v>
      </c>
      <c r="D29" s="46">
        <f t="shared" si="2"/>
        <v>13281</v>
      </c>
      <c r="E29" s="46">
        <f t="shared" si="3"/>
        <v>3450112</v>
      </c>
      <c r="F29" s="140">
        <f t="shared" si="0"/>
        <v>26719</v>
      </c>
      <c r="G29" s="46"/>
      <c r="H29" s="47">
        <f t="shared" si="4"/>
        <v>299450</v>
      </c>
      <c r="I29" s="47">
        <v>0</v>
      </c>
      <c r="J29" s="47">
        <f t="shared" si="5"/>
        <v>2551762</v>
      </c>
      <c r="K29" s="47">
        <f t="shared" si="6"/>
        <v>346560</v>
      </c>
      <c r="L29" s="140">
        <f t="shared" si="1"/>
        <v>898350</v>
      </c>
      <c r="M29" s="989" t="s">
        <v>2863</v>
      </c>
    </row>
    <row r="30" spans="1:13" ht="30" customHeight="1">
      <c r="A30" s="45">
        <v>41306</v>
      </c>
      <c r="B30" s="46">
        <v>1019</v>
      </c>
      <c r="C30" s="46">
        <v>275250</v>
      </c>
      <c r="D30" s="46">
        <f t="shared" si="2"/>
        <v>14300</v>
      </c>
      <c r="E30" s="46">
        <f t="shared" si="3"/>
        <v>3725362</v>
      </c>
      <c r="F30" s="140">
        <f t="shared" si="0"/>
        <v>25700</v>
      </c>
      <c r="G30" s="46"/>
      <c r="H30" s="47">
        <f t="shared" si="4"/>
        <v>551790</v>
      </c>
      <c r="I30" s="47">
        <v>300000</v>
      </c>
      <c r="J30" s="47">
        <f t="shared" si="5"/>
        <v>2851762</v>
      </c>
      <c r="K30" s="47">
        <f t="shared" si="6"/>
        <v>598350</v>
      </c>
      <c r="L30" s="140">
        <f t="shared" si="1"/>
        <v>873600</v>
      </c>
      <c r="M30" s="989"/>
    </row>
    <row r="31" spans="1:13" ht="30" customHeight="1">
      <c r="A31" s="45">
        <v>41334</v>
      </c>
      <c r="B31" s="46">
        <v>1413</v>
      </c>
      <c r="C31" s="46">
        <v>392261</v>
      </c>
      <c r="D31" s="46">
        <f t="shared" si="2"/>
        <v>15713</v>
      </c>
      <c r="E31" s="46">
        <f t="shared" si="3"/>
        <v>4117623</v>
      </c>
      <c r="F31" s="140">
        <f t="shared" si="0"/>
        <v>24287</v>
      </c>
      <c r="G31" s="46"/>
      <c r="H31" s="47">
        <f t="shared" si="4"/>
        <v>275250</v>
      </c>
      <c r="I31" s="47">
        <v>0</v>
      </c>
      <c r="J31" s="47">
        <f t="shared" si="5"/>
        <v>2851762</v>
      </c>
      <c r="K31" s="47">
        <f t="shared" si="6"/>
        <v>873600</v>
      </c>
      <c r="L31" s="140">
        <f t="shared" si="1"/>
        <v>1265861</v>
      </c>
      <c r="M31" s="989" t="s">
        <v>2864</v>
      </c>
    </row>
    <row r="32" spans="1:13" ht="30" customHeight="1">
      <c r="A32" s="45">
        <v>41365</v>
      </c>
      <c r="B32" s="46">
        <v>1221.5</v>
      </c>
      <c r="C32" s="46">
        <v>320953</v>
      </c>
      <c r="D32" s="46">
        <f t="shared" si="2"/>
        <v>16934.5</v>
      </c>
      <c r="E32" s="46">
        <f t="shared" si="3"/>
        <v>4438576</v>
      </c>
      <c r="F32" s="140">
        <f t="shared" si="0"/>
        <v>23065.5</v>
      </c>
      <c r="G32" s="46"/>
      <c r="H32" s="47">
        <f t="shared" si="4"/>
        <v>392261</v>
      </c>
      <c r="I32" s="47">
        <v>300000</v>
      </c>
      <c r="J32" s="47">
        <f t="shared" si="5"/>
        <v>3151762</v>
      </c>
      <c r="K32" s="47">
        <f t="shared" si="6"/>
        <v>965861</v>
      </c>
      <c r="L32" s="140">
        <f t="shared" si="1"/>
        <v>1286814</v>
      </c>
      <c r="M32" s="989" t="s">
        <v>2865</v>
      </c>
    </row>
    <row r="33" spans="1:13" ht="30" customHeight="1">
      <c r="A33" s="45">
        <v>41395</v>
      </c>
      <c r="B33" s="46">
        <v>966</v>
      </c>
      <c r="C33" s="46">
        <v>254242</v>
      </c>
      <c r="D33" s="46">
        <f t="shared" si="2"/>
        <v>17900.5</v>
      </c>
      <c r="E33" s="46">
        <f t="shared" si="3"/>
        <v>4692818</v>
      </c>
      <c r="F33" s="140">
        <f t="shared" si="0"/>
        <v>22099.5</v>
      </c>
      <c r="G33" s="46"/>
      <c r="H33" s="47">
        <f t="shared" si="4"/>
        <v>320953</v>
      </c>
      <c r="I33" s="47">
        <f>573600</f>
        <v>573600</v>
      </c>
      <c r="J33" s="47">
        <f t="shared" si="5"/>
        <v>3725362</v>
      </c>
      <c r="K33" s="47">
        <f t="shared" si="6"/>
        <v>713214</v>
      </c>
      <c r="L33" s="140">
        <f t="shared" si="1"/>
        <v>967456</v>
      </c>
      <c r="M33" s="989" t="s">
        <v>2866</v>
      </c>
    </row>
    <row r="34" spans="1:13" ht="30" customHeight="1">
      <c r="A34" s="45">
        <v>41426</v>
      </c>
      <c r="B34" s="46">
        <v>1121</v>
      </c>
      <c r="C34" s="46">
        <v>292077</v>
      </c>
      <c r="D34" s="46">
        <f t="shared" si="2"/>
        <v>19021.5</v>
      </c>
      <c r="E34" s="46">
        <f t="shared" si="3"/>
        <v>4984895</v>
      </c>
      <c r="F34" s="140">
        <f t="shared" si="0"/>
        <v>20978.5</v>
      </c>
      <c r="G34" s="46"/>
      <c r="H34" s="47">
        <f t="shared" si="4"/>
        <v>254242</v>
      </c>
      <c r="I34" s="47">
        <v>0</v>
      </c>
      <c r="J34" s="47">
        <f t="shared" si="5"/>
        <v>3725362</v>
      </c>
      <c r="K34" s="47">
        <f t="shared" si="6"/>
        <v>967456</v>
      </c>
      <c r="L34" s="140">
        <f t="shared" si="1"/>
        <v>1259533</v>
      </c>
      <c r="M34" s="989" t="s">
        <v>2867</v>
      </c>
    </row>
    <row r="35" spans="1:13" ht="32.1" customHeight="1">
      <c r="A35" s="45">
        <v>41456</v>
      </c>
      <c r="B35" s="46">
        <v>739</v>
      </c>
      <c r="C35" s="46">
        <v>193883</v>
      </c>
      <c r="D35" s="46">
        <f t="shared" si="2"/>
        <v>19760.5</v>
      </c>
      <c r="E35" s="46">
        <f t="shared" si="3"/>
        <v>5178778</v>
      </c>
      <c r="F35" s="140">
        <f t="shared" si="0"/>
        <v>20239.5</v>
      </c>
      <c r="G35" s="46"/>
      <c r="H35" s="47">
        <f t="shared" si="4"/>
        <v>292077</v>
      </c>
      <c r="I35" s="47">
        <v>713214</v>
      </c>
      <c r="J35" s="47">
        <f t="shared" si="5"/>
        <v>4438576</v>
      </c>
      <c r="K35" s="47">
        <f t="shared" si="6"/>
        <v>546319</v>
      </c>
      <c r="L35" s="140">
        <f t="shared" si="1"/>
        <v>740202</v>
      </c>
      <c r="M35" s="989"/>
    </row>
    <row r="36" spans="1:13" ht="32.1" customHeight="1">
      <c r="A36" s="45">
        <v>41487</v>
      </c>
      <c r="B36" s="46">
        <v>1599</v>
      </c>
      <c r="C36" s="46">
        <v>429382</v>
      </c>
      <c r="D36" s="46">
        <f t="shared" si="2"/>
        <v>21359.5</v>
      </c>
      <c r="E36" s="46">
        <f t="shared" si="3"/>
        <v>5608160</v>
      </c>
      <c r="F36" s="140">
        <f t="shared" si="0"/>
        <v>18640.5</v>
      </c>
      <c r="G36" s="46"/>
      <c r="H36" s="47">
        <f t="shared" si="4"/>
        <v>193883</v>
      </c>
      <c r="I36" s="47">
        <f>254242+292077</f>
        <v>546319</v>
      </c>
      <c r="J36" s="47">
        <f t="shared" si="5"/>
        <v>4984895</v>
      </c>
      <c r="K36" s="47">
        <f t="shared" si="6"/>
        <v>193883</v>
      </c>
      <c r="L36" s="140">
        <f t="shared" si="1"/>
        <v>623265</v>
      </c>
      <c r="M36" s="989" t="s">
        <v>2868</v>
      </c>
    </row>
    <row r="37" spans="1:13" ht="32.1" customHeight="1">
      <c r="A37" s="45">
        <v>41518</v>
      </c>
      <c r="B37" s="46">
        <v>137</v>
      </c>
      <c r="C37" s="46">
        <v>36031</v>
      </c>
      <c r="D37" s="46">
        <f t="shared" si="2"/>
        <v>21496.5</v>
      </c>
      <c r="E37" s="46">
        <f t="shared" si="3"/>
        <v>5644191</v>
      </c>
      <c r="F37" s="140">
        <f t="shared" si="0"/>
        <v>18503.5</v>
      </c>
      <c r="G37" s="46"/>
      <c r="H37" s="47">
        <f t="shared" si="4"/>
        <v>429382</v>
      </c>
      <c r="I37" s="47">
        <v>0</v>
      </c>
      <c r="J37" s="47">
        <f t="shared" si="5"/>
        <v>4984895</v>
      </c>
      <c r="K37" s="47">
        <f t="shared" si="6"/>
        <v>623265</v>
      </c>
      <c r="L37" s="140">
        <f t="shared" si="1"/>
        <v>659296</v>
      </c>
      <c r="M37" s="989" t="s">
        <v>2869</v>
      </c>
    </row>
    <row r="38" spans="1:13" ht="32.1" customHeight="1">
      <c r="A38" s="45">
        <v>41548</v>
      </c>
      <c r="B38" s="46">
        <v>638.5</v>
      </c>
      <c r="C38" s="46">
        <v>221425.5</v>
      </c>
      <c r="D38" s="46">
        <f t="shared" si="2"/>
        <v>22135</v>
      </c>
      <c r="E38" s="46">
        <f t="shared" si="3"/>
        <v>5865616.5</v>
      </c>
      <c r="F38" s="140">
        <f t="shared" si="0"/>
        <v>17865</v>
      </c>
      <c r="G38" s="46"/>
      <c r="H38" s="47">
        <f t="shared" si="4"/>
        <v>36031</v>
      </c>
      <c r="I38" s="47">
        <v>193883</v>
      </c>
      <c r="J38" s="47">
        <f t="shared" si="5"/>
        <v>5178778</v>
      </c>
      <c r="K38" s="47">
        <f t="shared" si="6"/>
        <v>465413</v>
      </c>
      <c r="L38" s="140">
        <f t="shared" si="1"/>
        <v>686838.5</v>
      </c>
      <c r="M38" s="989" t="s">
        <v>2870</v>
      </c>
    </row>
    <row r="39" spans="1:13" ht="32.1" customHeight="1">
      <c r="A39" s="45">
        <v>41579</v>
      </c>
      <c r="B39" s="46">
        <v>924</v>
      </c>
      <c r="C39" s="46">
        <v>314817</v>
      </c>
      <c r="D39" s="46">
        <f t="shared" si="2"/>
        <v>23059</v>
      </c>
      <c r="E39" s="46">
        <f t="shared" si="3"/>
        <v>6180433.5</v>
      </c>
      <c r="F39" s="140">
        <f t="shared" si="0"/>
        <v>16941</v>
      </c>
      <c r="G39" s="46"/>
      <c r="H39" s="47">
        <f t="shared" si="4"/>
        <v>221425.5</v>
      </c>
      <c r="I39" s="47">
        <v>429382</v>
      </c>
      <c r="J39" s="47">
        <f t="shared" si="5"/>
        <v>5608160</v>
      </c>
      <c r="K39" s="47">
        <f t="shared" si="6"/>
        <v>257456.5</v>
      </c>
      <c r="L39" s="140">
        <f t="shared" si="1"/>
        <v>572273.5</v>
      </c>
      <c r="M39" s="989" t="s">
        <v>2871</v>
      </c>
    </row>
    <row r="40" spans="1:13" ht="32.1" customHeight="1">
      <c r="A40" s="45">
        <v>41609</v>
      </c>
      <c r="B40" s="46">
        <v>981</v>
      </c>
      <c r="C40" s="983">
        <v>322183</v>
      </c>
      <c r="D40" s="46">
        <f t="shared" si="2"/>
        <v>24040</v>
      </c>
      <c r="E40" s="46">
        <f t="shared" si="3"/>
        <v>6502616.5</v>
      </c>
      <c r="F40" s="140">
        <f t="shared" si="0"/>
        <v>15960</v>
      </c>
      <c r="G40" s="46"/>
      <c r="H40" s="47">
        <f t="shared" si="4"/>
        <v>314817</v>
      </c>
      <c r="I40" s="47">
        <v>257456</v>
      </c>
      <c r="J40" s="47">
        <f t="shared" si="5"/>
        <v>5865616</v>
      </c>
      <c r="K40" s="47">
        <f t="shared" si="6"/>
        <v>314817.5</v>
      </c>
      <c r="L40" s="140">
        <f t="shared" si="1"/>
        <v>637000.5</v>
      </c>
      <c r="M40" s="989" t="s">
        <v>2872</v>
      </c>
    </row>
    <row r="41" spans="1:13" ht="27.95" customHeight="1">
      <c r="A41" s="45">
        <v>41640</v>
      </c>
      <c r="B41" s="46">
        <v>907.5</v>
      </c>
      <c r="C41" s="46">
        <v>301752.5</v>
      </c>
      <c r="D41" s="46">
        <f t="shared" si="2"/>
        <v>24947.5</v>
      </c>
      <c r="E41" s="46">
        <f t="shared" si="3"/>
        <v>6804369</v>
      </c>
      <c r="F41" s="140">
        <f t="shared" si="0"/>
        <v>15052.5</v>
      </c>
      <c r="G41" s="46"/>
      <c r="H41" s="47">
        <f t="shared" si="4"/>
        <v>322183</v>
      </c>
      <c r="I41" s="47">
        <v>637000</v>
      </c>
      <c r="J41" s="47">
        <f t="shared" si="5"/>
        <v>6502616</v>
      </c>
      <c r="K41" s="47">
        <f t="shared" si="6"/>
        <v>0.5</v>
      </c>
      <c r="L41" s="140">
        <f t="shared" si="1"/>
        <v>301753</v>
      </c>
      <c r="M41" s="989" t="s">
        <v>2873</v>
      </c>
    </row>
    <row r="42" spans="1:13" ht="30.95" customHeight="1">
      <c r="A42" s="45">
        <v>41671</v>
      </c>
      <c r="B42" s="46">
        <v>21</v>
      </c>
      <c r="C42" s="46">
        <v>8043</v>
      </c>
      <c r="D42" s="46">
        <f t="shared" si="2"/>
        <v>24968.5</v>
      </c>
      <c r="E42" s="46">
        <f t="shared" si="3"/>
        <v>6812412</v>
      </c>
      <c r="F42" s="140">
        <f t="shared" si="0"/>
        <v>15031.5</v>
      </c>
      <c r="G42" s="46"/>
      <c r="H42" s="47">
        <f t="shared" si="4"/>
        <v>301752.5</v>
      </c>
      <c r="I42" s="47">
        <v>0</v>
      </c>
      <c r="J42" s="47">
        <f t="shared" si="5"/>
        <v>6502616</v>
      </c>
      <c r="K42" s="47">
        <f t="shared" si="6"/>
        <v>301753</v>
      </c>
      <c r="L42" s="140">
        <f t="shared" si="1"/>
        <v>309796</v>
      </c>
      <c r="M42" s="989"/>
    </row>
    <row r="43" spans="1:13" ht="30" customHeight="1">
      <c r="A43" s="45">
        <v>41699</v>
      </c>
      <c r="B43" s="46">
        <v>854.5</v>
      </c>
      <c r="C43" s="46">
        <v>271336</v>
      </c>
      <c r="D43" s="46">
        <f t="shared" si="2"/>
        <v>25823</v>
      </c>
      <c r="E43" s="46">
        <f t="shared" si="3"/>
        <v>7083748</v>
      </c>
      <c r="F43" s="140">
        <f t="shared" si="0"/>
        <v>14177</v>
      </c>
      <c r="G43" s="46"/>
      <c r="H43" s="47">
        <f t="shared" si="4"/>
        <v>8043</v>
      </c>
      <c r="I43" s="47">
        <v>0</v>
      </c>
      <c r="J43" s="47">
        <f t="shared" si="5"/>
        <v>6502616</v>
      </c>
      <c r="K43" s="47">
        <f t="shared" si="6"/>
        <v>309796</v>
      </c>
      <c r="L43" s="140">
        <f t="shared" si="1"/>
        <v>581132</v>
      </c>
      <c r="M43" s="989" t="s">
        <v>2874</v>
      </c>
    </row>
    <row r="44" spans="1:13" ht="30" customHeight="1">
      <c r="A44" s="188">
        <v>41730</v>
      </c>
      <c r="B44" s="180">
        <v>13</v>
      </c>
      <c r="C44" s="180">
        <v>4209</v>
      </c>
      <c r="D44" s="180">
        <f t="shared" si="2"/>
        <v>25836</v>
      </c>
      <c r="E44" s="180">
        <f t="shared" si="3"/>
        <v>7087957</v>
      </c>
      <c r="F44" s="200">
        <f t="shared" si="0"/>
        <v>14164</v>
      </c>
      <c r="G44" s="180"/>
      <c r="H44" s="181">
        <f t="shared" si="4"/>
        <v>271336</v>
      </c>
      <c r="I44" s="181">
        <v>309795.5</v>
      </c>
      <c r="J44" s="181">
        <f t="shared" si="5"/>
        <v>6812411.5</v>
      </c>
      <c r="K44" s="181">
        <f t="shared" si="6"/>
        <v>271336.5</v>
      </c>
      <c r="L44" s="200">
        <f t="shared" si="1"/>
        <v>275545.5</v>
      </c>
      <c r="M44" s="990"/>
    </row>
    <row r="45" spans="1:13" ht="30" customHeight="1">
      <c r="A45" s="984">
        <v>41760</v>
      </c>
      <c r="B45" s="251">
        <v>26</v>
      </c>
      <c r="C45" s="251">
        <v>8398</v>
      </c>
      <c r="D45" s="180">
        <f t="shared" si="2"/>
        <v>25862</v>
      </c>
      <c r="E45" s="180">
        <f t="shared" si="3"/>
        <v>7096355</v>
      </c>
      <c r="F45" s="200">
        <f t="shared" si="0"/>
        <v>14138</v>
      </c>
      <c r="G45" s="251"/>
      <c r="H45" s="555">
        <f t="shared" si="4"/>
        <v>4209</v>
      </c>
      <c r="I45" s="555">
        <v>0</v>
      </c>
      <c r="J45" s="181">
        <f t="shared" si="5"/>
        <v>6812411.5</v>
      </c>
      <c r="K45" s="555">
        <f t="shared" si="6"/>
        <v>275545.5</v>
      </c>
      <c r="L45" s="200">
        <f t="shared" si="1"/>
        <v>283943.5</v>
      </c>
      <c r="M45" s="991"/>
    </row>
    <row r="46" spans="1:13" ht="30" customHeight="1">
      <c r="A46" s="985">
        <v>41791</v>
      </c>
      <c r="B46" s="180">
        <v>889.5</v>
      </c>
      <c r="C46" s="180">
        <v>283381</v>
      </c>
      <c r="D46" s="180">
        <f t="shared" si="2"/>
        <v>26751.5</v>
      </c>
      <c r="E46" s="180">
        <f t="shared" si="3"/>
        <v>7379736</v>
      </c>
      <c r="F46" s="200">
        <f t="shared" si="0"/>
        <v>13248.5</v>
      </c>
      <c r="G46" s="180"/>
      <c r="H46" s="555">
        <f t="shared" si="4"/>
        <v>8398</v>
      </c>
      <c r="I46" s="181">
        <v>200000</v>
      </c>
      <c r="J46" s="181">
        <f t="shared" si="5"/>
        <v>7012411.5</v>
      </c>
      <c r="K46" s="555">
        <f t="shared" si="6"/>
        <v>83943.5</v>
      </c>
      <c r="L46" s="200">
        <f t="shared" si="1"/>
        <v>367324.5</v>
      </c>
      <c r="M46" s="990" t="s">
        <v>2875</v>
      </c>
    </row>
    <row r="47" spans="1:13" ht="30" customHeight="1">
      <c r="A47" s="986">
        <v>41821</v>
      </c>
      <c r="B47" s="340">
        <v>423</v>
      </c>
      <c r="C47" s="340">
        <v>134291.5</v>
      </c>
      <c r="D47" s="180">
        <f t="shared" si="2"/>
        <v>27174.5</v>
      </c>
      <c r="E47" s="180">
        <f t="shared" si="3"/>
        <v>7514027.5</v>
      </c>
      <c r="F47" s="200">
        <f t="shared" si="0"/>
        <v>12825.5</v>
      </c>
      <c r="G47" s="340"/>
      <c r="H47" s="555">
        <f t="shared" si="4"/>
        <v>283381</v>
      </c>
      <c r="I47" s="457">
        <v>150000</v>
      </c>
      <c r="J47" s="181">
        <f t="shared" si="5"/>
        <v>7162411.5</v>
      </c>
      <c r="K47" s="555">
        <f t="shared" si="6"/>
        <v>217324.5</v>
      </c>
      <c r="L47" s="200">
        <f t="shared" si="1"/>
        <v>351616</v>
      </c>
      <c r="M47" s="992" t="s">
        <v>2876</v>
      </c>
    </row>
    <row r="48" spans="1:13" ht="30" customHeight="1">
      <c r="A48" s="985">
        <v>41852</v>
      </c>
      <c r="B48" s="340">
        <v>272</v>
      </c>
      <c r="C48" s="340">
        <v>85126</v>
      </c>
      <c r="D48" s="180">
        <f t="shared" si="2"/>
        <v>27446.5</v>
      </c>
      <c r="E48" s="180">
        <f t="shared" si="3"/>
        <v>7599153.5</v>
      </c>
      <c r="F48" s="200">
        <f t="shared" si="0"/>
        <v>12553.5</v>
      </c>
      <c r="G48" s="340"/>
      <c r="H48" s="555">
        <f t="shared" si="4"/>
        <v>134291.5</v>
      </c>
      <c r="I48" s="457">
        <v>150000</v>
      </c>
      <c r="J48" s="181">
        <f t="shared" si="5"/>
        <v>7312411.5</v>
      </c>
      <c r="K48" s="181">
        <f t="shared" si="6"/>
        <v>201616</v>
      </c>
      <c r="L48" s="200">
        <f t="shared" si="1"/>
        <v>286742</v>
      </c>
      <c r="M48" s="993" t="s">
        <v>2877</v>
      </c>
    </row>
    <row r="49" spans="1:13" ht="30" customHeight="1">
      <c r="A49" s="986">
        <v>41883</v>
      </c>
      <c r="B49" s="340">
        <v>75</v>
      </c>
      <c r="C49" s="340">
        <v>23320</v>
      </c>
      <c r="D49" s="180">
        <f t="shared" si="2"/>
        <v>27521.5</v>
      </c>
      <c r="E49" s="180">
        <f t="shared" si="3"/>
        <v>7622473.5</v>
      </c>
      <c r="F49" s="200">
        <f t="shared" si="0"/>
        <v>12478.5</v>
      </c>
      <c r="G49" s="340"/>
      <c r="H49" s="181">
        <f t="shared" si="4"/>
        <v>85126</v>
      </c>
      <c r="I49" s="457"/>
      <c r="J49" s="181">
        <f t="shared" si="5"/>
        <v>7312411.5</v>
      </c>
      <c r="K49" s="181">
        <f t="shared" si="6"/>
        <v>286742</v>
      </c>
      <c r="L49" s="200">
        <f t="shared" si="1"/>
        <v>310062</v>
      </c>
      <c r="M49" s="993"/>
    </row>
    <row r="50" spans="1:13" ht="30" customHeight="1">
      <c r="A50" s="985">
        <v>41913</v>
      </c>
      <c r="B50" s="340">
        <v>84</v>
      </c>
      <c r="C50" s="340">
        <v>25982</v>
      </c>
      <c r="D50" s="180">
        <f t="shared" si="2"/>
        <v>27605.5</v>
      </c>
      <c r="E50" s="180">
        <f t="shared" si="3"/>
        <v>7648455.5</v>
      </c>
      <c r="F50" s="200">
        <f t="shared" si="0"/>
        <v>12394.5</v>
      </c>
      <c r="G50" s="340"/>
      <c r="H50" s="181">
        <f t="shared" si="4"/>
        <v>23320</v>
      </c>
      <c r="I50" s="457"/>
      <c r="J50" s="181">
        <f t="shared" si="5"/>
        <v>7312411.5</v>
      </c>
      <c r="K50" s="181">
        <f t="shared" si="6"/>
        <v>310062</v>
      </c>
      <c r="L50" s="200">
        <f t="shared" si="1"/>
        <v>336044</v>
      </c>
      <c r="M50" s="993"/>
    </row>
    <row r="51" spans="1:13" ht="33" customHeight="1">
      <c r="A51" s="986">
        <v>41944</v>
      </c>
      <c r="B51" s="340">
        <v>106.5</v>
      </c>
      <c r="C51" s="340">
        <v>33882</v>
      </c>
      <c r="D51" s="180">
        <f t="shared" si="2"/>
        <v>27712</v>
      </c>
      <c r="E51" s="180">
        <f t="shared" si="3"/>
        <v>7682337.5</v>
      </c>
      <c r="F51" s="200">
        <f t="shared" si="0"/>
        <v>12288</v>
      </c>
      <c r="G51" s="340"/>
      <c r="H51" s="181">
        <f t="shared" si="4"/>
        <v>25982</v>
      </c>
      <c r="I51" s="457"/>
      <c r="J51" s="181">
        <f t="shared" si="5"/>
        <v>7312411.5</v>
      </c>
      <c r="K51" s="181">
        <f t="shared" si="6"/>
        <v>336044</v>
      </c>
      <c r="L51" s="200">
        <f t="shared" si="1"/>
        <v>369926</v>
      </c>
      <c r="M51" s="993"/>
    </row>
    <row r="52" spans="1:13" ht="33" customHeight="1">
      <c r="A52" s="985">
        <v>41974</v>
      </c>
      <c r="B52" s="340">
        <v>64.5</v>
      </c>
      <c r="C52" s="340">
        <v>20531</v>
      </c>
      <c r="D52" s="180">
        <f t="shared" si="2"/>
        <v>27776.5</v>
      </c>
      <c r="E52" s="180">
        <f t="shared" si="3"/>
        <v>7702868.5</v>
      </c>
      <c r="F52" s="200">
        <f t="shared" si="0"/>
        <v>12223.5</v>
      </c>
      <c r="G52" s="340"/>
      <c r="H52" s="181">
        <f t="shared" si="4"/>
        <v>33882</v>
      </c>
      <c r="I52" s="457">
        <v>150000</v>
      </c>
      <c r="J52" s="181">
        <f t="shared" si="5"/>
        <v>7462411.5</v>
      </c>
      <c r="K52" s="181">
        <f t="shared" si="6"/>
        <v>219926</v>
      </c>
      <c r="L52" s="200">
        <f t="shared" si="1"/>
        <v>240457</v>
      </c>
      <c r="M52" s="993" t="s">
        <v>2878</v>
      </c>
    </row>
    <row r="53" spans="1:13" ht="33" customHeight="1">
      <c r="A53" s="986">
        <v>42005</v>
      </c>
      <c r="B53" s="340">
        <v>132.5</v>
      </c>
      <c r="C53" s="340">
        <v>42330</v>
      </c>
      <c r="D53" s="180">
        <f t="shared" si="2"/>
        <v>27909</v>
      </c>
      <c r="E53" s="180">
        <f t="shared" si="3"/>
        <v>7745198.5</v>
      </c>
      <c r="F53" s="200">
        <f t="shared" si="0"/>
        <v>12091</v>
      </c>
      <c r="G53" s="340"/>
      <c r="H53" s="181">
        <f t="shared" si="4"/>
        <v>20531</v>
      </c>
      <c r="I53" s="457"/>
      <c r="J53" s="181">
        <f t="shared" si="5"/>
        <v>7462411.5</v>
      </c>
      <c r="K53" s="181">
        <f t="shared" si="6"/>
        <v>240457</v>
      </c>
      <c r="L53" s="200">
        <f t="shared" si="1"/>
        <v>282787</v>
      </c>
      <c r="M53" s="993"/>
    </row>
    <row r="54" spans="1:13" ht="33" customHeight="1">
      <c r="A54" s="986">
        <v>42037</v>
      </c>
      <c r="B54" s="340">
        <v>0</v>
      </c>
      <c r="C54" s="340">
        <v>0</v>
      </c>
      <c r="D54" s="180">
        <f t="shared" si="2"/>
        <v>27909</v>
      </c>
      <c r="E54" s="180">
        <f t="shared" si="3"/>
        <v>7745198.5</v>
      </c>
      <c r="F54" s="200">
        <f t="shared" si="0"/>
        <v>12091</v>
      </c>
      <c r="G54" s="340"/>
      <c r="H54" s="181">
        <f t="shared" si="4"/>
        <v>42330</v>
      </c>
      <c r="I54" s="457">
        <f>200000</f>
        <v>200000</v>
      </c>
      <c r="J54" s="181">
        <f t="shared" si="5"/>
        <v>7662411.5</v>
      </c>
      <c r="K54" s="181">
        <f t="shared" si="6"/>
        <v>82787</v>
      </c>
      <c r="L54" s="200">
        <f t="shared" si="1"/>
        <v>82787</v>
      </c>
      <c r="M54" s="993" t="s">
        <v>2879</v>
      </c>
    </row>
    <row r="55" spans="1:13" ht="33" customHeight="1">
      <c r="A55" s="986">
        <v>42069</v>
      </c>
      <c r="B55" s="340">
        <v>0</v>
      </c>
      <c r="C55" s="340">
        <v>0</v>
      </c>
      <c r="D55" s="180">
        <f t="shared" si="2"/>
        <v>27909</v>
      </c>
      <c r="E55" s="180">
        <f t="shared" si="3"/>
        <v>7745198.5</v>
      </c>
      <c r="F55" s="200"/>
      <c r="G55" s="340"/>
      <c r="H55" s="181">
        <f t="shared" si="4"/>
        <v>0</v>
      </c>
      <c r="I55" s="457">
        <v>70786.5</v>
      </c>
      <c r="J55" s="181">
        <f t="shared" si="5"/>
        <v>7733198</v>
      </c>
      <c r="K55" s="181">
        <f t="shared" si="6"/>
        <v>12000.5</v>
      </c>
      <c r="L55" s="200">
        <f t="shared" si="1"/>
        <v>12000.5</v>
      </c>
      <c r="M55" s="993" t="s">
        <v>2880</v>
      </c>
    </row>
  </sheetData>
  <mergeCells count="14">
    <mergeCell ref="B3:C3"/>
    <mergeCell ref="B4:D4"/>
    <mergeCell ref="E4:G4"/>
    <mergeCell ref="H4:K4"/>
    <mergeCell ref="L4:M4"/>
    <mergeCell ref="B5:D5"/>
    <mergeCell ref="E5:I5"/>
    <mergeCell ref="J5:L5"/>
    <mergeCell ref="E1:G1"/>
    <mergeCell ref="I1:K1"/>
    <mergeCell ref="L1:M1"/>
    <mergeCell ref="B2:C2"/>
    <mergeCell ref="E2:G2"/>
    <mergeCell ref="I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1"/>
  <sheetViews>
    <sheetView topLeftCell="A52" zoomScaleSheetLayoutView="100" workbookViewId="0">
      <selection activeCell="A59" sqref="A59"/>
    </sheetView>
  </sheetViews>
  <sheetFormatPr defaultColWidth="9" defaultRowHeight="14.25"/>
  <cols>
    <col min="1" max="1" width="13.75" customWidth="1"/>
    <col min="2" max="2" width="10.625" customWidth="1"/>
    <col min="3" max="3" width="13.375" customWidth="1"/>
    <col min="4" max="4" width="15" customWidth="1"/>
    <col min="5" max="5" width="14.125" customWidth="1"/>
    <col min="6" max="6" width="12.375" customWidth="1"/>
    <col min="7" max="7" width="11.125" customWidth="1"/>
    <col min="8" max="8" width="13.5" customWidth="1"/>
    <col min="9" max="9" width="13.375" customWidth="1"/>
    <col min="10" max="10" width="12.125" customWidth="1"/>
    <col min="11" max="11" width="16.5" customWidth="1"/>
    <col min="12" max="12" width="12.875" customWidth="1"/>
    <col min="13" max="13" width="26.875" customWidth="1"/>
  </cols>
  <sheetData>
    <row r="1" spans="1:13" ht="71.099999999999994" customHeight="1">
      <c r="A1" s="349" t="s">
        <v>556</v>
      </c>
      <c r="B1" s="350"/>
      <c r="C1" s="377" t="s">
        <v>2881</v>
      </c>
      <c r="D1" s="350" t="s">
        <v>2882</v>
      </c>
      <c r="E1" s="497"/>
      <c r="F1" s="497"/>
      <c r="G1" s="2028"/>
      <c r="H1" s="2028"/>
      <c r="I1" s="306" t="s">
        <v>237</v>
      </c>
      <c r="J1" s="1777" t="s">
        <v>2883</v>
      </c>
      <c r="K1" s="1777"/>
      <c r="L1" s="1777" t="s">
        <v>2884</v>
      </c>
      <c r="M1" s="1801"/>
    </row>
    <row r="2" spans="1:13" ht="33" customHeight="1">
      <c r="A2" s="133" t="s">
        <v>240</v>
      </c>
      <c r="B2" s="1682" t="s">
        <v>1723</v>
      </c>
      <c r="C2" s="1682"/>
      <c r="D2" s="134" t="s">
        <v>242</v>
      </c>
      <c r="E2" s="1706" t="s">
        <v>1723</v>
      </c>
      <c r="F2" s="1706"/>
      <c r="G2" s="1706"/>
      <c r="H2" s="1706"/>
      <c r="I2" s="166" t="s">
        <v>243</v>
      </c>
      <c r="J2" s="2029" t="s">
        <v>2885</v>
      </c>
      <c r="K2" s="2029"/>
      <c r="L2" s="166" t="s">
        <v>245</v>
      </c>
      <c r="M2" s="205" t="s">
        <v>2886</v>
      </c>
    </row>
    <row r="3" spans="1:13" ht="33.950000000000003" customHeight="1">
      <c r="A3" s="133" t="s">
        <v>247</v>
      </c>
      <c r="B3" s="1682" t="s">
        <v>2887</v>
      </c>
      <c r="C3" s="1682"/>
      <c r="D3" s="134" t="s">
        <v>249</v>
      </c>
      <c r="E3" s="136" t="s">
        <v>305</v>
      </c>
      <c r="F3" s="134" t="s">
        <v>251</v>
      </c>
      <c r="G3" s="134" t="s">
        <v>2888</v>
      </c>
      <c r="H3" s="134" t="s">
        <v>252</v>
      </c>
      <c r="I3" s="206"/>
      <c r="J3" s="41" t="s">
        <v>565</v>
      </c>
      <c r="K3" s="15" t="s">
        <v>2889</v>
      </c>
      <c r="L3" s="15" t="s">
        <v>255</v>
      </c>
      <c r="M3" s="92" t="s">
        <v>2890</v>
      </c>
    </row>
    <row r="4" spans="1:13" ht="53.1" customHeight="1">
      <c r="A4" s="133" t="s">
        <v>260</v>
      </c>
      <c r="B4" s="1726" t="s">
        <v>2891</v>
      </c>
      <c r="C4" s="1726"/>
      <c r="D4" s="1726"/>
      <c r="E4" s="1726"/>
      <c r="F4" s="1726"/>
      <c r="G4" s="1726"/>
      <c r="H4" s="1726"/>
      <c r="I4" s="1726"/>
      <c r="J4" s="1697" t="s">
        <v>2892</v>
      </c>
      <c r="K4" s="1697"/>
      <c r="L4" s="1697"/>
      <c r="M4" s="170"/>
    </row>
    <row r="5" spans="1:13" ht="48" customHeight="1">
      <c r="A5" s="978" t="s">
        <v>570</v>
      </c>
      <c r="B5" s="694" t="s">
        <v>2893</v>
      </c>
      <c r="C5" s="694"/>
      <c r="D5" s="356"/>
      <c r="E5" s="356"/>
      <c r="F5" s="356"/>
      <c r="G5" s="1690"/>
      <c r="H5" s="1690"/>
      <c r="I5" s="1690"/>
      <c r="J5" s="169"/>
      <c r="K5" s="169"/>
      <c r="L5" s="169"/>
      <c r="M5" s="264"/>
    </row>
    <row r="6" spans="1:13" ht="38.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336">
        <v>41275</v>
      </c>
      <c r="B7" s="140">
        <v>1078</v>
      </c>
      <c r="C7" s="140">
        <v>295107.5</v>
      </c>
      <c r="D7" s="140">
        <f>B7</f>
        <v>1078</v>
      </c>
      <c r="E7" s="140">
        <f>C7</f>
        <v>295107.5</v>
      </c>
      <c r="F7" s="140">
        <f t="shared" ref="F7:F25" si="0">30000-D7</f>
        <v>28922</v>
      </c>
      <c r="G7" s="46"/>
      <c r="H7" s="141"/>
      <c r="I7" s="140"/>
      <c r="J7" s="140"/>
      <c r="K7" s="140"/>
      <c r="L7" s="140">
        <f t="shared" ref="L7:L58" si="1">E7-J7</f>
        <v>295107.5</v>
      </c>
      <c r="M7" s="171"/>
    </row>
    <row r="8" spans="1:13" ht="33" customHeight="1">
      <c r="A8" s="336">
        <v>41306</v>
      </c>
      <c r="B8" s="140">
        <v>2452</v>
      </c>
      <c r="C8" s="140">
        <v>674150</v>
      </c>
      <c r="D8" s="140">
        <f t="shared" ref="D8:D58" si="2">D7+B8</f>
        <v>3530</v>
      </c>
      <c r="E8" s="140">
        <f t="shared" ref="E8:E58" si="3">E7+C8</f>
        <v>969257.5</v>
      </c>
      <c r="F8" s="140">
        <f t="shared" si="0"/>
        <v>26470</v>
      </c>
      <c r="G8" s="46"/>
      <c r="H8" s="141">
        <f>C7</f>
        <v>295107.5</v>
      </c>
      <c r="I8" s="140"/>
      <c r="J8" s="140"/>
      <c r="K8" s="140">
        <f t="shared" ref="K8:K59" si="4">K7+H8-I8</f>
        <v>295107.5</v>
      </c>
      <c r="L8" s="140">
        <f t="shared" si="1"/>
        <v>969257.5</v>
      </c>
      <c r="M8" s="171" t="s">
        <v>2894</v>
      </c>
    </row>
    <row r="9" spans="1:13" ht="33" customHeight="1">
      <c r="A9" s="336">
        <v>41334</v>
      </c>
      <c r="B9" s="140">
        <v>3301.5</v>
      </c>
      <c r="C9" s="140">
        <v>907527.5</v>
      </c>
      <c r="D9" s="140">
        <f t="shared" si="2"/>
        <v>6831.5</v>
      </c>
      <c r="E9" s="140">
        <f t="shared" si="3"/>
        <v>1876785</v>
      </c>
      <c r="F9" s="140">
        <f t="shared" si="0"/>
        <v>23168.5</v>
      </c>
      <c r="G9" s="46"/>
      <c r="H9" s="141">
        <f>C8</f>
        <v>674150</v>
      </c>
      <c r="I9" s="337">
        <v>295107.5</v>
      </c>
      <c r="J9" s="140">
        <f t="shared" ref="J9:J58" si="5">J8+I9</f>
        <v>295107.5</v>
      </c>
      <c r="K9" s="140">
        <f t="shared" si="4"/>
        <v>674150</v>
      </c>
      <c r="L9" s="140">
        <f t="shared" si="1"/>
        <v>1581677.5</v>
      </c>
      <c r="M9" s="171" t="s">
        <v>2895</v>
      </c>
    </row>
    <row r="10" spans="1:13" ht="33" customHeight="1">
      <c r="A10" s="336">
        <v>41365</v>
      </c>
      <c r="B10" s="140">
        <v>983.5</v>
      </c>
      <c r="C10" s="140">
        <v>270087.5</v>
      </c>
      <c r="D10" s="140">
        <f t="shared" si="2"/>
        <v>7815</v>
      </c>
      <c r="E10" s="140">
        <f t="shared" si="3"/>
        <v>2146872.5</v>
      </c>
      <c r="F10" s="140">
        <f t="shared" si="0"/>
        <v>22185</v>
      </c>
      <c r="G10" s="46"/>
      <c r="H10" s="141">
        <f>C9</f>
        <v>907527.5</v>
      </c>
      <c r="I10" s="337">
        <f>907527.5+674150</f>
        <v>1581677.5</v>
      </c>
      <c r="J10" s="140">
        <f t="shared" si="5"/>
        <v>1876785</v>
      </c>
      <c r="K10" s="140">
        <f t="shared" si="4"/>
        <v>0</v>
      </c>
      <c r="L10" s="140">
        <f t="shared" si="1"/>
        <v>270087.5</v>
      </c>
      <c r="M10" s="171" t="s">
        <v>2896</v>
      </c>
    </row>
    <row r="11" spans="1:13" ht="33" customHeight="1">
      <c r="A11" s="336">
        <v>41395</v>
      </c>
      <c r="B11" s="140">
        <v>109.5</v>
      </c>
      <c r="C11" s="140">
        <v>30752.5</v>
      </c>
      <c r="D11" s="140">
        <f t="shared" si="2"/>
        <v>7924.5</v>
      </c>
      <c r="E11" s="140">
        <f t="shared" si="3"/>
        <v>2177625</v>
      </c>
      <c r="F11" s="140">
        <f t="shared" si="0"/>
        <v>22075.5</v>
      </c>
      <c r="G11" s="46"/>
      <c r="H11" s="141">
        <f t="shared" ref="H11:H21" si="6">C10</f>
        <v>270087.5</v>
      </c>
      <c r="I11" s="337">
        <v>270087.5</v>
      </c>
      <c r="J11" s="140">
        <f t="shared" si="5"/>
        <v>2146872.5</v>
      </c>
      <c r="K11" s="140">
        <f t="shared" si="4"/>
        <v>0</v>
      </c>
      <c r="L11" s="140">
        <f t="shared" si="1"/>
        <v>30752.5</v>
      </c>
      <c r="M11" s="171"/>
    </row>
    <row r="12" spans="1:13" ht="33" customHeight="1">
      <c r="A12" s="336">
        <v>41426</v>
      </c>
      <c r="B12" s="140">
        <v>1362.5</v>
      </c>
      <c r="C12" s="140">
        <v>388057.5</v>
      </c>
      <c r="D12" s="140">
        <f t="shared" si="2"/>
        <v>9287</v>
      </c>
      <c r="E12" s="140">
        <f t="shared" si="3"/>
        <v>2565682.5</v>
      </c>
      <c r="F12" s="140">
        <f t="shared" si="0"/>
        <v>20713</v>
      </c>
      <c r="G12" s="46"/>
      <c r="H12" s="141">
        <f t="shared" si="6"/>
        <v>30752.5</v>
      </c>
      <c r="I12" s="140"/>
      <c r="J12" s="140">
        <f t="shared" si="5"/>
        <v>2146872.5</v>
      </c>
      <c r="K12" s="140">
        <f t="shared" si="4"/>
        <v>30752.5</v>
      </c>
      <c r="L12" s="140">
        <f t="shared" si="1"/>
        <v>418810</v>
      </c>
      <c r="M12" s="171" t="s">
        <v>2897</v>
      </c>
    </row>
    <row r="13" spans="1:13" ht="33" customHeight="1">
      <c r="A13" s="336">
        <v>41456</v>
      </c>
      <c r="B13" s="140">
        <v>1781</v>
      </c>
      <c r="C13" s="140">
        <v>507040</v>
      </c>
      <c r="D13" s="140">
        <f t="shared" si="2"/>
        <v>11068</v>
      </c>
      <c r="E13" s="140">
        <f t="shared" si="3"/>
        <v>3072722.5</v>
      </c>
      <c r="F13" s="140">
        <f t="shared" si="0"/>
        <v>18932</v>
      </c>
      <c r="G13" s="46"/>
      <c r="H13" s="141">
        <f t="shared" si="6"/>
        <v>388057.5</v>
      </c>
      <c r="I13" s="337">
        <v>418810</v>
      </c>
      <c r="J13" s="140">
        <f t="shared" si="5"/>
        <v>2565682.5</v>
      </c>
      <c r="K13" s="140">
        <f t="shared" si="4"/>
        <v>0</v>
      </c>
      <c r="L13" s="140">
        <f t="shared" si="1"/>
        <v>507040</v>
      </c>
      <c r="M13" s="171"/>
    </row>
    <row r="14" spans="1:13" ht="33" customHeight="1">
      <c r="A14" s="336">
        <v>41487</v>
      </c>
      <c r="B14" s="140">
        <v>804.5</v>
      </c>
      <c r="C14" s="140">
        <v>227955</v>
      </c>
      <c r="D14" s="140">
        <f t="shared" si="2"/>
        <v>11872.5</v>
      </c>
      <c r="E14" s="140">
        <f t="shared" si="3"/>
        <v>3300677.5</v>
      </c>
      <c r="F14" s="140">
        <f t="shared" si="0"/>
        <v>18127.5</v>
      </c>
      <c r="G14" s="46"/>
      <c r="H14" s="141">
        <f t="shared" si="6"/>
        <v>507040</v>
      </c>
      <c r="I14" s="140"/>
      <c r="J14" s="140">
        <f t="shared" si="5"/>
        <v>2565682.5</v>
      </c>
      <c r="K14" s="140">
        <f t="shared" si="4"/>
        <v>507040</v>
      </c>
      <c r="L14" s="140">
        <f t="shared" si="1"/>
        <v>734995</v>
      </c>
      <c r="M14" s="171"/>
    </row>
    <row r="15" spans="1:13" ht="33" customHeight="1">
      <c r="A15" s="336">
        <v>41518</v>
      </c>
      <c r="B15" s="140">
        <v>501</v>
      </c>
      <c r="C15" s="140">
        <v>136115</v>
      </c>
      <c r="D15" s="140">
        <f t="shared" si="2"/>
        <v>12373.5</v>
      </c>
      <c r="E15" s="140">
        <f t="shared" si="3"/>
        <v>3436792.5</v>
      </c>
      <c r="F15" s="140">
        <f t="shared" si="0"/>
        <v>17626.5</v>
      </c>
      <c r="G15" s="46"/>
      <c r="H15" s="141">
        <f t="shared" si="6"/>
        <v>227955</v>
      </c>
      <c r="I15" s="140">
        <v>444767.5</v>
      </c>
      <c r="J15" s="140">
        <f t="shared" si="5"/>
        <v>3010450</v>
      </c>
      <c r="K15" s="140">
        <f t="shared" si="4"/>
        <v>290227.5</v>
      </c>
      <c r="L15" s="140">
        <f t="shared" si="1"/>
        <v>426342.5</v>
      </c>
      <c r="M15" s="171"/>
    </row>
    <row r="16" spans="1:13" ht="33" customHeight="1">
      <c r="A16" s="336">
        <v>41548</v>
      </c>
      <c r="B16" s="140">
        <v>785</v>
      </c>
      <c r="C16" s="140">
        <f>223885+34080</f>
        <v>257965</v>
      </c>
      <c r="D16" s="140">
        <f t="shared" si="2"/>
        <v>13158.5</v>
      </c>
      <c r="E16" s="140">
        <f t="shared" si="3"/>
        <v>3694757.5</v>
      </c>
      <c r="F16" s="140">
        <f t="shared" si="0"/>
        <v>16841.5</v>
      </c>
      <c r="G16" s="46"/>
      <c r="H16" s="141">
        <f t="shared" si="6"/>
        <v>136115</v>
      </c>
      <c r="I16" s="140">
        <v>227955</v>
      </c>
      <c r="J16" s="140">
        <f t="shared" si="5"/>
        <v>3238405</v>
      </c>
      <c r="K16" s="140">
        <f t="shared" si="4"/>
        <v>198387.5</v>
      </c>
      <c r="L16" s="140">
        <f t="shared" si="1"/>
        <v>456352.5</v>
      </c>
      <c r="M16" s="171" t="s">
        <v>2898</v>
      </c>
    </row>
    <row r="17" spans="1:13" ht="33" customHeight="1">
      <c r="A17" s="336">
        <v>41579</v>
      </c>
      <c r="B17" s="140">
        <v>530</v>
      </c>
      <c r="C17" s="140">
        <v>187490</v>
      </c>
      <c r="D17" s="140">
        <f t="shared" si="2"/>
        <v>13688.5</v>
      </c>
      <c r="E17" s="140">
        <f t="shared" si="3"/>
        <v>3882247.5</v>
      </c>
      <c r="F17" s="140">
        <f t="shared" si="0"/>
        <v>16311.5</v>
      </c>
      <c r="G17" s="46"/>
      <c r="H17" s="141">
        <f t="shared" si="6"/>
        <v>257965</v>
      </c>
      <c r="I17" s="140"/>
      <c r="J17" s="140">
        <f t="shared" si="5"/>
        <v>3238405</v>
      </c>
      <c r="K17" s="140">
        <f t="shared" si="4"/>
        <v>456352.5</v>
      </c>
      <c r="L17" s="140">
        <f t="shared" si="1"/>
        <v>643842.5</v>
      </c>
      <c r="M17" s="171" t="s">
        <v>2899</v>
      </c>
    </row>
    <row r="18" spans="1:13" ht="33" customHeight="1">
      <c r="A18" s="336">
        <v>41609</v>
      </c>
      <c r="B18" s="140">
        <v>515</v>
      </c>
      <c r="C18" s="140">
        <v>170670</v>
      </c>
      <c r="D18" s="140">
        <f t="shared" si="2"/>
        <v>14203.5</v>
      </c>
      <c r="E18" s="140">
        <f t="shared" si="3"/>
        <v>4052917.5</v>
      </c>
      <c r="F18" s="140">
        <f t="shared" si="0"/>
        <v>15796.5</v>
      </c>
      <c r="G18" s="46"/>
      <c r="H18" s="141">
        <f t="shared" si="6"/>
        <v>187490</v>
      </c>
      <c r="I18" s="140">
        <v>360000</v>
      </c>
      <c r="J18" s="140">
        <f t="shared" si="5"/>
        <v>3598405</v>
      </c>
      <c r="K18" s="140">
        <f t="shared" si="4"/>
        <v>283842.5</v>
      </c>
      <c r="L18" s="140">
        <f t="shared" si="1"/>
        <v>454512.5</v>
      </c>
      <c r="M18" s="171" t="s">
        <v>2900</v>
      </c>
    </row>
    <row r="19" spans="1:13" ht="33" customHeight="1">
      <c r="A19" s="336">
        <v>41640</v>
      </c>
      <c r="B19" s="140">
        <v>923</v>
      </c>
      <c r="C19" s="140">
        <v>307180</v>
      </c>
      <c r="D19" s="140">
        <f t="shared" si="2"/>
        <v>15126.5</v>
      </c>
      <c r="E19" s="140">
        <f t="shared" si="3"/>
        <v>4360097.5</v>
      </c>
      <c r="F19" s="140">
        <f t="shared" si="0"/>
        <v>14873.5</v>
      </c>
      <c r="G19" s="46"/>
      <c r="H19" s="141">
        <f t="shared" si="6"/>
        <v>170670</v>
      </c>
      <c r="I19" s="140">
        <v>454512.5</v>
      </c>
      <c r="J19" s="140">
        <f t="shared" si="5"/>
        <v>4052917.5</v>
      </c>
      <c r="K19" s="140">
        <f t="shared" si="4"/>
        <v>0</v>
      </c>
      <c r="L19" s="140">
        <f t="shared" si="1"/>
        <v>307180</v>
      </c>
      <c r="M19" s="171"/>
    </row>
    <row r="20" spans="1:13" ht="33" customHeight="1">
      <c r="A20" s="336">
        <v>41671</v>
      </c>
      <c r="B20" s="140">
        <v>222</v>
      </c>
      <c r="C20" s="140">
        <v>70990</v>
      </c>
      <c r="D20" s="140">
        <f t="shared" si="2"/>
        <v>15348.5</v>
      </c>
      <c r="E20" s="140">
        <f t="shared" si="3"/>
        <v>4431087.5</v>
      </c>
      <c r="F20" s="140">
        <f t="shared" si="0"/>
        <v>14651.5</v>
      </c>
      <c r="G20" s="46"/>
      <c r="H20" s="141">
        <f t="shared" si="6"/>
        <v>307180</v>
      </c>
      <c r="I20" s="140"/>
      <c r="J20" s="140">
        <f t="shared" si="5"/>
        <v>4052917.5</v>
      </c>
      <c r="K20" s="140">
        <f t="shared" si="4"/>
        <v>307180</v>
      </c>
      <c r="L20" s="140">
        <f t="shared" si="1"/>
        <v>378170</v>
      </c>
      <c r="M20" s="171"/>
    </row>
    <row r="21" spans="1:13" ht="33" customHeight="1">
      <c r="A21" s="336">
        <v>41699</v>
      </c>
      <c r="B21" s="140">
        <v>2185</v>
      </c>
      <c r="C21" s="140">
        <v>727600</v>
      </c>
      <c r="D21" s="140">
        <f t="shared" si="2"/>
        <v>17533.5</v>
      </c>
      <c r="E21" s="140">
        <f t="shared" si="3"/>
        <v>5158687.5</v>
      </c>
      <c r="F21" s="140">
        <f t="shared" si="0"/>
        <v>12466.5</v>
      </c>
      <c r="G21" s="46"/>
      <c r="H21" s="141">
        <f t="shared" si="6"/>
        <v>70990</v>
      </c>
      <c r="I21" s="140"/>
      <c r="J21" s="140">
        <f t="shared" si="5"/>
        <v>4052917.5</v>
      </c>
      <c r="K21" s="140">
        <f t="shared" si="4"/>
        <v>378170</v>
      </c>
      <c r="L21" s="140">
        <f t="shared" si="1"/>
        <v>1105770</v>
      </c>
      <c r="M21" s="171" t="s">
        <v>2901</v>
      </c>
    </row>
    <row r="22" spans="1:13" ht="33" customHeight="1">
      <c r="A22" s="199">
        <v>41730</v>
      </c>
      <c r="B22" s="200">
        <v>387.5</v>
      </c>
      <c r="C22" s="200">
        <v>123070</v>
      </c>
      <c r="D22" s="200">
        <f t="shared" si="2"/>
        <v>17921</v>
      </c>
      <c r="E22" s="200">
        <f t="shared" si="3"/>
        <v>5281757.5</v>
      </c>
      <c r="F22" s="200">
        <f t="shared" si="0"/>
        <v>12079</v>
      </c>
      <c r="G22" s="180"/>
      <c r="H22" s="201">
        <f t="shared" ref="H22:H58" si="7">C21</f>
        <v>727600</v>
      </c>
      <c r="I22" s="200">
        <v>378170</v>
      </c>
      <c r="J22" s="200">
        <f t="shared" si="5"/>
        <v>4431087.5</v>
      </c>
      <c r="K22" s="200">
        <f t="shared" si="4"/>
        <v>727600</v>
      </c>
      <c r="L22" s="200">
        <f t="shared" si="1"/>
        <v>850670</v>
      </c>
      <c r="M22" s="210"/>
    </row>
    <row r="23" spans="1:13" ht="33" customHeight="1">
      <c r="A23" s="202">
        <v>41760</v>
      </c>
      <c r="B23" s="200">
        <v>97</v>
      </c>
      <c r="C23" s="200">
        <v>31185</v>
      </c>
      <c r="D23" s="200">
        <f t="shared" si="2"/>
        <v>18018</v>
      </c>
      <c r="E23" s="200">
        <f t="shared" si="3"/>
        <v>5312942.5</v>
      </c>
      <c r="F23" s="200">
        <f t="shared" si="0"/>
        <v>11982</v>
      </c>
      <c r="G23" s="180"/>
      <c r="H23" s="201">
        <f t="shared" si="7"/>
        <v>123070</v>
      </c>
      <c r="I23" s="200">
        <v>727600</v>
      </c>
      <c r="J23" s="200">
        <f t="shared" si="5"/>
        <v>5158687.5</v>
      </c>
      <c r="K23" s="200">
        <f t="shared" si="4"/>
        <v>123070</v>
      </c>
      <c r="L23" s="200">
        <f t="shared" si="1"/>
        <v>154255</v>
      </c>
      <c r="M23" s="210" t="s">
        <v>2902</v>
      </c>
    </row>
    <row r="24" spans="1:13" ht="33" customHeight="1">
      <c r="A24" s="202">
        <v>41791</v>
      </c>
      <c r="B24" s="200">
        <v>579</v>
      </c>
      <c r="C24" s="200">
        <v>182720</v>
      </c>
      <c r="D24" s="200">
        <f t="shared" si="2"/>
        <v>18597</v>
      </c>
      <c r="E24" s="200">
        <f t="shared" si="3"/>
        <v>5495662.5</v>
      </c>
      <c r="F24" s="200">
        <f t="shared" si="0"/>
        <v>11403</v>
      </c>
      <c r="G24" s="180"/>
      <c r="H24" s="201">
        <f t="shared" si="7"/>
        <v>31185</v>
      </c>
      <c r="I24" s="200"/>
      <c r="J24" s="200">
        <f t="shared" si="5"/>
        <v>5158687.5</v>
      </c>
      <c r="K24" s="200">
        <f t="shared" si="4"/>
        <v>154255</v>
      </c>
      <c r="L24" s="200">
        <f t="shared" si="1"/>
        <v>336975</v>
      </c>
      <c r="M24" s="210"/>
    </row>
    <row r="25" spans="1:13" ht="33" customHeight="1">
      <c r="A25" s="202">
        <v>41822</v>
      </c>
      <c r="B25" s="200">
        <v>6740</v>
      </c>
      <c r="C25" s="200">
        <v>2313939</v>
      </c>
      <c r="D25" s="200">
        <f t="shared" si="2"/>
        <v>25337</v>
      </c>
      <c r="E25" s="200">
        <f t="shared" si="3"/>
        <v>7809601.5</v>
      </c>
      <c r="F25" s="200">
        <f t="shared" si="0"/>
        <v>4663</v>
      </c>
      <c r="G25" s="180"/>
      <c r="H25" s="201">
        <f t="shared" si="7"/>
        <v>182720</v>
      </c>
      <c r="I25" s="200">
        <v>154255</v>
      </c>
      <c r="J25" s="200">
        <f t="shared" si="5"/>
        <v>5312942.5</v>
      </c>
      <c r="K25" s="200">
        <f t="shared" si="4"/>
        <v>182720</v>
      </c>
      <c r="L25" s="200">
        <f t="shared" si="1"/>
        <v>2496659</v>
      </c>
      <c r="M25" s="210" t="s">
        <v>2903</v>
      </c>
    </row>
    <row r="26" spans="1:13" ht="33" customHeight="1">
      <c r="A26" s="202">
        <v>41853</v>
      </c>
      <c r="B26" s="338">
        <v>6088</v>
      </c>
      <c r="C26" s="338">
        <v>2082033</v>
      </c>
      <c r="D26" s="200">
        <f t="shared" si="2"/>
        <v>31425</v>
      </c>
      <c r="E26" s="200">
        <f t="shared" si="3"/>
        <v>9891634.5</v>
      </c>
      <c r="F26" s="200"/>
      <c r="G26" s="340"/>
      <c r="H26" s="201">
        <f t="shared" si="7"/>
        <v>2313939</v>
      </c>
      <c r="I26" s="338"/>
      <c r="J26" s="200">
        <f t="shared" si="5"/>
        <v>5312942.5</v>
      </c>
      <c r="K26" s="200">
        <f t="shared" si="4"/>
        <v>2496659</v>
      </c>
      <c r="L26" s="200">
        <f t="shared" si="1"/>
        <v>4578692</v>
      </c>
      <c r="M26" s="345"/>
    </row>
    <row r="27" spans="1:13" ht="39" customHeight="1">
      <c r="A27" s="202">
        <v>41884</v>
      </c>
      <c r="B27" s="338">
        <v>1757.5</v>
      </c>
      <c r="C27" s="338">
        <v>586696.5</v>
      </c>
      <c r="D27" s="200">
        <f t="shared" si="2"/>
        <v>33182.5</v>
      </c>
      <c r="E27" s="200">
        <f t="shared" si="3"/>
        <v>10478331</v>
      </c>
      <c r="F27" s="200"/>
      <c r="G27" s="340"/>
      <c r="H27" s="201">
        <f t="shared" si="7"/>
        <v>2082033</v>
      </c>
      <c r="I27" s="338">
        <f>230350.4+1510838</f>
        <v>1741188.4</v>
      </c>
      <c r="J27" s="200">
        <f t="shared" si="5"/>
        <v>7054130.9000000004</v>
      </c>
      <c r="K27" s="200">
        <f t="shared" si="4"/>
        <v>2837503.6</v>
      </c>
      <c r="L27" s="200">
        <f t="shared" si="1"/>
        <v>3424200.0999999996</v>
      </c>
      <c r="M27" s="345" t="s">
        <v>2904</v>
      </c>
    </row>
    <row r="28" spans="1:13" ht="33.950000000000003" customHeight="1">
      <c r="A28" s="202">
        <v>41914</v>
      </c>
      <c r="B28" s="338">
        <v>0</v>
      </c>
      <c r="C28" s="338">
        <v>0</v>
      </c>
      <c r="D28" s="200">
        <f t="shared" si="2"/>
        <v>33182.5</v>
      </c>
      <c r="E28" s="200">
        <f t="shared" si="3"/>
        <v>10478331</v>
      </c>
      <c r="F28" s="200"/>
      <c r="G28" s="340"/>
      <c r="H28" s="201">
        <f t="shared" si="7"/>
        <v>586696.5</v>
      </c>
      <c r="I28" s="338">
        <v>586696.5</v>
      </c>
      <c r="J28" s="200">
        <f t="shared" si="5"/>
        <v>7640827.4000000004</v>
      </c>
      <c r="K28" s="200">
        <f t="shared" si="4"/>
        <v>2837503.6</v>
      </c>
      <c r="L28" s="200">
        <f t="shared" si="1"/>
        <v>2837503.5999999996</v>
      </c>
      <c r="M28" s="345" t="s">
        <v>2905</v>
      </c>
    </row>
    <row r="29" spans="1:13" ht="39" customHeight="1">
      <c r="A29" s="202">
        <v>41945</v>
      </c>
      <c r="B29" s="338">
        <v>0</v>
      </c>
      <c r="C29" s="338">
        <v>0</v>
      </c>
      <c r="D29" s="200">
        <f t="shared" si="2"/>
        <v>33182.5</v>
      </c>
      <c r="E29" s="200">
        <f t="shared" si="3"/>
        <v>10478331</v>
      </c>
      <c r="F29" s="200"/>
      <c r="G29" s="340"/>
      <c r="H29" s="201">
        <f t="shared" si="7"/>
        <v>0</v>
      </c>
      <c r="I29" s="338"/>
      <c r="J29" s="200">
        <f t="shared" si="5"/>
        <v>7640827.4000000004</v>
      </c>
      <c r="K29" s="200">
        <f t="shared" si="4"/>
        <v>2837503.6</v>
      </c>
      <c r="L29" s="200">
        <f t="shared" si="1"/>
        <v>2837503.5999999996</v>
      </c>
      <c r="M29" s="216"/>
    </row>
    <row r="30" spans="1:13" ht="39" customHeight="1">
      <c r="A30" s="219">
        <v>42064</v>
      </c>
      <c r="B30" s="200">
        <v>878</v>
      </c>
      <c r="C30" s="200">
        <v>291690</v>
      </c>
      <c r="D30" s="200">
        <f t="shared" si="2"/>
        <v>34060.5</v>
      </c>
      <c r="E30" s="200">
        <f t="shared" si="3"/>
        <v>10770021</v>
      </c>
      <c r="F30" s="200"/>
      <c r="G30" s="180"/>
      <c r="H30" s="201">
        <f t="shared" si="7"/>
        <v>0</v>
      </c>
      <c r="I30" s="338">
        <v>837503.6</v>
      </c>
      <c r="J30" s="200">
        <f t="shared" si="5"/>
        <v>8478331</v>
      </c>
      <c r="K30" s="200">
        <f t="shared" si="4"/>
        <v>2000000</v>
      </c>
      <c r="L30" s="200">
        <f t="shared" si="1"/>
        <v>2291690</v>
      </c>
      <c r="M30" s="345" t="s">
        <v>2906</v>
      </c>
    </row>
    <row r="31" spans="1:13" ht="39" customHeight="1">
      <c r="A31" s="219">
        <v>42095</v>
      </c>
      <c r="B31" s="200">
        <v>3379</v>
      </c>
      <c r="C31" s="200">
        <v>1122498</v>
      </c>
      <c r="D31" s="200">
        <f t="shared" si="2"/>
        <v>37439.5</v>
      </c>
      <c r="E31" s="200">
        <f t="shared" si="3"/>
        <v>11892519</v>
      </c>
      <c r="F31" s="200"/>
      <c r="G31" s="180"/>
      <c r="H31" s="201">
        <f t="shared" si="7"/>
        <v>291690</v>
      </c>
      <c r="I31" s="338"/>
      <c r="J31" s="200">
        <f t="shared" si="5"/>
        <v>8478331</v>
      </c>
      <c r="K31" s="200">
        <f t="shared" si="4"/>
        <v>2291690</v>
      </c>
      <c r="L31" s="200">
        <f t="shared" si="1"/>
        <v>3414188</v>
      </c>
      <c r="M31" s="214"/>
    </row>
    <row r="32" spans="1:13" ht="39" customHeight="1">
      <c r="A32" s="219">
        <v>42125</v>
      </c>
      <c r="B32" s="200">
        <v>283.5</v>
      </c>
      <c r="C32" s="200">
        <v>94978</v>
      </c>
      <c r="D32" s="200">
        <f t="shared" si="2"/>
        <v>37723</v>
      </c>
      <c r="E32" s="200">
        <f t="shared" si="3"/>
        <v>11987497</v>
      </c>
      <c r="F32" s="200"/>
      <c r="G32" s="180"/>
      <c r="H32" s="201">
        <f t="shared" si="7"/>
        <v>1122498</v>
      </c>
      <c r="I32" s="200"/>
      <c r="J32" s="200">
        <f t="shared" si="5"/>
        <v>8478331</v>
      </c>
      <c r="K32" s="200">
        <f t="shared" si="4"/>
        <v>3414188</v>
      </c>
      <c r="L32" s="200">
        <f t="shared" si="1"/>
        <v>3509166</v>
      </c>
      <c r="M32" s="214"/>
    </row>
    <row r="33" spans="1:14" ht="39" customHeight="1">
      <c r="A33" s="219">
        <v>42156</v>
      </c>
      <c r="B33" s="200">
        <v>1598.5</v>
      </c>
      <c r="C33" s="200">
        <v>525971</v>
      </c>
      <c r="D33" s="200">
        <f t="shared" si="2"/>
        <v>39321.5</v>
      </c>
      <c r="E33" s="200">
        <f t="shared" si="3"/>
        <v>12513468</v>
      </c>
      <c r="F33" s="200"/>
      <c r="G33" s="180"/>
      <c r="H33" s="201">
        <f t="shared" si="7"/>
        <v>94978</v>
      </c>
      <c r="I33" s="200">
        <v>1500000</v>
      </c>
      <c r="J33" s="200">
        <f t="shared" si="5"/>
        <v>9978331</v>
      </c>
      <c r="K33" s="200">
        <f t="shared" si="4"/>
        <v>2009166</v>
      </c>
      <c r="L33" s="200">
        <f t="shared" si="1"/>
        <v>2535137</v>
      </c>
      <c r="M33" s="214" t="s">
        <v>2907</v>
      </c>
    </row>
    <row r="34" spans="1:14" ht="39" customHeight="1">
      <c r="A34" s="219">
        <v>42186</v>
      </c>
      <c r="B34" s="200">
        <v>1674</v>
      </c>
      <c r="C34" s="200">
        <v>553665</v>
      </c>
      <c r="D34" s="200">
        <f t="shared" si="2"/>
        <v>40995.5</v>
      </c>
      <c r="E34" s="200">
        <f t="shared" si="3"/>
        <v>13067133</v>
      </c>
      <c r="F34" s="200"/>
      <c r="G34" s="180"/>
      <c r="H34" s="201">
        <f t="shared" si="7"/>
        <v>525971</v>
      </c>
      <c r="I34" s="200"/>
      <c r="J34" s="200">
        <f t="shared" si="5"/>
        <v>9978331</v>
      </c>
      <c r="K34" s="200">
        <f t="shared" si="4"/>
        <v>2535137</v>
      </c>
      <c r="L34" s="200">
        <f t="shared" si="1"/>
        <v>3088802</v>
      </c>
      <c r="M34" s="185"/>
    </row>
    <row r="35" spans="1:14" ht="39" customHeight="1">
      <c r="A35" s="219">
        <v>42217</v>
      </c>
      <c r="B35" s="200">
        <v>2438.5</v>
      </c>
      <c r="C35" s="200">
        <v>803788</v>
      </c>
      <c r="D35" s="200">
        <f t="shared" si="2"/>
        <v>43434</v>
      </c>
      <c r="E35" s="200">
        <f t="shared" si="3"/>
        <v>13870921</v>
      </c>
      <c r="F35" s="200"/>
      <c r="G35" s="180"/>
      <c r="H35" s="201">
        <f t="shared" si="7"/>
        <v>553665</v>
      </c>
      <c r="I35" s="200">
        <v>496275</v>
      </c>
      <c r="J35" s="200">
        <f t="shared" si="5"/>
        <v>10474606</v>
      </c>
      <c r="K35" s="200">
        <f t="shared" si="4"/>
        <v>2592527</v>
      </c>
      <c r="L35" s="200">
        <f t="shared" si="1"/>
        <v>3396315</v>
      </c>
      <c r="M35" s="214" t="s">
        <v>2908</v>
      </c>
    </row>
    <row r="36" spans="1:14" ht="39" customHeight="1">
      <c r="A36" s="219">
        <v>42248</v>
      </c>
      <c r="B36" s="200">
        <v>1703</v>
      </c>
      <c r="C36" s="200">
        <v>561368</v>
      </c>
      <c r="D36" s="200">
        <f t="shared" si="2"/>
        <v>45137</v>
      </c>
      <c r="E36" s="200">
        <f t="shared" si="3"/>
        <v>14432289</v>
      </c>
      <c r="F36" s="200"/>
      <c r="G36" s="180"/>
      <c r="H36" s="201">
        <f t="shared" si="7"/>
        <v>803788</v>
      </c>
      <c r="I36" s="200">
        <v>968195.83</v>
      </c>
      <c r="J36" s="200">
        <f t="shared" si="5"/>
        <v>11442801.83</v>
      </c>
      <c r="K36" s="200">
        <f t="shared" si="4"/>
        <v>2428119.17</v>
      </c>
      <c r="L36" s="200">
        <f t="shared" si="1"/>
        <v>2989487.17</v>
      </c>
      <c r="M36" s="214" t="s">
        <v>2909</v>
      </c>
    </row>
    <row r="37" spans="1:14" ht="39" customHeight="1">
      <c r="A37" s="219">
        <v>42278</v>
      </c>
      <c r="B37" s="200">
        <v>388</v>
      </c>
      <c r="C37" s="200">
        <v>126825</v>
      </c>
      <c r="D37" s="200">
        <f t="shared" si="2"/>
        <v>45525</v>
      </c>
      <c r="E37" s="200">
        <f t="shared" si="3"/>
        <v>14559114</v>
      </c>
      <c r="F37" s="200"/>
      <c r="G37" s="180"/>
      <c r="H37" s="979">
        <f t="shared" si="7"/>
        <v>561368</v>
      </c>
      <c r="I37" s="200"/>
      <c r="J37" s="200">
        <f t="shared" si="5"/>
        <v>11442801.83</v>
      </c>
      <c r="K37" s="200">
        <f t="shared" si="4"/>
        <v>2989487.17</v>
      </c>
      <c r="L37" s="200">
        <f t="shared" si="1"/>
        <v>3116312.17</v>
      </c>
      <c r="M37" s="214"/>
    </row>
    <row r="38" spans="1:14" ht="39" customHeight="1">
      <c r="A38" s="219">
        <v>42309</v>
      </c>
      <c r="B38" s="200">
        <v>187</v>
      </c>
      <c r="C38" s="200">
        <v>61330</v>
      </c>
      <c r="D38" s="200">
        <f t="shared" si="2"/>
        <v>45712</v>
      </c>
      <c r="E38" s="200">
        <f t="shared" si="3"/>
        <v>14620444</v>
      </c>
      <c r="F38" s="200"/>
      <c r="G38" s="180"/>
      <c r="H38" s="201">
        <f t="shared" si="7"/>
        <v>126825</v>
      </c>
      <c r="I38" s="200"/>
      <c r="J38" s="200">
        <f t="shared" si="5"/>
        <v>11442801.83</v>
      </c>
      <c r="K38" s="200">
        <f t="shared" si="4"/>
        <v>3116312.17</v>
      </c>
      <c r="L38" s="200">
        <f t="shared" si="1"/>
        <v>3177642.17</v>
      </c>
      <c r="M38" s="214"/>
    </row>
    <row r="39" spans="1:14" ht="39" customHeight="1">
      <c r="A39" s="219">
        <v>42339</v>
      </c>
      <c r="B39" s="200">
        <v>231.5</v>
      </c>
      <c r="C39" s="200">
        <v>74125</v>
      </c>
      <c r="D39" s="200">
        <f t="shared" si="2"/>
        <v>45943.5</v>
      </c>
      <c r="E39" s="200">
        <f t="shared" si="3"/>
        <v>14694569</v>
      </c>
      <c r="F39" s="200"/>
      <c r="G39" s="180"/>
      <c r="H39" s="980">
        <f t="shared" si="7"/>
        <v>61330</v>
      </c>
      <c r="I39" s="200">
        <v>1500000</v>
      </c>
      <c r="J39" s="200">
        <f t="shared" si="5"/>
        <v>12942801.83</v>
      </c>
      <c r="K39" s="200">
        <f t="shared" si="4"/>
        <v>1677642.17</v>
      </c>
      <c r="L39" s="200">
        <f t="shared" si="1"/>
        <v>1751767.17</v>
      </c>
      <c r="M39" s="214" t="s">
        <v>2910</v>
      </c>
    </row>
    <row r="40" spans="1:14" ht="39" customHeight="1">
      <c r="A40" s="219">
        <v>42370</v>
      </c>
      <c r="B40" s="200">
        <v>236.5</v>
      </c>
      <c r="C40" s="200">
        <v>75225</v>
      </c>
      <c r="D40" s="200">
        <f t="shared" si="2"/>
        <v>46180</v>
      </c>
      <c r="E40" s="200">
        <f t="shared" si="3"/>
        <v>14769794</v>
      </c>
      <c r="F40" s="200"/>
      <c r="G40" s="180"/>
      <c r="H40" s="201">
        <f t="shared" si="7"/>
        <v>74125</v>
      </c>
      <c r="I40" s="200">
        <v>851767.17</v>
      </c>
      <c r="J40" s="200">
        <f t="shared" si="5"/>
        <v>13794569</v>
      </c>
      <c r="K40" s="200">
        <f t="shared" si="4"/>
        <v>899999.99999999988</v>
      </c>
      <c r="L40" s="200">
        <f t="shared" si="1"/>
        <v>975225</v>
      </c>
      <c r="M40" s="214" t="s">
        <v>2911</v>
      </c>
      <c r="N40" t="s">
        <v>2912</v>
      </c>
    </row>
    <row r="41" spans="1:14" ht="39" customHeight="1">
      <c r="A41" s="219">
        <v>42430</v>
      </c>
      <c r="B41" s="200">
        <v>164.5</v>
      </c>
      <c r="C41" s="200">
        <v>52330</v>
      </c>
      <c r="D41" s="200">
        <f t="shared" si="2"/>
        <v>46344.5</v>
      </c>
      <c r="E41" s="200">
        <f t="shared" si="3"/>
        <v>14822124</v>
      </c>
      <c r="F41" s="200"/>
      <c r="G41" s="180"/>
      <c r="H41" s="201">
        <f t="shared" si="7"/>
        <v>75225</v>
      </c>
      <c r="I41" s="200">
        <v>500000</v>
      </c>
      <c r="J41" s="200">
        <f t="shared" si="5"/>
        <v>14294569</v>
      </c>
      <c r="K41" s="200">
        <f t="shared" si="4"/>
        <v>475224.99999999988</v>
      </c>
      <c r="L41" s="200">
        <f t="shared" si="1"/>
        <v>527555</v>
      </c>
      <c r="M41" s="214"/>
    </row>
    <row r="42" spans="1:14" ht="39" customHeight="1">
      <c r="A42" s="219">
        <v>42461</v>
      </c>
      <c r="B42" s="200">
        <v>108.5</v>
      </c>
      <c r="C42" s="200">
        <v>35771</v>
      </c>
      <c r="D42" s="200">
        <f t="shared" si="2"/>
        <v>46453</v>
      </c>
      <c r="E42" s="200">
        <f t="shared" si="3"/>
        <v>14857895</v>
      </c>
      <c r="F42" s="200"/>
      <c r="G42" s="180"/>
      <c r="H42" s="201">
        <f t="shared" si="7"/>
        <v>52330</v>
      </c>
      <c r="I42" s="200"/>
      <c r="J42" s="200">
        <f t="shared" si="5"/>
        <v>14294569</v>
      </c>
      <c r="K42" s="200">
        <f t="shared" si="4"/>
        <v>527554.99999999988</v>
      </c>
      <c r="L42" s="200">
        <f t="shared" si="1"/>
        <v>563326</v>
      </c>
      <c r="M42" s="214" t="s">
        <v>2913</v>
      </c>
    </row>
    <row r="43" spans="1:14" ht="39" customHeight="1">
      <c r="A43" s="981">
        <v>42491</v>
      </c>
      <c r="B43" s="218">
        <v>1558</v>
      </c>
      <c r="C43" s="218">
        <v>529660</v>
      </c>
      <c r="D43" s="200">
        <f t="shared" si="2"/>
        <v>48011</v>
      </c>
      <c r="E43" s="200">
        <f t="shared" si="3"/>
        <v>15387555</v>
      </c>
      <c r="F43" s="200"/>
      <c r="G43" s="180"/>
      <c r="H43" s="201">
        <f t="shared" si="7"/>
        <v>35771</v>
      </c>
      <c r="I43" s="200"/>
      <c r="J43" s="200">
        <f t="shared" si="5"/>
        <v>14294569</v>
      </c>
      <c r="K43" s="200">
        <f t="shared" si="4"/>
        <v>563325.99999999988</v>
      </c>
      <c r="L43" s="200">
        <f t="shared" si="1"/>
        <v>1092986</v>
      </c>
      <c r="M43" s="214"/>
    </row>
    <row r="44" spans="1:14" ht="39" customHeight="1">
      <c r="A44" s="219">
        <v>42522</v>
      </c>
      <c r="B44" s="200">
        <v>984</v>
      </c>
      <c r="C44" s="200">
        <v>334560</v>
      </c>
      <c r="D44" s="200">
        <f t="shared" si="2"/>
        <v>48995</v>
      </c>
      <c r="E44" s="200">
        <f t="shared" si="3"/>
        <v>15722115</v>
      </c>
      <c r="F44" s="200"/>
      <c r="G44" s="180"/>
      <c r="H44" s="201">
        <f t="shared" si="7"/>
        <v>529660</v>
      </c>
      <c r="I44" s="200"/>
      <c r="J44" s="200">
        <f t="shared" si="5"/>
        <v>14294569</v>
      </c>
      <c r="K44" s="200">
        <f t="shared" si="4"/>
        <v>1092986</v>
      </c>
      <c r="L44" s="200">
        <f t="shared" si="1"/>
        <v>1427546</v>
      </c>
      <c r="M44" s="214"/>
    </row>
    <row r="45" spans="1:14" ht="39" customHeight="1">
      <c r="A45" s="219">
        <v>42552</v>
      </c>
      <c r="B45" s="200">
        <v>214.5</v>
      </c>
      <c r="C45" s="200">
        <v>70210</v>
      </c>
      <c r="D45" s="200">
        <f t="shared" si="2"/>
        <v>49209.5</v>
      </c>
      <c r="E45" s="200">
        <f t="shared" si="3"/>
        <v>15792325</v>
      </c>
      <c r="F45" s="200"/>
      <c r="G45" s="180"/>
      <c r="H45" s="201">
        <f t="shared" si="7"/>
        <v>334560</v>
      </c>
      <c r="I45" s="200">
        <f>334560+165440</f>
        <v>500000</v>
      </c>
      <c r="J45" s="200">
        <f t="shared" si="5"/>
        <v>14794569</v>
      </c>
      <c r="K45" s="200">
        <f t="shared" si="4"/>
        <v>927546</v>
      </c>
      <c r="L45" s="200">
        <f t="shared" si="1"/>
        <v>997756</v>
      </c>
      <c r="M45" s="214" t="s">
        <v>2914</v>
      </c>
    </row>
    <row r="46" spans="1:14" ht="39" customHeight="1">
      <c r="A46" s="219">
        <v>42583</v>
      </c>
      <c r="B46" s="200">
        <v>191</v>
      </c>
      <c r="C46" s="200">
        <v>64020</v>
      </c>
      <c r="D46" s="200">
        <f t="shared" si="2"/>
        <v>49400.5</v>
      </c>
      <c r="E46" s="200">
        <f t="shared" si="3"/>
        <v>15856345</v>
      </c>
      <c r="F46" s="200"/>
      <c r="G46" s="180"/>
      <c r="H46" s="201">
        <f t="shared" si="7"/>
        <v>70210</v>
      </c>
      <c r="I46" s="200"/>
      <c r="J46" s="200">
        <f t="shared" si="5"/>
        <v>14794569</v>
      </c>
      <c r="K46" s="200">
        <f t="shared" si="4"/>
        <v>997756</v>
      </c>
      <c r="L46" s="200">
        <f t="shared" si="1"/>
        <v>1061776</v>
      </c>
      <c r="M46" s="214" t="s">
        <v>2915</v>
      </c>
    </row>
    <row r="47" spans="1:14" ht="39" customHeight="1">
      <c r="A47" s="219">
        <v>42614</v>
      </c>
      <c r="B47" s="200">
        <v>188.5</v>
      </c>
      <c r="C47" s="200">
        <v>62306</v>
      </c>
      <c r="D47" s="200">
        <f t="shared" si="2"/>
        <v>49589</v>
      </c>
      <c r="E47" s="200">
        <f t="shared" si="3"/>
        <v>15918651</v>
      </c>
      <c r="F47" s="200"/>
      <c r="G47" s="180"/>
      <c r="H47" s="201">
        <f t="shared" si="7"/>
        <v>64020</v>
      </c>
      <c r="I47" s="200">
        <v>300000</v>
      </c>
      <c r="J47" s="200">
        <f t="shared" si="5"/>
        <v>15094569</v>
      </c>
      <c r="K47" s="200">
        <f t="shared" si="4"/>
        <v>761776</v>
      </c>
      <c r="L47" s="200">
        <f t="shared" si="1"/>
        <v>824082</v>
      </c>
      <c r="M47" s="214"/>
    </row>
    <row r="48" spans="1:14" ht="39" customHeight="1">
      <c r="A48" s="219">
        <v>42644</v>
      </c>
      <c r="B48" s="200">
        <v>288</v>
      </c>
      <c r="C48" s="200">
        <v>95234</v>
      </c>
      <c r="D48" s="200">
        <f t="shared" si="2"/>
        <v>49877</v>
      </c>
      <c r="E48" s="200">
        <f t="shared" si="3"/>
        <v>16013885</v>
      </c>
      <c r="F48" s="200"/>
      <c r="G48" s="180"/>
      <c r="H48" s="201">
        <f t="shared" si="7"/>
        <v>62306</v>
      </c>
      <c r="I48" s="200"/>
      <c r="J48" s="200">
        <f t="shared" si="5"/>
        <v>15094569</v>
      </c>
      <c r="K48" s="200">
        <f t="shared" si="4"/>
        <v>824082</v>
      </c>
      <c r="L48" s="200">
        <f t="shared" si="1"/>
        <v>919316</v>
      </c>
      <c r="M48" s="214"/>
    </row>
    <row r="49" spans="1:13" ht="39" customHeight="1">
      <c r="A49" s="219">
        <v>42675</v>
      </c>
      <c r="B49" s="200">
        <v>211.5</v>
      </c>
      <c r="C49" s="200">
        <v>68335</v>
      </c>
      <c r="D49" s="200">
        <f t="shared" si="2"/>
        <v>50088.5</v>
      </c>
      <c r="E49" s="200">
        <f t="shared" si="3"/>
        <v>16082220</v>
      </c>
      <c r="F49" s="200"/>
      <c r="G49" s="180"/>
      <c r="H49" s="201">
        <f t="shared" si="7"/>
        <v>95234</v>
      </c>
      <c r="I49" s="200"/>
      <c r="J49" s="200">
        <f t="shared" si="5"/>
        <v>15094569</v>
      </c>
      <c r="K49" s="200">
        <f t="shared" si="4"/>
        <v>919316</v>
      </c>
      <c r="L49" s="200">
        <f t="shared" si="1"/>
        <v>987651</v>
      </c>
      <c r="M49" s="214" t="s">
        <v>2916</v>
      </c>
    </row>
    <row r="50" spans="1:13" ht="39" customHeight="1">
      <c r="A50" s="219">
        <v>42705</v>
      </c>
      <c r="B50" s="200">
        <v>518.5</v>
      </c>
      <c r="C50" s="200">
        <v>174105</v>
      </c>
      <c r="D50" s="200">
        <f t="shared" si="2"/>
        <v>50607</v>
      </c>
      <c r="E50" s="200">
        <f t="shared" si="3"/>
        <v>16256325</v>
      </c>
      <c r="F50" s="200"/>
      <c r="G50" s="180"/>
      <c r="H50" s="201">
        <f t="shared" si="7"/>
        <v>68335</v>
      </c>
      <c r="I50" s="200">
        <v>500000</v>
      </c>
      <c r="J50" s="200">
        <f t="shared" si="5"/>
        <v>15594569</v>
      </c>
      <c r="K50" s="200">
        <f t="shared" si="4"/>
        <v>487651</v>
      </c>
      <c r="L50" s="200">
        <f t="shared" si="1"/>
        <v>661756</v>
      </c>
      <c r="M50" s="214" t="s">
        <v>2917</v>
      </c>
    </row>
    <row r="51" spans="1:13" ht="39" customHeight="1">
      <c r="A51" s="219">
        <v>42736</v>
      </c>
      <c r="B51" s="200">
        <v>42</v>
      </c>
      <c r="C51" s="200">
        <v>13615</v>
      </c>
      <c r="D51" s="200">
        <f t="shared" si="2"/>
        <v>50649</v>
      </c>
      <c r="E51" s="200">
        <f t="shared" si="3"/>
        <v>16269940</v>
      </c>
      <c r="F51" s="200"/>
      <c r="G51" s="180"/>
      <c r="H51" s="201">
        <f t="shared" si="7"/>
        <v>174105</v>
      </c>
      <c r="I51" s="200">
        <v>300000</v>
      </c>
      <c r="J51" s="200">
        <f t="shared" si="5"/>
        <v>15894569</v>
      </c>
      <c r="K51" s="200">
        <f t="shared" si="4"/>
        <v>361756</v>
      </c>
      <c r="L51" s="200">
        <f t="shared" si="1"/>
        <v>375371</v>
      </c>
      <c r="M51" s="214"/>
    </row>
    <row r="52" spans="1:13" ht="39" customHeight="1">
      <c r="A52" s="219">
        <v>42767</v>
      </c>
      <c r="B52" s="200">
        <v>198.5</v>
      </c>
      <c r="C52" s="200">
        <v>65415</v>
      </c>
      <c r="D52" s="200">
        <f t="shared" si="2"/>
        <v>50847.5</v>
      </c>
      <c r="E52" s="200">
        <f t="shared" si="3"/>
        <v>16335355</v>
      </c>
      <c r="F52" s="200"/>
      <c r="G52" s="180"/>
      <c r="H52" s="201">
        <f t="shared" si="7"/>
        <v>13615</v>
      </c>
      <c r="I52" s="200"/>
      <c r="J52" s="200">
        <f t="shared" si="5"/>
        <v>15894569</v>
      </c>
      <c r="K52" s="200">
        <f t="shared" si="4"/>
        <v>375371</v>
      </c>
      <c r="L52" s="200">
        <f t="shared" si="1"/>
        <v>440786</v>
      </c>
      <c r="M52" s="214"/>
    </row>
    <row r="53" spans="1:13" s="977" customFormat="1" ht="39" customHeight="1">
      <c r="A53" s="219">
        <v>42795</v>
      </c>
      <c r="B53" s="200">
        <v>709.5</v>
      </c>
      <c r="C53" s="200">
        <v>247310</v>
      </c>
      <c r="D53" s="200">
        <f t="shared" si="2"/>
        <v>51557</v>
      </c>
      <c r="E53" s="200">
        <f t="shared" si="3"/>
        <v>16582665</v>
      </c>
      <c r="F53" s="200"/>
      <c r="G53" s="180"/>
      <c r="H53" s="201">
        <f t="shared" si="7"/>
        <v>65415</v>
      </c>
      <c r="I53" s="200"/>
      <c r="J53" s="200">
        <f t="shared" si="5"/>
        <v>15894569</v>
      </c>
      <c r="K53" s="200">
        <f t="shared" si="4"/>
        <v>440786</v>
      </c>
      <c r="L53" s="200">
        <f t="shared" si="1"/>
        <v>688096</v>
      </c>
      <c r="M53" s="214" t="s">
        <v>2918</v>
      </c>
    </row>
    <row r="54" spans="1:13" ht="39" customHeight="1">
      <c r="A54" s="219">
        <v>42826</v>
      </c>
      <c r="B54" s="200">
        <v>402.5</v>
      </c>
      <c r="C54" s="200">
        <v>133790</v>
      </c>
      <c r="D54" s="200">
        <f t="shared" si="2"/>
        <v>51959.5</v>
      </c>
      <c r="E54" s="200">
        <f t="shared" si="3"/>
        <v>16716455</v>
      </c>
      <c r="F54" s="200"/>
      <c r="G54" s="180"/>
      <c r="H54" s="201">
        <f t="shared" si="7"/>
        <v>247310</v>
      </c>
      <c r="I54" s="200"/>
      <c r="J54" s="200">
        <f t="shared" si="5"/>
        <v>15894569</v>
      </c>
      <c r="K54" s="200">
        <f t="shared" si="4"/>
        <v>688096</v>
      </c>
      <c r="L54" s="200">
        <f t="shared" si="1"/>
        <v>821886</v>
      </c>
      <c r="M54" s="214"/>
    </row>
    <row r="55" spans="1:13" ht="39" customHeight="1">
      <c r="A55" s="219">
        <v>42856</v>
      </c>
      <c r="B55" s="200">
        <v>1139.5</v>
      </c>
      <c r="C55" s="200">
        <v>382145</v>
      </c>
      <c r="D55" s="200">
        <f t="shared" si="2"/>
        <v>53099</v>
      </c>
      <c r="E55" s="200">
        <f t="shared" si="3"/>
        <v>17098600</v>
      </c>
      <c r="F55" s="200"/>
      <c r="G55" s="180"/>
      <c r="H55" s="201">
        <f t="shared" si="7"/>
        <v>133790</v>
      </c>
      <c r="I55" s="200"/>
      <c r="J55" s="200">
        <f t="shared" si="5"/>
        <v>15894569</v>
      </c>
      <c r="K55" s="200">
        <f t="shared" si="4"/>
        <v>821886</v>
      </c>
      <c r="L55" s="200">
        <f t="shared" si="1"/>
        <v>1204031</v>
      </c>
      <c r="M55" s="214"/>
    </row>
    <row r="56" spans="1:13" ht="39" customHeight="1">
      <c r="A56" s="219">
        <v>42887</v>
      </c>
      <c r="B56" s="200">
        <v>548</v>
      </c>
      <c r="C56" s="200">
        <v>182075</v>
      </c>
      <c r="D56" s="200">
        <f t="shared" si="2"/>
        <v>53647</v>
      </c>
      <c r="E56" s="200">
        <f t="shared" si="3"/>
        <v>17280675</v>
      </c>
      <c r="F56" s="200"/>
      <c r="G56" s="180"/>
      <c r="H56" s="201">
        <f t="shared" si="7"/>
        <v>382145</v>
      </c>
      <c r="I56" s="200">
        <v>500000</v>
      </c>
      <c r="J56" s="200">
        <f t="shared" si="5"/>
        <v>16394569</v>
      </c>
      <c r="K56" s="200">
        <f t="shared" si="4"/>
        <v>704031</v>
      </c>
      <c r="L56" s="200">
        <f t="shared" si="1"/>
        <v>886106</v>
      </c>
      <c r="M56" s="214"/>
    </row>
    <row r="57" spans="1:13" ht="39" customHeight="1">
      <c r="A57" s="219">
        <v>42917</v>
      </c>
      <c r="B57" s="200">
        <v>123.5</v>
      </c>
      <c r="C57" s="200">
        <v>40430</v>
      </c>
      <c r="D57" s="200">
        <f t="shared" si="2"/>
        <v>53770.5</v>
      </c>
      <c r="E57" s="200">
        <f t="shared" si="3"/>
        <v>17321105</v>
      </c>
      <c r="F57" s="200"/>
      <c r="G57" s="180"/>
      <c r="H57" s="201">
        <f t="shared" si="7"/>
        <v>182075</v>
      </c>
      <c r="I57" s="200"/>
      <c r="J57" s="200">
        <f t="shared" si="5"/>
        <v>16394569</v>
      </c>
      <c r="K57" s="200">
        <f t="shared" si="4"/>
        <v>886106</v>
      </c>
      <c r="L57" s="200">
        <f t="shared" si="1"/>
        <v>926536</v>
      </c>
      <c r="M57" s="214"/>
    </row>
    <row r="58" spans="1:13" ht="39" customHeight="1">
      <c r="A58" s="219">
        <v>42948</v>
      </c>
      <c r="B58" s="200"/>
      <c r="C58" s="200"/>
      <c r="D58" s="200">
        <f t="shared" si="2"/>
        <v>53770.5</v>
      </c>
      <c r="E58" s="200">
        <f t="shared" si="3"/>
        <v>17321105</v>
      </c>
      <c r="F58" s="200"/>
      <c r="G58" s="180"/>
      <c r="H58" s="201">
        <f t="shared" si="7"/>
        <v>40430</v>
      </c>
      <c r="I58" s="200"/>
      <c r="J58" s="200">
        <f t="shared" si="5"/>
        <v>16394569</v>
      </c>
      <c r="K58" s="200">
        <f t="shared" si="4"/>
        <v>926536</v>
      </c>
      <c r="L58" s="200">
        <f t="shared" si="1"/>
        <v>926536</v>
      </c>
      <c r="M58" s="214"/>
    </row>
    <row r="59" spans="1:13" ht="39" customHeight="1">
      <c r="A59" s="219"/>
      <c r="B59" s="200"/>
      <c r="C59" s="200"/>
      <c r="D59" s="200"/>
      <c r="E59" s="200"/>
      <c r="F59" s="200"/>
      <c r="G59" s="180"/>
      <c r="H59" s="201"/>
      <c r="I59" s="200"/>
      <c r="J59" s="200"/>
      <c r="K59" s="200">
        <f t="shared" si="4"/>
        <v>926536</v>
      </c>
      <c r="L59" s="200"/>
      <c r="M59" s="214"/>
    </row>
    <row r="60" spans="1:13" ht="39" customHeight="1">
      <c r="A60" s="219"/>
      <c r="B60" s="200"/>
      <c r="C60" s="200"/>
      <c r="D60" s="200"/>
      <c r="E60" s="200"/>
      <c r="F60" s="200"/>
      <c r="G60" s="180"/>
      <c r="H60" s="201"/>
      <c r="I60" s="200"/>
      <c r="J60" s="200"/>
      <c r="K60" s="200"/>
      <c r="L60" s="200"/>
      <c r="M60" s="214"/>
    </row>
    <row r="61" spans="1:13" ht="39" customHeight="1">
      <c r="A61" s="219"/>
      <c r="B61" s="200"/>
      <c r="C61" s="200"/>
      <c r="D61" s="200"/>
      <c r="E61" s="200"/>
      <c r="F61" s="200"/>
      <c r="G61" s="180"/>
      <c r="H61" s="201"/>
      <c r="I61" s="200"/>
      <c r="J61" s="200"/>
      <c r="K61" s="200"/>
      <c r="L61" s="200"/>
      <c r="M61" s="214"/>
    </row>
  </sheetData>
  <mergeCells count="10">
    <mergeCell ref="B3:C3"/>
    <mergeCell ref="B4:I4"/>
    <mergeCell ref="J4:L4"/>
    <mergeCell ref="G5:I5"/>
    <mergeCell ref="G1:H1"/>
    <mergeCell ref="J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opLeftCell="A28" zoomScaleSheetLayoutView="100" workbookViewId="0">
      <selection activeCell="I32" sqref="I32"/>
    </sheetView>
  </sheetViews>
  <sheetFormatPr defaultColWidth="9" defaultRowHeight="14.25"/>
  <cols>
    <col min="1" max="1" width="15.5" customWidth="1"/>
    <col min="2" max="2" width="15.125" customWidth="1"/>
    <col min="3" max="3" width="15.625" customWidth="1"/>
    <col min="4" max="4" width="14.5" customWidth="1"/>
    <col min="5" max="5" width="15.125" customWidth="1"/>
    <col min="6" max="6" width="12" customWidth="1"/>
    <col min="7" max="7" width="15.5" customWidth="1"/>
    <col min="8" max="8" width="14.5" customWidth="1"/>
    <col min="9" max="9" width="13.125" customWidth="1"/>
    <col min="10" max="10" width="13.375" customWidth="1"/>
    <col min="11" max="11" width="15.75" customWidth="1"/>
    <col min="12" max="12" width="14.75" customWidth="1"/>
    <col min="13" max="13" width="27" customWidth="1"/>
  </cols>
  <sheetData>
    <row r="1" spans="1:13" ht="48.95" customHeight="1">
      <c r="A1" s="349" t="s">
        <v>556</v>
      </c>
      <c r="B1" s="350" t="s">
        <v>2919</v>
      </c>
      <c r="C1" s="351" t="s">
        <v>2920</v>
      </c>
      <c r="D1" s="968"/>
      <c r="E1" s="2030" t="s">
        <v>2921</v>
      </c>
      <c r="F1" s="2031"/>
      <c r="G1" s="2028"/>
      <c r="H1" s="2028"/>
      <c r="I1" s="306" t="s">
        <v>237</v>
      </c>
      <c r="J1" s="1777" t="s">
        <v>2922</v>
      </c>
      <c r="K1" s="1777"/>
      <c r="L1" s="1777" t="s">
        <v>2923</v>
      </c>
      <c r="M1" s="1801"/>
    </row>
    <row r="2" spans="1:13" ht="38.1" customHeight="1">
      <c r="A2" s="133" t="s">
        <v>240</v>
      </c>
      <c r="B2" s="1682" t="s">
        <v>2924</v>
      </c>
      <c r="C2" s="1682"/>
      <c r="D2" s="134" t="s">
        <v>242</v>
      </c>
      <c r="E2" s="1706" t="s">
        <v>2925</v>
      </c>
      <c r="F2" s="1706"/>
      <c r="G2" s="1706"/>
      <c r="H2" s="1706"/>
      <c r="I2" s="166" t="s">
        <v>243</v>
      </c>
      <c r="J2" s="2029" t="s">
        <v>2926</v>
      </c>
      <c r="K2" s="2029"/>
      <c r="L2" s="166" t="s">
        <v>245</v>
      </c>
      <c r="M2" s="205" t="s">
        <v>2927</v>
      </c>
    </row>
    <row r="3" spans="1:13" ht="45" customHeight="1">
      <c r="A3" s="133" t="s">
        <v>247</v>
      </c>
      <c r="B3" s="1682" t="s">
        <v>2928</v>
      </c>
      <c r="C3" s="1682"/>
      <c r="D3" s="134" t="s">
        <v>249</v>
      </c>
      <c r="E3" s="136" t="s">
        <v>2929</v>
      </c>
      <c r="F3" s="134" t="s">
        <v>251</v>
      </c>
      <c r="G3" s="134" t="s">
        <v>2930</v>
      </c>
      <c r="H3" s="134" t="s">
        <v>252</v>
      </c>
      <c r="I3" s="206" t="s">
        <v>2931</v>
      </c>
      <c r="J3" s="41" t="s">
        <v>565</v>
      </c>
      <c r="K3" s="15" t="s">
        <v>2932</v>
      </c>
      <c r="L3" s="15" t="s">
        <v>255</v>
      </c>
      <c r="M3" s="92" t="s">
        <v>2933</v>
      </c>
    </row>
    <row r="4" spans="1:13" ht="60.95" customHeight="1">
      <c r="A4" s="133" t="s">
        <v>260</v>
      </c>
      <c r="B4" s="2032" t="s">
        <v>2934</v>
      </c>
      <c r="C4" s="2033"/>
      <c r="D4" s="2033"/>
      <c r="E4" s="2033"/>
      <c r="F4" s="2033"/>
      <c r="G4" s="2033"/>
      <c r="H4" s="2034"/>
      <c r="I4" s="2035" t="s">
        <v>2935</v>
      </c>
      <c r="J4" s="2035"/>
      <c r="K4" s="2035"/>
      <c r="L4" s="2035"/>
      <c r="M4" s="975" t="s">
        <v>1854</v>
      </c>
    </row>
    <row r="5" spans="1:13" ht="36" customHeight="1">
      <c r="A5" s="1688" t="s">
        <v>660</v>
      </c>
      <c r="B5" s="1689"/>
      <c r="C5" s="1689"/>
      <c r="D5" s="1690"/>
      <c r="E5" s="1690"/>
      <c r="F5" s="1690"/>
      <c r="G5" s="1690"/>
      <c r="H5" s="1690"/>
      <c r="I5" s="1690"/>
      <c r="J5" s="169"/>
      <c r="K5" s="169"/>
      <c r="L5" s="169"/>
      <c r="M5" s="264"/>
    </row>
    <row r="6" spans="1:13" ht="36"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950000000000003" customHeight="1">
      <c r="A7" s="336">
        <v>41640</v>
      </c>
      <c r="B7" s="140">
        <v>194</v>
      </c>
      <c r="C7" s="140">
        <v>55678</v>
      </c>
      <c r="D7" s="140">
        <f>B7</f>
        <v>194</v>
      </c>
      <c r="E7" s="140">
        <f>C7</f>
        <v>55678</v>
      </c>
      <c r="F7" s="140"/>
      <c r="G7" s="46"/>
      <c r="H7" s="141"/>
      <c r="I7" s="140"/>
      <c r="J7" s="140"/>
      <c r="K7" s="140"/>
      <c r="L7" s="140">
        <f t="shared" ref="L7:L32" si="0">E7-J7</f>
        <v>55678</v>
      </c>
      <c r="M7" s="171"/>
    </row>
    <row r="8" spans="1:13" ht="33.950000000000003" customHeight="1">
      <c r="A8" s="336">
        <v>41671</v>
      </c>
      <c r="B8" s="140">
        <v>86</v>
      </c>
      <c r="C8" s="140">
        <v>24682</v>
      </c>
      <c r="D8" s="140">
        <f t="shared" ref="D8:D32" si="1">D7+B8</f>
        <v>280</v>
      </c>
      <c r="E8" s="140">
        <v>80360</v>
      </c>
      <c r="F8" s="140"/>
      <c r="G8" s="46"/>
      <c r="H8" s="141"/>
      <c r="I8" s="140"/>
      <c r="J8" s="140"/>
      <c r="K8" s="140"/>
      <c r="L8" s="140">
        <f t="shared" si="0"/>
        <v>80360</v>
      </c>
      <c r="M8" s="171"/>
    </row>
    <row r="9" spans="1:13" ht="33.950000000000003" customHeight="1">
      <c r="A9" s="724">
        <v>41699</v>
      </c>
      <c r="B9" s="612">
        <v>42</v>
      </c>
      <c r="C9" s="612">
        <v>12054</v>
      </c>
      <c r="D9" s="140">
        <f t="shared" si="1"/>
        <v>322</v>
      </c>
      <c r="E9" s="140">
        <f t="shared" ref="E9:E32" si="2">E8+C9</f>
        <v>92414</v>
      </c>
      <c r="F9" s="612"/>
      <c r="G9" s="128"/>
      <c r="H9" s="969"/>
      <c r="I9" s="612"/>
      <c r="J9" s="612"/>
      <c r="K9" s="612"/>
      <c r="L9" s="140">
        <f t="shared" si="0"/>
        <v>92414</v>
      </c>
      <c r="M9" s="740"/>
    </row>
    <row r="10" spans="1:13" ht="33.950000000000003" customHeight="1">
      <c r="A10" s="724">
        <v>41730</v>
      </c>
      <c r="B10" s="612">
        <v>0</v>
      </c>
      <c r="C10" s="140">
        <v>0</v>
      </c>
      <c r="D10" s="140">
        <f t="shared" si="1"/>
        <v>322</v>
      </c>
      <c r="E10" s="140">
        <f t="shared" si="2"/>
        <v>92414</v>
      </c>
      <c r="F10" s="140"/>
      <c r="G10" s="46"/>
      <c r="H10" s="141"/>
      <c r="I10" s="612">
        <v>92414</v>
      </c>
      <c r="J10" s="612">
        <f t="shared" ref="J10:J32" si="3">J9+I10</f>
        <v>92414</v>
      </c>
      <c r="K10" s="612"/>
      <c r="L10" s="140">
        <f t="shared" si="0"/>
        <v>0</v>
      </c>
      <c r="M10" s="740" t="s">
        <v>2936</v>
      </c>
    </row>
    <row r="11" spans="1:13" ht="33.950000000000003" customHeight="1">
      <c r="A11" s="724">
        <v>41760</v>
      </c>
      <c r="B11" s="612">
        <v>261</v>
      </c>
      <c r="C11" s="140">
        <v>84505</v>
      </c>
      <c r="D11" s="140">
        <f t="shared" si="1"/>
        <v>583</v>
      </c>
      <c r="E11" s="140">
        <f t="shared" si="2"/>
        <v>176919</v>
      </c>
      <c r="F11" s="140"/>
      <c r="G11" s="46">
        <f>C11*0.5</f>
        <v>42252.5</v>
      </c>
      <c r="H11" s="141"/>
      <c r="I11" s="612"/>
      <c r="J11" s="612">
        <f t="shared" si="3"/>
        <v>92414</v>
      </c>
      <c r="K11" s="612">
        <f t="shared" ref="K11:K32" si="4">K10+H11-I11</f>
        <v>0</v>
      </c>
      <c r="L11" s="140">
        <f t="shared" si="0"/>
        <v>84505</v>
      </c>
      <c r="M11" s="740"/>
    </row>
    <row r="12" spans="1:13" ht="33.950000000000003" customHeight="1">
      <c r="A12" s="915">
        <v>41791</v>
      </c>
      <c r="B12" s="338">
        <v>402</v>
      </c>
      <c r="C12" s="200">
        <v>124306</v>
      </c>
      <c r="D12" s="200">
        <f t="shared" si="1"/>
        <v>985</v>
      </c>
      <c r="E12" s="200">
        <f t="shared" si="2"/>
        <v>301225</v>
      </c>
      <c r="F12" s="200"/>
      <c r="G12" s="180">
        <f>C11*0.5+C12*0.5</f>
        <v>104405.5</v>
      </c>
      <c r="H12" s="201">
        <f>C11*0.5</f>
        <v>42252.5</v>
      </c>
      <c r="I12" s="200"/>
      <c r="J12" s="338">
        <f t="shared" si="3"/>
        <v>92414</v>
      </c>
      <c r="K12" s="338">
        <f t="shared" si="4"/>
        <v>42252.5</v>
      </c>
      <c r="L12" s="200">
        <f t="shared" si="0"/>
        <v>208811</v>
      </c>
      <c r="M12" s="345"/>
    </row>
    <row r="13" spans="1:13" ht="33.950000000000003" customHeight="1">
      <c r="A13" s="915">
        <v>41822</v>
      </c>
      <c r="B13" s="338">
        <f>3638</f>
        <v>3638</v>
      </c>
      <c r="C13" s="200">
        <v>1248453</v>
      </c>
      <c r="D13" s="200">
        <f t="shared" si="1"/>
        <v>4623</v>
      </c>
      <c r="E13" s="200">
        <f t="shared" si="2"/>
        <v>1549678</v>
      </c>
      <c r="F13" s="200"/>
      <c r="G13" s="180">
        <f>C11*0.5+C12*0.5+C13*0.5</f>
        <v>728632</v>
      </c>
      <c r="H13" s="201">
        <f>C12*0.5</f>
        <v>62153</v>
      </c>
      <c r="I13" s="200">
        <v>728632</v>
      </c>
      <c r="J13" s="338">
        <f t="shared" si="3"/>
        <v>821046</v>
      </c>
      <c r="K13" s="338">
        <f t="shared" si="4"/>
        <v>-624226.5</v>
      </c>
      <c r="L13" s="200">
        <f t="shared" si="0"/>
        <v>728632</v>
      </c>
      <c r="M13" s="345" t="s">
        <v>2937</v>
      </c>
    </row>
    <row r="14" spans="1:13" ht="33.950000000000003" customHeight="1">
      <c r="A14" s="915">
        <v>41852</v>
      </c>
      <c r="B14" s="338">
        <v>6151.5</v>
      </c>
      <c r="C14" s="213">
        <v>1898584.5</v>
      </c>
      <c r="D14" s="200">
        <f t="shared" si="1"/>
        <v>10774.5</v>
      </c>
      <c r="E14" s="200">
        <f t="shared" si="2"/>
        <v>3448262.5</v>
      </c>
      <c r="F14" s="200"/>
      <c r="G14" s="180">
        <f>C11*0.5+C12*0.5+C13*0.5+C14*0.5</f>
        <v>1677924.25</v>
      </c>
      <c r="H14" s="201">
        <f>C13*0.5</f>
        <v>624226.5</v>
      </c>
      <c r="I14" s="338"/>
      <c r="J14" s="338">
        <f t="shared" si="3"/>
        <v>821046</v>
      </c>
      <c r="K14" s="338">
        <f t="shared" si="4"/>
        <v>0</v>
      </c>
      <c r="L14" s="200">
        <f t="shared" si="0"/>
        <v>2627216.5</v>
      </c>
      <c r="M14" s="345"/>
    </row>
    <row r="15" spans="1:13" ht="33.950000000000003" customHeight="1">
      <c r="A15" s="915">
        <v>41883</v>
      </c>
      <c r="B15" s="338">
        <v>6204.5</v>
      </c>
      <c r="C15" s="494">
        <v>2138976.5</v>
      </c>
      <c r="D15" s="200">
        <f t="shared" si="1"/>
        <v>16979</v>
      </c>
      <c r="E15" s="200">
        <f t="shared" si="2"/>
        <v>5587239</v>
      </c>
      <c r="F15" s="213"/>
      <c r="G15" s="180">
        <f>C11*0.5+C12*0.5+C13*0.5+C14*0.5+C15*0.5</f>
        <v>2747412.5</v>
      </c>
      <c r="H15" s="201">
        <f>C14*0.5</f>
        <v>949292.25</v>
      </c>
      <c r="I15" s="200">
        <v>949292</v>
      </c>
      <c r="J15" s="338">
        <f t="shared" si="3"/>
        <v>1770338</v>
      </c>
      <c r="K15" s="200">
        <f t="shared" si="4"/>
        <v>0.25</v>
      </c>
      <c r="L15" s="200">
        <f t="shared" si="0"/>
        <v>3816901</v>
      </c>
      <c r="M15" s="963" t="s">
        <v>2938</v>
      </c>
    </row>
    <row r="16" spans="1:13" ht="30.95" customHeight="1">
      <c r="A16" s="199">
        <v>41913</v>
      </c>
      <c r="B16" s="200">
        <v>2429.5</v>
      </c>
      <c r="C16" s="970">
        <v>829258</v>
      </c>
      <c r="D16" s="200">
        <f t="shared" si="1"/>
        <v>19408.5</v>
      </c>
      <c r="E16" s="200">
        <f t="shared" si="2"/>
        <v>6416497</v>
      </c>
      <c r="F16" s="213"/>
      <c r="G16" s="251">
        <f>C11*0.5+C12*0.5+C13*0.5+C14*0.5+C15*0.5+C16*0.3</f>
        <v>2996189.9</v>
      </c>
      <c r="H16" s="201">
        <f>C15*0.5</f>
        <v>1069488.25</v>
      </c>
      <c r="I16" s="200">
        <v>1000000</v>
      </c>
      <c r="J16" s="338">
        <f t="shared" si="3"/>
        <v>2770338</v>
      </c>
      <c r="K16" s="200">
        <f t="shared" si="4"/>
        <v>69488.5</v>
      </c>
      <c r="L16" s="200">
        <f t="shared" si="0"/>
        <v>3646159</v>
      </c>
      <c r="M16" s="963" t="s">
        <v>2939</v>
      </c>
    </row>
    <row r="17" spans="1:13" ht="30.95" customHeight="1">
      <c r="A17" s="915">
        <v>41944</v>
      </c>
      <c r="B17" s="338">
        <v>3865.5</v>
      </c>
      <c r="C17" s="494">
        <v>1307030</v>
      </c>
      <c r="D17" s="200">
        <f t="shared" si="1"/>
        <v>23274</v>
      </c>
      <c r="E17" s="200">
        <f t="shared" si="2"/>
        <v>7723527</v>
      </c>
      <c r="F17" s="494"/>
      <c r="G17" s="180">
        <f>C12*0.5+C11*0.5+C13*0.5+C14*0.5+C15*0.5+C16*0.3+C17*0.3</f>
        <v>3388298.9</v>
      </c>
      <c r="H17" s="916">
        <f>C16*0.7</f>
        <v>580480.6</v>
      </c>
      <c r="I17" s="338">
        <v>580000</v>
      </c>
      <c r="J17" s="338">
        <f t="shared" si="3"/>
        <v>3350338</v>
      </c>
      <c r="K17" s="200">
        <f t="shared" si="4"/>
        <v>69969.099999999977</v>
      </c>
      <c r="L17" s="200">
        <f t="shared" si="0"/>
        <v>4373189</v>
      </c>
      <c r="M17" s="963" t="s">
        <v>2940</v>
      </c>
    </row>
    <row r="18" spans="1:13" ht="30.95" customHeight="1">
      <c r="A18" s="199" t="s">
        <v>2941</v>
      </c>
      <c r="B18" s="821">
        <v>3464.5</v>
      </c>
      <c r="C18" s="971">
        <v>1115444.5</v>
      </c>
      <c r="D18" s="211">
        <f t="shared" si="1"/>
        <v>26738.5</v>
      </c>
      <c r="E18" s="200">
        <f t="shared" si="2"/>
        <v>8838971.5</v>
      </c>
      <c r="F18" s="494"/>
      <c r="G18" s="180">
        <f>C11*0.5+C13*0.5+C12*0.5+C14*0.5+C15*0.5+C16*0.3+C17*0.3+C18*0.3</f>
        <v>3722932.25</v>
      </c>
      <c r="H18" s="916">
        <f>C17*0.7</f>
        <v>914921</v>
      </c>
      <c r="I18" s="338">
        <f>800000+100000</f>
        <v>900000</v>
      </c>
      <c r="J18" s="338">
        <f t="shared" si="3"/>
        <v>4250338</v>
      </c>
      <c r="K18" s="200">
        <f t="shared" si="4"/>
        <v>84890.099999999977</v>
      </c>
      <c r="L18" s="200">
        <f t="shared" si="0"/>
        <v>4588633.5</v>
      </c>
      <c r="M18" s="214" t="s">
        <v>2942</v>
      </c>
    </row>
    <row r="19" spans="1:13" ht="30.95" customHeight="1">
      <c r="A19" s="915">
        <v>42005</v>
      </c>
      <c r="B19" s="338">
        <v>3704</v>
      </c>
      <c r="C19" s="494">
        <v>1150955</v>
      </c>
      <c r="D19" s="211">
        <f t="shared" si="1"/>
        <v>30442.5</v>
      </c>
      <c r="E19" s="200">
        <f t="shared" si="2"/>
        <v>9989926.5</v>
      </c>
      <c r="F19" s="494"/>
      <c r="G19" s="180">
        <f>C11*0.5+C12*0.5+C14*0.5+C13*0.5+C15*0.5+C16*0.3+C17*0.3+C18*0.3+C19*0.3</f>
        <v>4068218.75</v>
      </c>
      <c r="H19" s="916">
        <f>C18*0.7</f>
        <v>780811.14999999991</v>
      </c>
      <c r="I19" s="338"/>
      <c r="J19" s="338">
        <f t="shared" si="3"/>
        <v>4250338</v>
      </c>
      <c r="K19" s="200">
        <f t="shared" si="4"/>
        <v>865701.24999999988</v>
      </c>
      <c r="L19" s="200">
        <f t="shared" si="0"/>
        <v>5739588.5</v>
      </c>
      <c r="M19" s="214"/>
    </row>
    <row r="20" spans="1:13" ht="33" customHeight="1">
      <c r="A20" s="915">
        <v>42037</v>
      </c>
      <c r="B20" s="338">
        <v>833.5</v>
      </c>
      <c r="C20" s="494">
        <v>272053.5</v>
      </c>
      <c r="D20" s="211">
        <f t="shared" si="1"/>
        <v>31276</v>
      </c>
      <c r="E20" s="200">
        <f t="shared" si="2"/>
        <v>10261980</v>
      </c>
      <c r="F20" s="494"/>
      <c r="G20" s="180">
        <f>C11*0.5+C12*0.5+C13*0.5+C15*0.5+C14*0.5+C16*0.3+C17*0.3+C18*0.3+C19*0.3+C20*0.3*3/4</f>
        <v>4129430.7875000001</v>
      </c>
      <c r="H20" s="916">
        <f>C19*0.7</f>
        <v>805668.5</v>
      </c>
      <c r="I20" s="338">
        <v>2500000</v>
      </c>
      <c r="J20" s="338">
        <f t="shared" si="3"/>
        <v>6750338</v>
      </c>
      <c r="K20" s="200">
        <f t="shared" si="4"/>
        <v>-828630.25</v>
      </c>
      <c r="L20" s="200">
        <f t="shared" si="0"/>
        <v>3511642</v>
      </c>
      <c r="M20" s="214" t="s">
        <v>2943</v>
      </c>
    </row>
    <row r="21" spans="1:13" ht="33" customHeight="1">
      <c r="A21" s="972">
        <v>42069</v>
      </c>
      <c r="B21" s="480">
        <v>89</v>
      </c>
      <c r="C21" s="973">
        <v>29423</v>
      </c>
      <c r="D21" s="211">
        <f t="shared" si="1"/>
        <v>31365</v>
      </c>
      <c r="E21" s="211">
        <f t="shared" si="2"/>
        <v>10291403</v>
      </c>
      <c r="F21" s="973"/>
      <c r="G21" s="180"/>
      <c r="H21" s="974">
        <f>C20*0.7+4149834.8/4</f>
        <v>1227896.1499999999</v>
      </c>
      <c r="I21" s="200"/>
      <c r="J21" s="338">
        <f t="shared" si="3"/>
        <v>6750338</v>
      </c>
      <c r="K21" s="200">
        <f t="shared" si="4"/>
        <v>399265.89999999991</v>
      </c>
      <c r="L21" s="200">
        <f t="shared" si="0"/>
        <v>3541065</v>
      </c>
      <c r="M21" s="214"/>
    </row>
    <row r="22" spans="1:13" ht="33" customHeight="1">
      <c r="A22" s="219">
        <v>42095</v>
      </c>
      <c r="B22" s="200">
        <v>953.5</v>
      </c>
      <c r="C22" s="200">
        <v>296267.5</v>
      </c>
      <c r="D22" s="211">
        <f t="shared" si="1"/>
        <v>32318.5</v>
      </c>
      <c r="E22" s="211">
        <f t="shared" si="2"/>
        <v>10587670.5</v>
      </c>
      <c r="F22" s="200"/>
      <c r="G22" s="180"/>
      <c r="H22" s="974">
        <f>C21+4149834.8/4</f>
        <v>1066881.7</v>
      </c>
      <c r="I22" s="200">
        <v>200000</v>
      </c>
      <c r="J22" s="338">
        <f t="shared" si="3"/>
        <v>6950338</v>
      </c>
      <c r="K22" s="200">
        <f t="shared" si="4"/>
        <v>1266147.5999999999</v>
      </c>
      <c r="L22" s="200">
        <f t="shared" si="0"/>
        <v>3637332.5</v>
      </c>
      <c r="M22" s="214" t="s">
        <v>2944</v>
      </c>
    </row>
    <row r="23" spans="1:13" ht="33" customHeight="1">
      <c r="A23" s="219">
        <v>42125</v>
      </c>
      <c r="B23" s="200">
        <v>48.5</v>
      </c>
      <c r="C23" s="200">
        <v>15715.5</v>
      </c>
      <c r="D23" s="211">
        <f t="shared" si="1"/>
        <v>32367</v>
      </c>
      <c r="E23" s="211">
        <f t="shared" si="2"/>
        <v>10603386</v>
      </c>
      <c r="F23" s="200"/>
      <c r="G23" s="180"/>
      <c r="H23" s="974">
        <f>C22+4149834.8/4</f>
        <v>1333726.2</v>
      </c>
      <c r="I23" s="200"/>
      <c r="J23" s="338">
        <f t="shared" si="3"/>
        <v>6950338</v>
      </c>
      <c r="K23" s="200">
        <f t="shared" si="4"/>
        <v>2599873.7999999998</v>
      </c>
      <c r="L23" s="200">
        <f t="shared" si="0"/>
        <v>3653048</v>
      </c>
      <c r="M23" s="214" t="s">
        <v>2945</v>
      </c>
    </row>
    <row r="24" spans="1:13" ht="33" customHeight="1">
      <c r="A24" s="219">
        <v>42156</v>
      </c>
      <c r="B24" s="200">
        <v>0</v>
      </c>
      <c r="C24" s="200">
        <v>0</v>
      </c>
      <c r="D24" s="211">
        <f t="shared" si="1"/>
        <v>32367</v>
      </c>
      <c r="E24" s="211">
        <f t="shared" si="2"/>
        <v>10603386</v>
      </c>
      <c r="F24" s="200"/>
      <c r="G24" s="180"/>
      <c r="H24" s="974">
        <f>C23+4149834.8/4</f>
        <v>1053174.2</v>
      </c>
      <c r="I24" s="200">
        <v>400000</v>
      </c>
      <c r="J24" s="338">
        <f t="shared" si="3"/>
        <v>7350338</v>
      </c>
      <c r="K24" s="200">
        <f t="shared" si="4"/>
        <v>3253048</v>
      </c>
      <c r="L24" s="200">
        <f t="shared" si="0"/>
        <v>3253048</v>
      </c>
      <c r="M24" s="214"/>
    </row>
    <row r="25" spans="1:13" ht="33" customHeight="1">
      <c r="A25" s="498">
        <v>42186</v>
      </c>
      <c r="B25" s="211">
        <v>0</v>
      </c>
      <c r="C25" s="211">
        <v>0</v>
      </c>
      <c r="D25" s="211">
        <f t="shared" si="1"/>
        <v>32367</v>
      </c>
      <c r="E25" s="211">
        <f t="shared" si="2"/>
        <v>10603386</v>
      </c>
      <c r="F25" s="211"/>
      <c r="G25" s="251"/>
      <c r="H25" s="974"/>
      <c r="I25" s="211">
        <v>1000000</v>
      </c>
      <c r="J25" s="338">
        <f t="shared" si="3"/>
        <v>8350338</v>
      </c>
      <c r="K25" s="200">
        <f t="shared" si="4"/>
        <v>2253048</v>
      </c>
      <c r="L25" s="200">
        <f t="shared" si="0"/>
        <v>2253048</v>
      </c>
      <c r="M25" s="976" t="s">
        <v>2946</v>
      </c>
    </row>
    <row r="26" spans="1:13" ht="33" customHeight="1">
      <c r="A26" s="498">
        <v>42217</v>
      </c>
      <c r="B26" s="200">
        <v>0</v>
      </c>
      <c r="C26" s="200">
        <v>0</v>
      </c>
      <c r="D26" s="211">
        <f t="shared" si="1"/>
        <v>32367</v>
      </c>
      <c r="E26" s="211">
        <f t="shared" si="2"/>
        <v>10603386</v>
      </c>
      <c r="F26" s="200"/>
      <c r="G26" s="180"/>
      <c r="H26" s="974"/>
      <c r="I26" s="200">
        <v>300000</v>
      </c>
      <c r="J26" s="338">
        <f t="shared" si="3"/>
        <v>8650338</v>
      </c>
      <c r="K26" s="200">
        <f t="shared" si="4"/>
        <v>1953048</v>
      </c>
      <c r="L26" s="200">
        <f t="shared" si="0"/>
        <v>1953048</v>
      </c>
      <c r="M26" s="214"/>
    </row>
    <row r="27" spans="1:13" ht="33" customHeight="1">
      <c r="A27" s="219">
        <v>42248</v>
      </c>
      <c r="B27" s="200">
        <v>0</v>
      </c>
      <c r="C27" s="200">
        <v>0</v>
      </c>
      <c r="D27" s="211">
        <f t="shared" si="1"/>
        <v>32367</v>
      </c>
      <c r="E27" s="211">
        <f t="shared" si="2"/>
        <v>10603386</v>
      </c>
      <c r="F27" s="200"/>
      <c r="G27" s="180"/>
      <c r="H27" s="974"/>
      <c r="I27" s="200">
        <f>500000+500000</f>
        <v>1000000</v>
      </c>
      <c r="J27" s="338">
        <f t="shared" si="3"/>
        <v>9650338</v>
      </c>
      <c r="K27" s="200">
        <f t="shared" si="4"/>
        <v>953048</v>
      </c>
      <c r="L27" s="200">
        <f t="shared" si="0"/>
        <v>953048</v>
      </c>
      <c r="M27" s="214" t="s">
        <v>2947</v>
      </c>
    </row>
    <row r="28" spans="1:13" ht="33" customHeight="1">
      <c r="A28" s="219">
        <v>42401</v>
      </c>
      <c r="B28" s="200">
        <v>0</v>
      </c>
      <c r="C28" s="200">
        <v>0</v>
      </c>
      <c r="D28" s="211">
        <f t="shared" si="1"/>
        <v>32367</v>
      </c>
      <c r="E28" s="211">
        <f t="shared" si="2"/>
        <v>10603386</v>
      </c>
      <c r="F28" s="200"/>
      <c r="G28" s="180"/>
      <c r="H28" s="974"/>
      <c r="I28" s="200">
        <v>200000</v>
      </c>
      <c r="J28" s="338">
        <f t="shared" si="3"/>
        <v>9850338</v>
      </c>
      <c r="K28" s="200">
        <f t="shared" si="4"/>
        <v>753048</v>
      </c>
      <c r="L28" s="200">
        <f t="shared" si="0"/>
        <v>753048</v>
      </c>
      <c r="M28" s="214" t="s">
        <v>2948</v>
      </c>
    </row>
    <row r="29" spans="1:13" ht="33" customHeight="1">
      <c r="A29" s="219">
        <v>42491</v>
      </c>
      <c r="B29" s="200">
        <v>0</v>
      </c>
      <c r="C29" s="200">
        <v>0</v>
      </c>
      <c r="D29" s="211">
        <f t="shared" si="1"/>
        <v>32367</v>
      </c>
      <c r="E29" s="211">
        <f t="shared" si="2"/>
        <v>10603386</v>
      </c>
      <c r="F29" s="200"/>
      <c r="G29" s="180"/>
      <c r="H29" s="974"/>
      <c r="I29" s="200">
        <v>200000</v>
      </c>
      <c r="J29" s="338">
        <f t="shared" si="3"/>
        <v>10050338</v>
      </c>
      <c r="K29" s="200">
        <f t="shared" si="4"/>
        <v>553048</v>
      </c>
      <c r="L29" s="200">
        <f t="shared" si="0"/>
        <v>553048</v>
      </c>
      <c r="M29" s="214" t="s">
        <v>2949</v>
      </c>
    </row>
    <row r="30" spans="1:13" ht="33" customHeight="1">
      <c r="A30" s="219">
        <v>42583</v>
      </c>
      <c r="B30" s="200">
        <v>0</v>
      </c>
      <c r="C30" s="200">
        <v>0</v>
      </c>
      <c r="D30" s="211">
        <f t="shared" si="1"/>
        <v>32367</v>
      </c>
      <c r="E30" s="211">
        <f t="shared" si="2"/>
        <v>10603386</v>
      </c>
      <c r="F30" s="200"/>
      <c r="G30" s="180"/>
      <c r="H30" s="974"/>
      <c r="I30" s="200">
        <v>100000</v>
      </c>
      <c r="J30" s="338">
        <f t="shared" si="3"/>
        <v>10150338</v>
      </c>
      <c r="K30" s="200">
        <f t="shared" si="4"/>
        <v>453048</v>
      </c>
      <c r="L30" s="200">
        <f t="shared" si="0"/>
        <v>453048</v>
      </c>
      <c r="M30" s="214" t="s">
        <v>2950</v>
      </c>
    </row>
    <row r="31" spans="1:13" ht="33" customHeight="1">
      <c r="A31" s="219">
        <v>42614</v>
      </c>
      <c r="B31" s="200">
        <v>0</v>
      </c>
      <c r="C31" s="200">
        <v>0</v>
      </c>
      <c r="D31" s="211">
        <f t="shared" si="1"/>
        <v>32367</v>
      </c>
      <c r="E31" s="211">
        <f t="shared" si="2"/>
        <v>10603386</v>
      </c>
      <c r="F31" s="200"/>
      <c r="G31" s="180"/>
      <c r="H31" s="201"/>
      <c r="I31" s="200">
        <v>200000</v>
      </c>
      <c r="J31" s="338">
        <f t="shared" si="3"/>
        <v>10350338</v>
      </c>
      <c r="K31" s="200">
        <f t="shared" si="4"/>
        <v>253048</v>
      </c>
      <c r="L31" s="200">
        <f t="shared" si="0"/>
        <v>253048</v>
      </c>
      <c r="M31" s="214" t="s">
        <v>2951</v>
      </c>
    </row>
    <row r="32" spans="1:13" ht="33" customHeight="1">
      <c r="A32" s="219">
        <v>42736</v>
      </c>
      <c r="B32" s="200">
        <v>0</v>
      </c>
      <c r="C32" s="200">
        <v>0</v>
      </c>
      <c r="D32" s="211">
        <f t="shared" si="1"/>
        <v>32367</v>
      </c>
      <c r="E32" s="211">
        <f t="shared" si="2"/>
        <v>10603386</v>
      </c>
      <c r="F32" s="200"/>
      <c r="G32" s="180"/>
      <c r="H32" s="201">
        <v>252455.5</v>
      </c>
      <c r="I32" s="200">
        <v>252455.5</v>
      </c>
      <c r="J32" s="338">
        <f t="shared" si="3"/>
        <v>10602793.5</v>
      </c>
      <c r="K32" s="200">
        <f t="shared" si="4"/>
        <v>253048</v>
      </c>
      <c r="L32" s="200">
        <f t="shared" si="0"/>
        <v>592.5</v>
      </c>
      <c r="M32" s="214" t="s">
        <v>2952</v>
      </c>
    </row>
    <row r="33" spans="1:13" ht="33" customHeight="1">
      <c r="A33" s="219"/>
      <c r="B33" s="200"/>
      <c r="C33" s="200"/>
      <c r="D33" s="211"/>
      <c r="E33" s="211"/>
      <c r="F33" s="200"/>
      <c r="G33" s="180"/>
      <c r="H33" s="201"/>
      <c r="I33" s="200"/>
      <c r="J33" s="338"/>
      <c r="K33" s="200"/>
      <c r="L33" s="200"/>
      <c r="M33" s="214" t="s">
        <v>2953</v>
      </c>
    </row>
    <row r="34" spans="1:13" ht="33" customHeight="1">
      <c r="A34" s="219"/>
      <c r="B34" s="200"/>
      <c r="C34" s="200"/>
      <c r="D34" s="211"/>
      <c r="E34" s="211"/>
      <c r="F34" s="200"/>
      <c r="G34" s="180"/>
      <c r="H34" s="201"/>
      <c r="I34" s="200"/>
      <c r="J34" s="200"/>
      <c r="K34" s="200"/>
      <c r="L34" s="200"/>
      <c r="M34" s="214"/>
    </row>
    <row r="35" spans="1:13" ht="33" customHeight="1">
      <c r="A35" s="219"/>
      <c r="B35" s="200"/>
      <c r="C35" s="200"/>
      <c r="D35" s="200"/>
      <c r="E35" s="200"/>
      <c r="F35" s="200"/>
      <c r="G35" s="180"/>
      <c r="H35" s="201"/>
      <c r="I35" s="200"/>
      <c r="J35" s="200"/>
      <c r="K35" s="200"/>
      <c r="L35" s="200"/>
      <c r="M35" s="214"/>
    </row>
  </sheetData>
  <mergeCells count="13">
    <mergeCell ref="B3:C3"/>
    <mergeCell ref="B4:H4"/>
    <mergeCell ref="I4:L4"/>
    <mergeCell ref="A5:C5"/>
    <mergeCell ref="D5:F5"/>
    <mergeCell ref="G5:I5"/>
    <mergeCell ref="E1:F1"/>
    <mergeCell ref="G1:H1"/>
    <mergeCell ref="J1:K1"/>
    <mergeCell ref="L1:M1"/>
    <mergeCell ref="B2:C2"/>
    <mergeCell ref="E2:H2"/>
    <mergeCell ref="J2:K2"/>
  </mergeCells>
  <phoneticPr fontId="84" type="noConversion"/>
  <pageMargins left="0.75" right="0.75" top="1" bottom="1" header="0.51" footer="0.51"/>
  <pageSetup paperSize="9" orientation="portrait" verticalDpi="200"/>
  <headerFooter scaleWithDoc="0" alignWithMargins="0"/>
</worksheet>
</file>

<file path=xl/worksheets/sheet1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9"/>
  <sheetViews>
    <sheetView topLeftCell="A28" zoomScaleSheetLayoutView="100" workbookViewId="0"/>
  </sheetViews>
  <sheetFormatPr defaultColWidth="9" defaultRowHeight="14.25"/>
  <cols>
    <col min="1" max="1" width="12.625" bestFit="1" customWidth="1"/>
    <col min="2" max="2" width="15.625" customWidth="1"/>
    <col min="3" max="3" width="15.875" customWidth="1"/>
    <col min="4" max="4" width="13.375" customWidth="1"/>
    <col min="5" max="6" width="14.375" customWidth="1"/>
    <col min="7" max="7" width="13.5" customWidth="1"/>
    <col min="8" max="8" width="12" customWidth="1"/>
    <col min="9" max="9" width="14.375" customWidth="1"/>
    <col min="10" max="10" width="13.625" customWidth="1"/>
    <col min="11" max="11" width="19.625" customWidth="1"/>
    <col min="12" max="12" width="14.875" customWidth="1"/>
    <col min="13" max="13" width="41.625" customWidth="1"/>
  </cols>
  <sheetData>
    <row r="1" spans="1:13" ht="73.5" customHeight="1">
      <c r="A1" s="349" t="s">
        <v>556</v>
      </c>
      <c r="B1" s="852">
        <v>41699</v>
      </c>
      <c r="C1" s="2036" t="s">
        <v>2954</v>
      </c>
      <c r="D1" s="2037"/>
      <c r="E1" s="350" t="s">
        <v>236</v>
      </c>
      <c r="F1" s="2038" t="s">
        <v>2955</v>
      </c>
      <c r="G1" s="2039"/>
      <c r="H1" s="855"/>
      <c r="I1" s="306" t="s">
        <v>237</v>
      </c>
      <c r="J1" s="1820" t="s">
        <v>2956</v>
      </c>
      <c r="K1" s="1827"/>
      <c r="L1" s="1772" t="s">
        <v>2957</v>
      </c>
      <c r="M1" s="1905"/>
    </row>
    <row r="2" spans="1:13" ht="39" customHeight="1">
      <c r="A2" s="133" t="s">
        <v>240</v>
      </c>
      <c r="B2" s="1682" t="s">
        <v>2958</v>
      </c>
      <c r="C2" s="1682"/>
      <c r="D2" s="134" t="s">
        <v>242</v>
      </c>
      <c r="E2" s="1706" t="s">
        <v>2958</v>
      </c>
      <c r="F2" s="1706"/>
      <c r="G2" s="1706"/>
      <c r="H2" s="1706"/>
      <c r="I2" s="166" t="s">
        <v>243</v>
      </c>
      <c r="J2" s="2029"/>
      <c r="K2" s="2029"/>
      <c r="L2" s="166" t="s">
        <v>245</v>
      </c>
      <c r="M2" s="205" t="s">
        <v>2959</v>
      </c>
    </row>
    <row r="3" spans="1:13" ht="29.1" customHeight="1">
      <c r="A3" s="133" t="s">
        <v>247</v>
      </c>
      <c r="B3" s="1682" t="s">
        <v>2960</v>
      </c>
      <c r="C3" s="1682"/>
      <c r="D3" s="134" t="s">
        <v>249</v>
      </c>
      <c r="E3" s="136" t="s">
        <v>651</v>
      </c>
      <c r="F3" s="134" t="s">
        <v>251</v>
      </c>
      <c r="G3" s="134"/>
      <c r="H3" s="134" t="s">
        <v>252</v>
      </c>
      <c r="I3" s="206"/>
      <c r="J3" s="41" t="s">
        <v>565</v>
      </c>
      <c r="K3" s="15"/>
      <c r="L3" s="15" t="s">
        <v>255</v>
      </c>
      <c r="M3" s="92" t="s">
        <v>2961</v>
      </c>
    </row>
    <row r="4" spans="1:13" ht="60.95" customHeight="1">
      <c r="A4" s="133" t="s">
        <v>260</v>
      </c>
      <c r="B4" s="1726" t="s">
        <v>2962</v>
      </c>
      <c r="C4" s="1726"/>
      <c r="D4" s="1726"/>
      <c r="E4" s="1726"/>
      <c r="F4" s="1726"/>
      <c r="G4" s="1726"/>
      <c r="H4" s="1726"/>
      <c r="I4" s="1726"/>
      <c r="J4" s="1697" t="s">
        <v>1103</v>
      </c>
      <c r="K4" s="1697"/>
      <c r="L4" s="1697"/>
      <c r="M4" s="170"/>
    </row>
    <row r="5" spans="1:13" ht="24" customHeight="1">
      <c r="A5" s="1688" t="s">
        <v>570</v>
      </c>
      <c r="B5" s="1689"/>
      <c r="C5" s="1689"/>
      <c r="D5" s="1690"/>
      <c r="E5" s="1690"/>
      <c r="F5" s="1690"/>
      <c r="G5" s="1690"/>
      <c r="H5" s="1690"/>
      <c r="I5" s="1690"/>
      <c r="J5" s="169"/>
      <c r="K5" s="169"/>
      <c r="L5" s="169"/>
      <c r="M5" s="264"/>
    </row>
    <row r="6" spans="1:13" ht="3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7" customHeight="1">
      <c r="A7" s="199">
        <v>41699</v>
      </c>
      <c r="B7" s="200">
        <v>430.5</v>
      </c>
      <c r="C7" s="200">
        <v>122692.5</v>
      </c>
      <c r="D7" s="200">
        <f>B7</f>
        <v>430.5</v>
      </c>
      <c r="E7" s="200">
        <f>C7</f>
        <v>122692.5</v>
      </c>
      <c r="F7" s="200"/>
      <c r="G7" s="201">
        <f>C7</f>
        <v>122692.5</v>
      </c>
      <c r="H7" s="201"/>
      <c r="I7" s="200"/>
      <c r="J7" s="200"/>
      <c r="K7" s="200"/>
      <c r="L7" s="200">
        <f t="shared" ref="L7:L34" si="0">E7-J7</f>
        <v>122692.5</v>
      </c>
      <c r="M7" s="210"/>
    </row>
    <row r="8" spans="1:13" ht="27" customHeight="1">
      <c r="A8" s="199">
        <v>41730</v>
      </c>
      <c r="B8" s="200">
        <v>737.5</v>
      </c>
      <c r="C8" s="200">
        <v>254987.5</v>
      </c>
      <c r="D8" s="200">
        <f t="shared" ref="D8:D34" si="1">D7+B8</f>
        <v>1168</v>
      </c>
      <c r="E8" s="200">
        <f t="shared" ref="E8:E34" si="2">E7+C8</f>
        <v>377680</v>
      </c>
      <c r="F8" s="200"/>
      <c r="G8" s="201">
        <f t="shared" ref="G8:G32" si="3">C8+E7*0.2</f>
        <v>279526</v>
      </c>
      <c r="H8" s="201"/>
      <c r="I8" s="200"/>
      <c r="J8" s="200"/>
      <c r="K8" s="200">
        <f>K7+I8-J8</f>
        <v>0</v>
      </c>
      <c r="L8" s="200">
        <f t="shared" si="0"/>
        <v>377680</v>
      </c>
      <c r="M8" s="210"/>
    </row>
    <row r="9" spans="1:13" ht="27" customHeight="1">
      <c r="A9" s="915">
        <v>41760</v>
      </c>
      <c r="B9" s="338">
        <v>1150</v>
      </c>
      <c r="C9" s="338">
        <v>408250</v>
      </c>
      <c r="D9" s="200">
        <f t="shared" si="1"/>
        <v>2318</v>
      </c>
      <c r="E9" s="200">
        <f t="shared" si="2"/>
        <v>785930</v>
      </c>
      <c r="F9" s="338"/>
      <c r="G9" s="201">
        <f t="shared" si="3"/>
        <v>483786</v>
      </c>
      <c r="H9" s="776">
        <f t="shared" ref="H9:H33" si="4">C7*0.8</f>
        <v>98154</v>
      </c>
      <c r="I9" s="338"/>
      <c r="J9" s="338"/>
      <c r="K9" s="200">
        <f t="shared" ref="K9:K34" si="5">K8+H9-I9</f>
        <v>98154</v>
      </c>
      <c r="L9" s="200">
        <f t="shared" si="0"/>
        <v>785930</v>
      </c>
      <c r="M9" s="345"/>
    </row>
    <row r="10" spans="1:13" ht="27" customHeight="1">
      <c r="A10" s="915">
        <v>41791</v>
      </c>
      <c r="B10" s="338">
        <v>1498.5</v>
      </c>
      <c r="C10" s="338">
        <v>532147.5</v>
      </c>
      <c r="D10" s="200">
        <f t="shared" si="1"/>
        <v>3816.5</v>
      </c>
      <c r="E10" s="200">
        <f t="shared" si="2"/>
        <v>1318077.5</v>
      </c>
      <c r="F10" s="338"/>
      <c r="G10" s="201">
        <f t="shared" si="3"/>
        <v>689333.5</v>
      </c>
      <c r="H10" s="776">
        <f t="shared" si="4"/>
        <v>203990</v>
      </c>
      <c r="I10" s="338"/>
      <c r="J10" s="338"/>
      <c r="K10" s="200">
        <f t="shared" si="5"/>
        <v>302144</v>
      </c>
      <c r="L10" s="200">
        <f t="shared" si="0"/>
        <v>1318077.5</v>
      </c>
      <c r="M10" s="345"/>
    </row>
    <row r="11" spans="1:13" ht="27" customHeight="1">
      <c r="A11" s="199">
        <v>41822</v>
      </c>
      <c r="B11" s="200">
        <v>1591</v>
      </c>
      <c r="C11" s="200">
        <v>561652.5</v>
      </c>
      <c r="D11" s="200">
        <f t="shared" si="1"/>
        <v>5407.5</v>
      </c>
      <c r="E11" s="200">
        <f t="shared" si="2"/>
        <v>1879730</v>
      </c>
      <c r="F11" s="200"/>
      <c r="G11" s="201">
        <f t="shared" si="3"/>
        <v>825268</v>
      </c>
      <c r="H11" s="776">
        <f t="shared" si="4"/>
        <v>326600</v>
      </c>
      <c r="I11" s="338">
        <v>302144</v>
      </c>
      <c r="J11" s="338">
        <f t="shared" ref="J11:J34" si="6">J10+I11</f>
        <v>302144</v>
      </c>
      <c r="K11" s="200">
        <f t="shared" si="5"/>
        <v>326600</v>
      </c>
      <c r="L11" s="200">
        <f t="shared" si="0"/>
        <v>1577586</v>
      </c>
      <c r="M11" s="210" t="s">
        <v>2963</v>
      </c>
    </row>
    <row r="12" spans="1:13" ht="27" customHeight="1">
      <c r="A12" s="915">
        <v>41853</v>
      </c>
      <c r="B12" s="338">
        <v>981</v>
      </c>
      <c r="C12" s="200">
        <v>342112.5</v>
      </c>
      <c r="D12" s="200">
        <f t="shared" si="1"/>
        <v>6388.5</v>
      </c>
      <c r="E12" s="200">
        <f t="shared" si="2"/>
        <v>2221842.5</v>
      </c>
      <c r="F12" s="200"/>
      <c r="G12" s="201">
        <f t="shared" si="3"/>
        <v>718058.5</v>
      </c>
      <c r="H12" s="201">
        <f t="shared" si="4"/>
        <v>425718</v>
      </c>
      <c r="I12" s="338">
        <v>326600</v>
      </c>
      <c r="J12" s="338">
        <f t="shared" si="6"/>
        <v>628744</v>
      </c>
      <c r="K12" s="200">
        <f t="shared" si="5"/>
        <v>425718</v>
      </c>
      <c r="L12" s="200">
        <f t="shared" si="0"/>
        <v>1593098.5</v>
      </c>
      <c r="M12" s="345" t="s">
        <v>2964</v>
      </c>
    </row>
    <row r="13" spans="1:13" ht="27" customHeight="1">
      <c r="A13" s="199">
        <v>41884</v>
      </c>
      <c r="B13" s="338">
        <v>997</v>
      </c>
      <c r="C13" s="494">
        <v>346085</v>
      </c>
      <c r="D13" s="200">
        <f t="shared" si="1"/>
        <v>7385.5</v>
      </c>
      <c r="E13" s="200">
        <f t="shared" si="2"/>
        <v>2567927.5</v>
      </c>
      <c r="F13" s="200"/>
      <c r="G13" s="201">
        <f t="shared" si="3"/>
        <v>790453.5</v>
      </c>
      <c r="H13" s="201">
        <f t="shared" si="4"/>
        <v>449322</v>
      </c>
      <c r="I13" s="338">
        <f>200000+225718</f>
        <v>425718</v>
      </c>
      <c r="J13" s="338">
        <f t="shared" si="6"/>
        <v>1054462</v>
      </c>
      <c r="K13" s="200">
        <f t="shared" si="5"/>
        <v>449322</v>
      </c>
      <c r="L13" s="200">
        <f t="shared" si="0"/>
        <v>1513465.5</v>
      </c>
      <c r="M13" s="345" t="s">
        <v>2965</v>
      </c>
    </row>
    <row r="14" spans="1:13" ht="27" customHeight="1">
      <c r="A14" s="915">
        <v>41914</v>
      </c>
      <c r="B14" s="338">
        <v>1133</v>
      </c>
      <c r="C14" s="200">
        <v>392870</v>
      </c>
      <c r="D14" s="200">
        <f t="shared" si="1"/>
        <v>8518.5</v>
      </c>
      <c r="E14" s="200">
        <f t="shared" si="2"/>
        <v>2960797.5</v>
      </c>
      <c r="F14" s="200"/>
      <c r="G14" s="201">
        <f t="shared" si="3"/>
        <v>906455.5</v>
      </c>
      <c r="H14" s="201">
        <f t="shared" si="4"/>
        <v>273690</v>
      </c>
      <c r="I14" s="338">
        <v>449322</v>
      </c>
      <c r="J14" s="338">
        <f t="shared" si="6"/>
        <v>1503784</v>
      </c>
      <c r="K14" s="200">
        <f t="shared" si="5"/>
        <v>273690</v>
      </c>
      <c r="L14" s="200">
        <f t="shared" si="0"/>
        <v>1457013.5</v>
      </c>
      <c r="M14" s="963" t="s">
        <v>2966</v>
      </c>
    </row>
    <row r="15" spans="1:13" ht="27" customHeight="1">
      <c r="A15" s="199">
        <v>41945</v>
      </c>
      <c r="B15" s="338">
        <v>662</v>
      </c>
      <c r="C15" s="494">
        <v>221650</v>
      </c>
      <c r="D15" s="200">
        <f t="shared" si="1"/>
        <v>9180.5</v>
      </c>
      <c r="E15" s="200">
        <f t="shared" si="2"/>
        <v>3182447.5</v>
      </c>
      <c r="F15" s="213"/>
      <c r="G15" s="503">
        <f t="shared" si="3"/>
        <v>813809.5</v>
      </c>
      <c r="H15" s="201">
        <f t="shared" si="4"/>
        <v>276868</v>
      </c>
      <c r="I15" s="964">
        <v>273690</v>
      </c>
      <c r="J15" s="338">
        <f t="shared" si="6"/>
        <v>1777474</v>
      </c>
      <c r="K15" s="200">
        <f t="shared" si="5"/>
        <v>276868</v>
      </c>
      <c r="L15" s="211">
        <f t="shared" si="0"/>
        <v>1404973.5</v>
      </c>
      <c r="M15" s="963" t="s">
        <v>2967</v>
      </c>
    </row>
    <row r="16" spans="1:13" ht="27" customHeight="1">
      <c r="A16" s="915">
        <v>41975</v>
      </c>
      <c r="B16" s="338">
        <v>504.5</v>
      </c>
      <c r="C16" s="494">
        <v>149072.5</v>
      </c>
      <c r="D16" s="211">
        <f t="shared" si="1"/>
        <v>9685</v>
      </c>
      <c r="E16" s="200">
        <f t="shared" si="2"/>
        <v>3331520</v>
      </c>
      <c r="F16" s="213"/>
      <c r="G16" s="201">
        <f t="shared" si="3"/>
        <v>785562</v>
      </c>
      <c r="H16" s="916">
        <f t="shared" si="4"/>
        <v>314296</v>
      </c>
      <c r="I16" s="338"/>
      <c r="J16" s="338">
        <f t="shared" si="6"/>
        <v>1777474</v>
      </c>
      <c r="K16" s="213">
        <f t="shared" si="5"/>
        <v>591164</v>
      </c>
      <c r="L16" s="200">
        <f t="shared" si="0"/>
        <v>1554046</v>
      </c>
      <c r="M16" s="965" t="s">
        <v>2968</v>
      </c>
    </row>
    <row r="17" spans="1:13" ht="27" customHeight="1">
      <c r="A17" s="915">
        <v>42005</v>
      </c>
      <c r="B17" s="957">
        <f>3090+170.5</f>
        <v>3260.5</v>
      </c>
      <c r="C17" s="958">
        <f>1014945+56100</f>
        <v>1071045</v>
      </c>
      <c r="D17" s="211">
        <f t="shared" si="1"/>
        <v>12945.5</v>
      </c>
      <c r="E17" s="200">
        <f t="shared" si="2"/>
        <v>4402565</v>
      </c>
      <c r="F17" s="213"/>
      <c r="G17" s="503">
        <f t="shared" si="3"/>
        <v>1737349</v>
      </c>
      <c r="H17" s="916">
        <f t="shared" si="4"/>
        <v>177320</v>
      </c>
      <c r="I17" s="338">
        <f>276868+314296</f>
        <v>591164</v>
      </c>
      <c r="J17" s="338">
        <f t="shared" si="6"/>
        <v>2368638</v>
      </c>
      <c r="K17" s="213">
        <f t="shared" si="5"/>
        <v>177320</v>
      </c>
      <c r="L17" s="200">
        <f t="shared" si="0"/>
        <v>2033927</v>
      </c>
      <c r="M17" s="966" t="s">
        <v>2969</v>
      </c>
    </row>
    <row r="18" spans="1:13" ht="27" customHeight="1">
      <c r="A18" s="915">
        <v>42037</v>
      </c>
      <c r="B18" s="338">
        <v>4324</v>
      </c>
      <c r="C18" s="494">
        <v>1427265</v>
      </c>
      <c r="D18" s="211">
        <f t="shared" si="1"/>
        <v>17269.5</v>
      </c>
      <c r="E18" s="200">
        <f t="shared" si="2"/>
        <v>5829830</v>
      </c>
      <c r="F18" s="213"/>
      <c r="G18" s="503">
        <f t="shared" si="3"/>
        <v>2307778</v>
      </c>
      <c r="H18" s="916">
        <f t="shared" si="4"/>
        <v>119258</v>
      </c>
      <c r="I18" s="338">
        <f>177320+118934</f>
        <v>296254</v>
      </c>
      <c r="J18" s="338">
        <f t="shared" si="6"/>
        <v>2664892</v>
      </c>
      <c r="K18" s="213">
        <f t="shared" si="5"/>
        <v>324</v>
      </c>
      <c r="L18" s="200">
        <f t="shared" si="0"/>
        <v>3164938</v>
      </c>
      <c r="M18" s="214" t="s">
        <v>2970</v>
      </c>
    </row>
    <row r="19" spans="1:13" ht="27" customHeight="1">
      <c r="A19" s="915">
        <v>42069</v>
      </c>
      <c r="B19" s="338">
        <v>40</v>
      </c>
      <c r="C19" s="494">
        <v>16825</v>
      </c>
      <c r="D19" s="211">
        <f t="shared" si="1"/>
        <v>17309.5</v>
      </c>
      <c r="E19" s="200">
        <f t="shared" si="2"/>
        <v>5846655</v>
      </c>
      <c r="F19" s="213"/>
      <c r="G19" s="503">
        <f t="shared" si="3"/>
        <v>1182791</v>
      </c>
      <c r="H19" s="916">
        <f t="shared" si="4"/>
        <v>856836</v>
      </c>
      <c r="I19" s="338"/>
      <c r="J19" s="338">
        <f t="shared" si="6"/>
        <v>2664892</v>
      </c>
      <c r="K19" s="213">
        <f t="shared" si="5"/>
        <v>857160</v>
      </c>
      <c r="L19" s="200">
        <f t="shared" si="0"/>
        <v>3181763</v>
      </c>
      <c r="M19" s="214"/>
    </row>
    <row r="20" spans="1:13" ht="27" customHeight="1">
      <c r="A20" s="219">
        <v>42095</v>
      </c>
      <c r="B20" s="200">
        <v>3618</v>
      </c>
      <c r="C20" s="200">
        <v>1489635</v>
      </c>
      <c r="D20" s="211">
        <f t="shared" si="1"/>
        <v>20927.5</v>
      </c>
      <c r="E20" s="200">
        <f t="shared" si="2"/>
        <v>7336290</v>
      </c>
      <c r="F20" s="200"/>
      <c r="G20" s="503">
        <f t="shared" si="3"/>
        <v>2658966</v>
      </c>
      <c r="H20" s="916">
        <f t="shared" si="4"/>
        <v>1141812</v>
      </c>
      <c r="I20" s="200"/>
      <c r="J20" s="338">
        <f t="shared" si="6"/>
        <v>2664892</v>
      </c>
      <c r="K20" s="213">
        <f t="shared" si="5"/>
        <v>1998972</v>
      </c>
      <c r="L20" s="200">
        <f t="shared" si="0"/>
        <v>4671398</v>
      </c>
      <c r="M20" s="214" t="s">
        <v>2971</v>
      </c>
    </row>
    <row r="21" spans="1:13" s="513" customFormat="1" ht="27" customHeight="1">
      <c r="A21" s="959">
        <v>42125</v>
      </c>
      <c r="B21" s="331">
        <v>2991</v>
      </c>
      <c r="C21" s="331">
        <v>1224165</v>
      </c>
      <c r="D21" s="960">
        <f t="shared" si="1"/>
        <v>23918.5</v>
      </c>
      <c r="E21" s="331">
        <f t="shared" si="2"/>
        <v>8560455</v>
      </c>
      <c r="F21" s="331"/>
      <c r="G21" s="933">
        <f t="shared" si="3"/>
        <v>2691423</v>
      </c>
      <c r="H21" s="961">
        <f t="shared" si="4"/>
        <v>13460</v>
      </c>
      <c r="I21" s="331">
        <f>856836</f>
        <v>856836</v>
      </c>
      <c r="J21" s="845">
        <f t="shared" si="6"/>
        <v>3521728</v>
      </c>
      <c r="K21" s="949">
        <f t="shared" si="5"/>
        <v>1155596</v>
      </c>
      <c r="L21" s="331">
        <f t="shared" si="0"/>
        <v>5038727</v>
      </c>
      <c r="M21" s="967" t="s">
        <v>2972</v>
      </c>
    </row>
    <row r="22" spans="1:13" ht="27" customHeight="1">
      <c r="A22" s="219">
        <v>42156</v>
      </c>
      <c r="B22" s="200">
        <v>2636.5</v>
      </c>
      <c r="C22" s="200">
        <v>1015567.5</v>
      </c>
      <c r="D22" s="211">
        <f t="shared" si="1"/>
        <v>26555</v>
      </c>
      <c r="E22" s="200">
        <f t="shared" si="2"/>
        <v>9576022.5</v>
      </c>
      <c r="F22" s="200"/>
      <c r="G22" s="503">
        <f t="shared" si="3"/>
        <v>2727658.5</v>
      </c>
      <c r="H22" s="916">
        <f t="shared" si="4"/>
        <v>1191708</v>
      </c>
      <c r="I22" s="200">
        <v>1141812</v>
      </c>
      <c r="J22" s="338">
        <f t="shared" si="6"/>
        <v>4663540</v>
      </c>
      <c r="K22" s="213">
        <f t="shared" si="5"/>
        <v>1205492</v>
      </c>
      <c r="L22" s="200">
        <f t="shared" si="0"/>
        <v>4912482.5</v>
      </c>
      <c r="M22" s="214"/>
    </row>
    <row r="23" spans="1:13" ht="27" customHeight="1">
      <c r="A23" s="219">
        <v>42186</v>
      </c>
      <c r="B23" s="200">
        <v>1152.5</v>
      </c>
      <c r="C23" s="200">
        <v>450572.5</v>
      </c>
      <c r="D23" s="211">
        <f t="shared" si="1"/>
        <v>27707.5</v>
      </c>
      <c r="E23" s="200">
        <f t="shared" si="2"/>
        <v>10026595</v>
      </c>
      <c r="F23" s="200"/>
      <c r="G23" s="503">
        <f t="shared" si="3"/>
        <v>2365777</v>
      </c>
      <c r="H23" s="916">
        <f t="shared" si="4"/>
        <v>979332</v>
      </c>
      <c r="I23" s="200">
        <v>1205168</v>
      </c>
      <c r="J23" s="338">
        <f t="shared" si="6"/>
        <v>5868708</v>
      </c>
      <c r="K23" s="213">
        <f t="shared" si="5"/>
        <v>979656</v>
      </c>
      <c r="L23" s="200">
        <f t="shared" si="0"/>
        <v>4157887</v>
      </c>
      <c r="M23" s="214" t="s">
        <v>2973</v>
      </c>
    </row>
    <row r="24" spans="1:13" ht="27" customHeight="1">
      <c r="A24" s="219">
        <v>42217</v>
      </c>
      <c r="B24" s="200">
        <f>12+464</f>
        <v>476</v>
      </c>
      <c r="C24" s="200">
        <f>3900+185405</f>
        <v>189305</v>
      </c>
      <c r="D24" s="211">
        <f t="shared" si="1"/>
        <v>28183.5</v>
      </c>
      <c r="E24" s="200">
        <f t="shared" si="2"/>
        <v>10215900</v>
      </c>
      <c r="F24" s="200"/>
      <c r="G24" s="503">
        <f t="shared" si="3"/>
        <v>2194624</v>
      </c>
      <c r="H24" s="916">
        <f t="shared" si="4"/>
        <v>812454</v>
      </c>
      <c r="I24" s="200">
        <f>479332+812454+500000</f>
        <v>1791786</v>
      </c>
      <c r="J24" s="338">
        <f t="shared" si="6"/>
        <v>7660494</v>
      </c>
      <c r="K24" s="213">
        <f t="shared" si="5"/>
        <v>324</v>
      </c>
      <c r="L24" s="200">
        <f t="shared" si="0"/>
        <v>2555406</v>
      </c>
      <c r="M24" s="214" t="s">
        <v>2974</v>
      </c>
    </row>
    <row r="25" spans="1:13" ht="27" customHeight="1">
      <c r="A25" s="219">
        <v>42248</v>
      </c>
      <c r="B25" s="200">
        <v>899</v>
      </c>
      <c r="C25" s="200">
        <v>379495</v>
      </c>
      <c r="D25" s="211">
        <f t="shared" si="1"/>
        <v>29082.5</v>
      </c>
      <c r="E25" s="200">
        <f t="shared" si="2"/>
        <v>10595395</v>
      </c>
      <c r="F25" s="200"/>
      <c r="G25" s="503">
        <f t="shared" si="3"/>
        <v>2422675</v>
      </c>
      <c r="H25" s="916">
        <f t="shared" si="4"/>
        <v>360458</v>
      </c>
      <c r="I25" s="200"/>
      <c r="J25" s="338">
        <f t="shared" si="6"/>
        <v>7660494</v>
      </c>
      <c r="K25" s="213">
        <f t="shared" si="5"/>
        <v>360782</v>
      </c>
      <c r="L25" s="200">
        <f t="shared" si="0"/>
        <v>2934901</v>
      </c>
      <c r="M25" s="214" t="s">
        <v>2975</v>
      </c>
    </row>
    <row r="26" spans="1:13" ht="27" customHeight="1">
      <c r="A26" s="219">
        <v>42278</v>
      </c>
      <c r="B26" s="200">
        <v>1520</v>
      </c>
      <c r="C26" s="200">
        <v>604527.5</v>
      </c>
      <c r="D26" s="211">
        <f t="shared" si="1"/>
        <v>30602.5</v>
      </c>
      <c r="E26" s="200">
        <f t="shared" si="2"/>
        <v>11199922.5</v>
      </c>
      <c r="F26" s="200"/>
      <c r="G26" s="503">
        <f t="shared" si="3"/>
        <v>2723606.5</v>
      </c>
      <c r="H26" s="916">
        <f t="shared" si="4"/>
        <v>151444</v>
      </c>
      <c r="I26" s="200"/>
      <c r="J26" s="338">
        <f t="shared" si="6"/>
        <v>7660494</v>
      </c>
      <c r="K26" s="213">
        <f t="shared" si="5"/>
        <v>512226</v>
      </c>
      <c r="L26" s="200">
        <f t="shared" si="0"/>
        <v>3539428.5</v>
      </c>
      <c r="M26" s="214" t="s">
        <v>2976</v>
      </c>
    </row>
    <row r="27" spans="1:13" ht="27" customHeight="1">
      <c r="A27" s="219">
        <v>42309</v>
      </c>
      <c r="B27" s="200">
        <v>1546</v>
      </c>
      <c r="C27" s="200">
        <v>582390</v>
      </c>
      <c r="D27" s="211">
        <f t="shared" si="1"/>
        <v>32148.5</v>
      </c>
      <c r="E27" s="200">
        <f t="shared" si="2"/>
        <v>11782312.5</v>
      </c>
      <c r="F27" s="200"/>
      <c r="G27" s="503">
        <f t="shared" si="3"/>
        <v>2822374.5</v>
      </c>
      <c r="H27" s="916">
        <f t="shared" si="4"/>
        <v>303596</v>
      </c>
      <c r="I27" s="200">
        <f>151444+360458</f>
        <v>511902</v>
      </c>
      <c r="J27" s="338">
        <f t="shared" si="6"/>
        <v>8172396</v>
      </c>
      <c r="K27" s="213">
        <f t="shared" si="5"/>
        <v>303920</v>
      </c>
      <c r="L27" s="200">
        <f t="shared" si="0"/>
        <v>3609916.5</v>
      </c>
      <c r="M27" s="214" t="s">
        <v>2977</v>
      </c>
    </row>
    <row r="28" spans="1:13" ht="27" customHeight="1">
      <c r="A28" s="219">
        <v>42339</v>
      </c>
      <c r="B28" s="200">
        <v>0</v>
      </c>
      <c r="C28" s="200">
        <v>0</v>
      </c>
      <c r="D28" s="211">
        <f t="shared" si="1"/>
        <v>32148.5</v>
      </c>
      <c r="E28" s="200">
        <f t="shared" si="2"/>
        <v>11782312.5</v>
      </c>
      <c r="F28" s="200"/>
      <c r="G28" s="503">
        <f t="shared" si="3"/>
        <v>2356462.5</v>
      </c>
      <c r="H28" s="916">
        <f t="shared" si="4"/>
        <v>483622</v>
      </c>
      <c r="I28" s="200"/>
      <c r="J28" s="338">
        <f t="shared" si="6"/>
        <v>8172396</v>
      </c>
      <c r="K28" s="213">
        <f t="shared" si="5"/>
        <v>787542</v>
      </c>
      <c r="L28" s="200">
        <f t="shared" si="0"/>
        <v>3609916.5</v>
      </c>
      <c r="M28" s="214"/>
    </row>
    <row r="29" spans="1:13" ht="27" customHeight="1">
      <c r="A29" s="219">
        <v>42370</v>
      </c>
      <c r="B29" s="200">
        <v>544.5</v>
      </c>
      <c r="C29" s="200">
        <v>181805</v>
      </c>
      <c r="D29" s="211">
        <f t="shared" si="1"/>
        <v>32693</v>
      </c>
      <c r="E29" s="200">
        <f t="shared" si="2"/>
        <v>11964117.5</v>
      </c>
      <c r="F29" s="200"/>
      <c r="G29" s="503">
        <f t="shared" si="3"/>
        <v>2538267.5</v>
      </c>
      <c r="H29" s="916">
        <f t="shared" si="4"/>
        <v>465912</v>
      </c>
      <c r="I29" s="200"/>
      <c r="J29" s="338">
        <f t="shared" si="6"/>
        <v>8172396</v>
      </c>
      <c r="K29" s="213">
        <f t="shared" si="5"/>
        <v>1253454</v>
      </c>
      <c r="L29" s="200">
        <f t="shared" si="0"/>
        <v>3791721.5</v>
      </c>
      <c r="M29" s="214" t="s">
        <v>2978</v>
      </c>
    </row>
    <row r="30" spans="1:13" ht="27" customHeight="1">
      <c r="A30" s="219">
        <v>42401</v>
      </c>
      <c r="B30" s="200">
        <v>0</v>
      </c>
      <c r="C30" s="200">
        <v>0</v>
      </c>
      <c r="D30" s="211">
        <f t="shared" si="1"/>
        <v>32693</v>
      </c>
      <c r="E30" s="200">
        <f t="shared" si="2"/>
        <v>11964117.5</v>
      </c>
      <c r="F30" s="200"/>
      <c r="G30" s="503">
        <f t="shared" si="3"/>
        <v>2392823.5</v>
      </c>
      <c r="H30" s="916">
        <f t="shared" si="4"/>
        <v>0</v>
      </c>
      <c r="I30" s="200">
        <v>300000</v>
      </c>
      <c r="J30" s="338">
        <f t="shared" si="6"/>
        <v>8472396</v>
      </c>
      <c r="K30" s="213">
        <f t="shared" si="5"/>
        <v>953454</v>
      </c>
      <c r="L30" s="200">
        <f t="shared" si="0"/>
        <v>3491721.5</v>
      </c>
      <c r="M30" s="214"/>
    </row>
    <row r="31" spans="1:13" ht="27" customHeight="1">
      <c r="A31" s="219">
        <v>42430</v>
      </c>
      <c r="B31" s="200">
        <v>0</v>
      </c>
      <c r="C31" s="200">
        <v>0</v>
      </c>
      <c r="D31" s="211">
        <f t="shared" si="1"/>
        <v>32693</v>
      </c>
      <c r="E31" s="200">
        <f t="shared" si="2"/>
        <v>11964117.5</v>
      </c>
      <c r="F31" s="200"/>
      <c r="G31" s="503">
        <f t="shared" si="3"/>
        <v>2392823.5</v>
      </c>
      <c r="H31" s="916">
        <f t="shared" si="4"/>
        <v>145444</v>
      </c>
      <c r="I31" s="200">
        <v>1012442</v>
      </c>
      <c r="J31" s="338">
        <f t="shared" si="6"/>
        <v>9484838</v>
      </c>
      <c r="K31" s="213">
        <f t="shared" si="5"/>
        <v>86456</v>
      </c>
      <c r="L31" s="200">
        <f t="shared" si="0"/>
        <v>2479279.5</v>
      </c>
      <c r="M31" s="214"/>
    </row>
    <row r="32" spans="1:13" ht="35.1" customHeight="1">
      <c r="A32" s="219">
        <v>42522</v>
      </c>
      <c r="B32" s="200">
        <v>0</v>
      </c>
      <c r="C32" s="200">
        <v>0</v>
      </c>
      <c r="D32" s="211">
        <f t="shared" si="1"/>
        <v>32693</v>
      </c>
      <c r="E32" s="200">
        <f t="shared" si="2"/>
        <v>11964117.5</v>
      </c>
      <c r="F32" s="200"/>
      <c r="G32" s="503">
        <f t="shared" si="3"/>
        <v>2392823.5</v>
      </c>
      <c r="H32" s="916">
        <f t="shared" si="4"/>
        <v>0</v>
      </c>
      <c r="I32" s="200">
        <v>200000</v>
      </c>
      <c r="J32" s="338">
        <f t="shared" si="6"/>
        <v>9684838</v>
      </c>
      <c r="K32" s="213">
        <f t="shared" si="5"/>
        <v>-113544</v>
      </c>
      <c r="L32" s="200">
        <f t="shared" si="0"/>
        <v>2279279.5</v>
      </c>
      <c r="M32" s="214" t="s">
        <v>2979</v>
      </c>
    </row>
    <row r="33" spans="1:13" ht="27" customHeight="1">
      <c r="A33" s="219">
        <v>42523</v>
      </c>
      <c r="B33" s="200">
        <v>0</v>
      </c>
      <c r="C33" s="200">
        <v>0</v>
      </c>
      <c r="D33" s="211">
        <f t="shared" si="1"/>
        <v>32693</v>
      </c>
      <c r="E33" s="200">
        <f t="shared" si="2"/>
        <v>11964117.5</v>
      </c>
      <c r="F33" s="200"/>
      <c r="G33" s="503"/>
      <c r="H33" s="916">
        <f t="shared" si="4"/>
        <v>0</v>
      </c>
      <c r="I33" s="200">
        <v>400000</v>
      </c>
      <c r="J33" s="338">
        <f t="shared" si="6"/>
        <v>10084838</v>
      </c>
      <c r="K33" s="213">
        <f t="shared" si="5"/>
        <v>-513544</v>
      </c>
      <c r="L33" s="200">
        <f t="shared" si="0"/>
        <v>1879279.5</v>
      </c>
      <c r="M33" s="214" t="s">
        <v>2980</v>
      </c>
    </row>
    <row r="34" spans="1:13" ht="27" customHeight="1">
      <c r="A34" s="219">
        <v>42826</v>
      </c>
      <c r="B34" s="200">
        <v>0</v>
      </c>
      <c r="C34" s="200">
        <v>0</v>
      </c>
      <c r="D34" s="211">
        <f t="shared" si="1"/>
        <v>32693</v>
      </c>
      <c r="E34" s="200">
        <f t="shared" si="2"/>
        <v>11964117.5</v>
      </c>
      <c r="F34" s="200"/>
      <c r="G34" s="503"/>
      <c r="H34" s="961">
        <v>2392823.5</v>
      </c>
      <c r="I34" s="200"/>
      <c r="J34" s="338">
        <f t="shared" si="6"/>
        <v>10084838</v>
      </c>
      <c r="K34" s="213">
        <f t="shared" si="5"/>
        <v>1879279.5</v>
      </c>
      <c r="L34" s="200">
        <f t="shared" si="0"/>
        <v>1879279.5</v>
      </c>
      <c r="M34" s="214" t="s">
        <v>2981</v>
      </c>
    </row>
    <row r="35" spans="1:13" ht="27" customHeight="1">
      <c r="A35" s="219"/>
      <c r="B35" s="200"/>
      <c r="C35" s="200"/>
      <c r="D35" s="200"/>
      <c r="E35" s="200"/>
      <c r="F35" s="200"/>
      <c r="G35" s="180"/>
      <c r="H35" s="961"/>
      <c r="I35" s="200"/>
      <c r="J35" s="200"/>
      <c r="K35" s="213"/>
      <c r="L35" s="200"/>
      <c r="M35" s="214"/>
    </row>
    <row r="36" spans="1:13" ht="27" customHeight="1">
      <c r="A36" s="219"/>
      <c r="B36" s="200"/>
      <c r="C36" s="200"/>
      <c r="D36" s="200"/>
      <c r="E36" s="200"/>
      <c r="F36" s="200"/>
      <c r="G36" s="180"/>
      <c r="H36" s="961"/>
      <c r="I36" s="200"/>
      <c r="J36" s="200"/>
      <c r="K36" s="213"/>
      <c r="L36" s="200"/>
      <c r="M36" s="214"/>
    </row>
    <row r="37" spans="1:13" ht="27" customHeight="1">
      <c r="A37" s="219"/>
      <c r="B37" s="200"/>
      <c r="C37" s="200"/>
      <c r="D37" s="200"/>
      <c r="E37" s="200"/>
      <c r="F37" s="200"/>
      <c r="G37" s="180"/>
      <c r="H37" s="961"/>
      <c r="I37" s="200"/>
      <c r="J37" s="200"/>
      <c r="K37" s="213"/>
      <c r="L37" s="200"/>
      <c r="M37" s="214"/>
    </row>
    <row r="38" spans="1:13" ht="27" customHeight="1">
      <c r="A38" s="219"/>
      <c r="B38" s="200"/>
      <c r="C38" s="200"/>
      <c r="D38" s="200"/>
      <c r="E38" s="200"/>
      <c r="F38" s="200"/>
      <c r="G38" s="180"/>
      <c r="H38" s="961"/>
      <c r="I38" s="200"/>
      <c r="J38" s="200"/>
      <c r="K38" s="213"/>
      <c r="L38" s="200"/>
      <c r="M38" s="214"/>
    </row>
    <row r="39" spans="1:13" ht="27" customHeight="1">
      <c r="A39" s="219"/>
      <c r="B39" s="200"/>
      <c r="C39" s="200"/>
      <c r="D39" s="200"/>
      <c r="E39" s="200"/>
      <c r="F39" s="200"/>
      <c r="G39" s="180"/>
      <c r="H39" s="201"/>
      <c r="I39" s="200"/>
      <c r="J39" s="200"/>
      <c r="K39" s="200"/>
      <c r="L39" s="200"/>
      <c r="M39" s="214"/>
    </row>
  </sheetData>
  <mergeCells count="13">
    <mergeCell ref="B3:C3"/>
    <mergeCell ref="B4:I4"/>
    <mergeCell ref="J4:L4"/>
    <mergeCell ref="A5:C5"/>
    <mergeCell ref="D5:F5"/>
    <mergeCell ref="G5:I5"/>
    <mergeCell ref="C1:D1"/>
    <mergeCell ref="F1:G1"/>
    <mergeCell ref="J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37" zoomScaleSheetLayoutView="100" workbookViewId="0">
      <selection activeCell="A41" sqref="A41"/>
    </sheetView>
  </sheetViews>
  <sheetFormatPr defaultColWidth="9" defaultRowHeight="14.25"/>
  <cols>
    <col min="1" max="1" width="15.75" customWidth="1"/>
    <col min="2" max="2" width="12.75" customWidth="1"/>
    <col min="3" max="3" width="14.5" customWidth="1"/>
    <col min="4" max="4" width="12.875" customWidth="1"/>
    <col min="5" max="5" width="14.5" customWidth="1"/>
    <col min="6" max="6" width="12" customWidth="1"/>
    <col min="7" max="7" width="14.875" customWidth="1"/>
    <col min="8" max="9" width="13" customWidth="1"/>
    <col min="10" max="10" width="16.375" customWidth="1"/>
    <col min="11" max="11" width="19.25" customWidth="1"/>
    <col min="12" max="12" width="14.125" customWidth="1"/>
    <col min="13" max="13" width="38.875" customWidth="1"/>
  </cols>
  <sheetData>
    <row r="1" spans="1:13" ht="131.1" customHeight="1">
      <c r="A1" s="349" t="s">
        <v>2982</v>
      </c>
      <c r="B1" s="852"/>
      <c r="C1" s="2043" t="s">
        <v>2983</v>
      </c>
      <c r="D1" s="2037"/>
      <c r="E1" s="350" t="s">
        <v>2984</v>
      </c>
      <c r="F1" s="853"/>
      <c r="G1" s="905"/>
      <c r="H1" s="855"/>
      <c r="I1" s="306" t="s">
        <v>237</v>
      </c>
      <c r="J1" s="1772" t="s">
        <v>2985</v>
      </c>
      <c r="K1" s="1774"/>
      <c r="L1" s="1772" t="s">
        <v>2986</v>
      </c>
      <c r="M1" s="2044"/>
    </row>
    <row r="2" spans="1:13" ht="33" customHeight="1">
      <c r="A2" s="133" t="s">
        <v>240</v>
      </c>
      <c r="B2" s="1682" t="s">
        <v>2987</v>
      </c>
      <c r="C2" s="1682"/>
      <c r="D2" s="134" t="s">
        <v>242</v>
      </c>
      <c r="E2" s="1706" t="s">
        <v>2988</v>
      </c>
      <c r="F2" s="1706"/>
      <c r="G2" s="1706"/>
      <c r="H2" s="1706"/>
      <c r="I2" s="166" t="s">
        <v>243</v>
      </c>
      <c r="J2" s="2029" t="s">
        <v>2989</v>
      </c>
      <c r="K2" s="2029"/>
      <c r="L2" s="166" t="s">
        <v>245</v>
      </c>
      <c r="M2" s="205" t="s">
        <v>1966</v>
      </c>
    </row>
    <row r="3" spans="1:13" ht="39" customHeight="1">
      <c r="A3" s="133" t="s">
        <v>247</v>
      </c>
      <c r="B3" s="1682" t="s">
        <v>2990</v>
      </c>
      <c r="C3" s="1682"/>
      <c r="D3" s="134" t="s">
        <v>249</v>
      </c>
      <c r="E3" s="136">
        <v>140000</v>
      </c>
      <c r="F3" s="134" t="s">
        <v>251</v>
      </c>
      <c r="G3" s="134"/>
      <c r="H3" s="352" t="s">
        <v>252</v>
      </c>
      <c r="I3" s="899"/>
      <c r="J3" s="900" t="s">
        <v>565</v>
      </c>
      <c r="K3" s="944" t="s">
        <v>2991</v>
      </c>
      <c r="L3" s="944" t="s">
        <v>255</v>
      </c>
      <c r="M3" s="92" t="s">
        <v>2992</v>
      </c>
    </row>
    <row r="4" spans="1:13" ht="69" customHeight="1">
      <c r="A4" s="133" t="s">
        <v>260</v>
      </c>
      <c r="B4" s="2045" t="s">
        <v>2993</v>
      </c>
      <c r="C4" s="2046"/>
      <c r="D4" s="2046"/>
      <c r="E4" s="2046"/>
      <c r="F4" s="1690" t="s">
        <v>2994</v>
      </c>
      <c r="G4" s="2045"/>
      <c r="H4" s="1847" t="s">
        <v>2995</v>
      </c>
      <c r="I4" s="1847"/>
      <c r="J4" s="1847"/>
      <c r="K4" s="1737" t="s">
        <v>2996</v>
      </c>
      <c r="L4" s="1847"/>
    </row>
    <row r="5" spans="1:13" ht="66.95" customHeight="1">
      <c r="A5" s="133" t="s">
        <v>760</v>
      </c>
      <c r="B5" s="2040" t="s">
        <v>2997</v>
      </c>
      <c r="C5" s="2041"/>
      <c r="D5" s="2041"/>
      <c r="E5" s="2042"/>
      <c r="F5" s="198"/>
      <c r="G5" s="198"/>
      <c r="H5" s="914"/>
      <c r="I5" s="945"/>
      <c r="J5" s="366"/>
      <c r="K5" s="366"/>
      <c r="L5" s="366"/>
      <c r="M5" s="170"/>
    </row>
    <row r="6" spans="1:13" ht="36" customHeight="1">
      <c r="A6" s="1688" t="s">
        <v>570</v>
      </c>
      <c r="B6" s="1689"/>
      <c r="C6" s="1689"/>
      <c r="D6" s="1690"/>
      <c r="E6" s="1690"/>
      <c r="F6" s="1690"/>
      <c r="G6" s="1690"/>
      <c r="H6" s="1690"/>
      <c r="I6" s="1690"/>
      <c r="J6" s="169"/>
      <c r="K6" s="169"/>
      <c r="L6" s="169"/>
      <c r="M6" s="264"/>
    </row>
    <row r="7" spans="1:13" ht="42.75">
      <c r="A7" s="19" t="s">
        <v>266</v>
      </c>
      <c r="B7" s="20" t="s">
        <v>1150</v>
      </c>
      <c r="C7" s="20" t="s">
        <v>268</v>
      </c>
      <c r="D7" s="20" t="s">
        <v>269</v>
      </c>
      <c r="E7" s="20" t="s">
        <v>270</v>
      </c>
      <c r="F7" s="20" t="s">
        <v>271</v>
      </c>
      <c r="G7" s="21" t="s">
        <v>272</v>
      </c>
      <c r="H7" s="22" t="s">
        <v>273</v>
      </c>
      <c r="I7" s="20" t="s">
        <v>274</v>
      </c>
      <c r="J7" s="70" t="s">
        <v>275</v>
      </c>
      <c r="K7" s="70" t="s">
        <v>276</v>
      </c>
      <c r="L7" s="20" t="s">
        <v>277</v>
      </c>
      <c r="M7" s="71" t="s">
        <v>278</v>
      </c>
    </row>
    <row r="8" spans="1:13" ht="39.950000000000003" customHeight="1">
      <c r="A8" s="199">
        <v>41944</v>
      </c>
      <c r="B8" s="200">
        <v>2593.3000000000002</v>
      </c>
      <c r="C8" s="211">
        <f>799826+90</f>
        <v>799916</v>
      </c>
      <c r="D8" s="211">
        <f>B8</f>
        <v>2593.3000000000002</v>
      </c>
      <c r="E8" s="211">
        <f>C8</f>
        <v>799916</v>
      </c>
      <c r="F8" s="211"/>
      <c r="G8" s="503">
        <f>C8</f>
        <v>799916</v>
      </c>
      <c r="H8" s="503"/>
      <c r="I8" s="211"/>
      <c r="J8" s="211"/>
      <c r="K8" s="211"/>
      <c r="L8" s="211">
        <f t="shared" ref="L8:L16" si="0">E8-J8</f>
        <v>799916</v>
      </c>
      <c r="M8" s="946"/>
    </row>
    <row r="9" spans="1:13" ht="39.950000000000003" customHeight="1">
      <c r="A9" s="199">
        <v>41975</v>
      </c>
      <c r="B9" s="213">
        <v>2057.5</v>
      </c>
      <c r="C9" s="200">
        <v>629235.5</v>
      </c>
      <c r="D9" s="200">
        <f t="shared" ref="D9:D40" si="1">D8+B9</f>
        <v>4650.8</v>
      </c>
      <c r="E9" s="200">
        <f t="shared" ref="E9:E40" si="2">E8+C9</f>
        <v>1429151.5</v>
      </c>
      <c r="F9" s="200"/>
      <c r="G9" s="503">
        <f>C8*0.2+C9</f>
        <v>789218.7</v>
      </c>
      <c r="H9" s="201"/>
      <c r="I9" s="200"/>
      <c r="J9" s="200"/>
      <c r="K9" s="200"/>
      <c r="L9" s="211">
        <f t="shared" si="0"/>
        <v>1429151.5</v>
      </c>
      <c r="M9" s="947"/>
    </row>
    <row r="10" spans="1:13" ht="39.950000000000003" customHeight="1">
      <c r="A10" s="915">
        <v>42005</v>
      </c>
      <c r="B10" s="494">
        <v>4263</v>
      </c>
      <c r="C10" s="200">
        <v>1340334.5</v>
      </c>
      <c r="D10" s="211">
        <f t="shared" si="1"/>
        <v>8913.7999999999993</v>
      </c>
      <c r="E10" s="200">
        <f t="shared" si="2"/>
        <v>2769486</v>
      </c>
      <c r="F10" s="213"/>
      <c r="G10" s="201">
        <f>(C9+C8)*0.2+C10</f>
        <v>1626164.8</v>
      </c>
      <c r="H10" s="916">
        <f t="shared" ref="H10:H25" si="3">C8*0.8</f>
        <v>639932.80000000005</v>
      </c>
      <c r="I10" s="200">
        <v>639932.80000000005</v>
      </c>
      <c r="J10" s="200">
        <f t="shared" ref="J10:J40" si="4">J9+I10</f>
        <v>639932.80000000005</v>
      </c>
      <c r="K10" s="211">
        <f t="shared" ref="K10:K41" si="5">K9+H10-I10</f>
        <v>0</v>
      </c>
      <c r="L10" s="211">
        <f t="shared" si="0"/>
        <v>2129553.2000000002</v>
      </c>
      <c r="M10" s="947" t="s">
        <v>2998</v>
      </c>
    </row>
    <row r="11" spans="1:13" ht="39.950000000000003" customHeight="1">
      <c r="A11" s="915">
        <v>42037</v>
      </c>
      <c r="B11" s="494">
        <v>2588.5</v>
      </c>
      <c r="C11" s="494">
        <v>795990</v>
      </c>
      <c r="D11" s="211">
        <f t="shared" si="1"/>
        <v>11502.3</v>
      </c>
      <c r="E11" s="200">
        <f t="shared" si="2"/>
        <v>3565476</v>
      </c>
      <c r="F11" s="494"/>
      <c r="G11" s="201">
        <f>(C10+C9+C8)*0.2+C11</f>
        <v>1349887.2000000002</v>
      </c>
      <c r="H11" s="916">
        <f t="shared" si="3"/>
        <v>503388.4</v>
      </c>
      <c r="I11" s="338">
        <v>504000</v>
      </c>
      <c r="J11" s="200">
        <f t="shared" si="4"/>
        <v>1143932.8</v>
      </c>
      <c r="K11" s="213">
        <f t="shared" si="5"/>
        <v>-611.59999999997672</v>
      </c>
      <c r="L11" s="211">
        <f t="shared" si="0"/>
        <v>2421543.2000000002</v>
      </c>
      <c r="M11" s="948" t="s">
        <v>2999</v>
      </c>
    </row>
    <row r="12" spans="1:13" ht="39.950000000000003" customHeight="1">
      <c r="A12" s="915">
        <v>42069</v>
      </c>
      <c r="B12" s="494">
        <v>1007</v>
      </c>
      <c r="C12" s="494">
        <v>312795</v>
      </c>
      <c r="D12" s="211">
        <f t="shared" si="1"/>
        <v>12509.3</v>
      </c>
      <c r="E12" s="200">
        <f t="shared" si="2"/>
        <v>3878271</v>
      </c>
      <c r="F12" s="494"/>
      <c r="G12" s="201">
        <f>E11*0.2+C12</f>
        <v>1025890.2000000001</v>
      </c>
      <c r="H12" s="916">
        <f t="shared" si="3"/>
        <v>1072267.6000000001</v>
      </c>
      <c r="I12" s="338"/>
      <c r="J12" s="200">
        <f t="shared" si="4"/>
        <v>1143932.8</v>
      </c>
      <c r="K12" s="213">
        <f t="shared" si="5"/>
        <v>1071656</v>
      </c>
      <c r="L12" s="211">
        <f t="shared" si="0"/>
        <v>2734338.2</v>
      </c>
      <c r="M12" s="948"/>
    </row>
    <row r="13" spans="1:13" ht="39.950000000000003" customHeight="1">
      <c r="A13" s="219">
        <v>42095</v>
      </c>
      <c r="B13" s="200">
        <v>3132.5</v>
      </c>
      <c r="C13" s="200">
        <v>948023</v>
      </c>
      <c r="D13" s="211">
        <f t="shared" si="1"/>
        <v>15641.8</v>
      </c>
      <c r="E13" s="200">
        <f t="shared" si="2"/>
        <v>4826294</v>
      </c>
      <c r="F13" s="200"/>
      <c r="G13" s="201">
        <f t="shared" ref="G13:G24" si="6">E12*0.2+C13</f>
        <v>1723677.2000000002</v>
      </c>
      <c r="H13" s="916">
        <f t="shared" si="3"/>
        <v>636792</v>
      </c>
      <c r="I13" s="200">
        <v>600000</v>
      </c>
      <c r="J13" s="200">
        <f t="shared" si="4"/>
        <v>1743932.8</v>
      </c>
      <c r="K13" s="213">
        <f t="shared" si="5"/>
        <v>1108448</v>
      </c>
      <c r="L13" s="211">
        <f t="shared" si="0"/>
        <v>3082361.2</v>
      </c>
      <c r="M13" s="506" t="s">
        <v>3000</v>
      </c>
    </row>
    <row r="14" spans="1:13" ht="39.950000000000003" customHeight="1">
      <c r="A14" s="219">
        <v>42125</v>
      </c>
      <c r="B14" s="200">
        <v>2017.5</v>
      </c>
      <c r="C14" s="200">
        <v>618782</v>
      </c>
      <c r="D14" s="211">
        <f t="shared" si="1"/>
        <v>17659.3</v>
      </c>
      <c r="E14" s="200">
        <f t="shared" si="2"/>
        <v>5445076</v>
      </c>
      <c r="F14" s="200"/>
      <c r="G14" s="201">
        <f t="shared" si="6"/>
        <v>1584040.8</v>
      </c>
      <c r="H14" s="916">
        <f t="shared" si="3"/>
        <v>250236</v>
      </c>
      <c r="I14" s="200">
        <v>300000</v>
      </c>
      <c r="J14" s="200">
        <f t="shared" si="4"/>
        <v>2043932.8</v>
      </c>
      <c r="K14" s="213">
        <f t="shared" si="5"/>
        <v>1058684</v>
      </c>
      <c r="L14" s="211">
        <f t="shared" si="0"/>
        <v>3401143.2</v>
      </c>
      <c r="M14" s="506" t="s">
        <v>3001</v>
      </c>
    </row>
    <row r="15" spans="1:13" ht="39.950000000000003" customHeight="1">
      <c r="A15" s="219">
        <v>42156</v>
      </c>
      <c r="B15" s="200">
        <v>9614.5</v>
      </c>
      <c r="C15" s="200">
        <v>3101663</v>
      </c>
      <c r="D15" s="211">
        <f t="shared" si="1"/>
        <v>27273.8</v>
      </c>
      <c r="E15" s="200">
        <f t="shared" si="2"/>
        <v>8546739</v>
      </c>
      <c r="F15" s="200"/>
      <c r="G15" s="201">
        <f t="shared" si="6"/>
        <v>4190678.2</v>
      </c>
      <c r="H15" s="916">
        <f t="shared" si="3"/>
        <v>758418.4</v>
      </c>
      <c r="I15" s="200">
        <v>500000</v>
      </c>
      <c r="J15" s="200">
        <f t="shared" si="4"/>
        <v>2543932.7999999998</v>
      </c>
      <c r="K15" s="213">
        <f t="shared" si="5"/>
        <v>1317102.3999999999</v>
      </c>
      <c r="L15" s="211">
        <f t="shared" si="0"/>
        <v>6002806.2000000002</v>
      </c>
      <c r="M15" s="506" t="s">
        <v>3002</v>
      </c>
    </row>
    <row r="16" spans="1:13" ht="39.950000000000003" customHeight="1">
      <c r="A16" s="219">
        <v>42186</v>
      </c>
      <c r="B16" s="200">
        <v>13049</v>
      </c>
      <c r="C16" s="200">
        <v>4282323.5</v>
      </c>
      <c r="D16" s="211">
        <f t="shared" si="1"/>
        <v>40322.800000000003</v>
      </c>
      <c r="E16" s="200">
        <f t="shared" si="2"/>
        <v>12829062.5</v>
      </c>
      <c r="F16" s="200"/>
      <c r="G16" s="201">
        <f t="shared" si="6"/>
        <v>5991671.2999999998</v>
      </c>
      <c r="H16" s="916">
        <f t="shared" si="3"/>
        <v>495025.60000000003</v>
      </c>
      <c r="I16" s="200">
        <v>1317102</v>
      </c>
      <c r="J16" s="200">
        <f t="shared" si="4"/>
        <v>3861034.8</v>
      </c>
      <c r="K16" s="213">
        <f t="shared" si="5"/>
        <v>495026</v>
      </c>
      <c r="L16" s="211">
        <f t="shared" si="0"/>
        <v>8968027.6999999993</v>
      </c>
      <c r="M16" s="506" t="s">
        <v>3003</v>
      </c>
    </row>
    <row r="17" spans="1:13" ht="39.950000000000003" customHeight="1">
      <c r="A17" s="219">
        <v>42217</v>
      </c>
      <c r="B17" s="200">
        <v>9723</v>
      </c>
      <c r="C17" s="200">
        <v>3242611.5</v>
      </c>
      <c r="D17" s="211">
        <f t="shared" si="1"/>
        <v>50045.8</v>
      </c>
      <c r="E17" s="200">
        <f t="shared" si="2"/>
        <v>16071674</v>
      </c>
      <c r="F17" s="200"/>
      <c r="G17" s="201">
        <f t="shared" si="6"/>
        <v>5808424</v>
      </c>
      <c r="H17" s="916">
        <f t="shared" si="3"/>
        <v>2481330.4</v>
      </c>
      <c r="I17" s="200"/>
      <c r="J17" s="200">
        <f t="shared" si="4"/>
        <v>3861034.8</v>
      </c>
      <c r="K17" s="213">
        <f t="shared" si="5"/>
        <v>2976356.4</v>
      </c>
      <c r="L17" s="211">
        <f t="shared" ref="L17:L40" si="7">E17-J17</f>
        <v>12210639.199999999</v>
      </c>
      <c r="M17" s="506" t="s">
        <v>3004</v>
      </c>
    </row>
    <row r="18" spans="1:13" ht="39.950000000000003" customHeight="1">
      <c r="A18" s="219">
        <v>42248</v>
      </c>
      <c r="B18" s="200">
        <v>10824.5</v>
      </c>
      <c r="C18" s="200">
        <v>3490521</v>
      </c>
      <c r="D18" s="211">
        <f t="shared" si="1"/>
        <v>60870.3</v>
      </c>
      <c r="E18" s="200">
        <f t="shared" si="2"/>
        <v>19562195</v>
      </c>
      <c r="F18" s="200"/>
      <c r="G18" s="201">
        <f t="shared" si="6"/>
        <v>6704855.8000000007</v>
      </c>
      <c r="H18" s="916">
        <f t="shared" si="3"/>
        <v>3425858.8000000003</v>
      </c>
      <c r="I18" s="200">
        <v>2500000</v>
      </c>
      <c r="J18" s="200">
        <f t="shared" si="4"/>
        <v>6361034.7999999998</v>
      </c>
      <c r="K18" s="213">
        <f t="shared" si="5"/>
        <v>3902215.2</v>
      </c>
      <c r="L18" s="211">
        <f t="shared" si="7"/>
        <v>13201160.199999999</v>
      </c>
      <c r="M18" s="506" t="s">
        <v>3005</v>
      </c>
    </row>
    <row r="19" spans="1:13" ht="51.95" customHeight="1">
      <c r="A19" s="917">
        <v>42278</v>
      </c>
      <c r="B19" s="918">
        <v>9460</v>
      </c>
      <c r="C19" s="918">
        <v>3041804.5</v>
      </c>
      <c r="D19" s="211">
        <f t="shared" si="1"/>
        <v>70330.3</v>
      </c>
      <c r="E19" s="200">
        <f t="shared" si="2"/>
        <v>22603999.5</v>
      </c>
      <c r="F19" s="200"/>
      <c r="G19" s="201">
        <f t="shared" si="6"/>
        <v>6954243.5</v>
      </c>
      <c r="H19" s="916">
        <f t="shared" si="3"/>
        <v>2594089.2000000002</v>
      </c>
      <c r="I19" s="211">
        <f>1476356+500000</f>
        <v>1976356</v>
      </c>
      <c r="J19" s="200">
        <f t="shared" si="4"/>
        <v>8337390.7999999998</v>
      </c>
      <c r="K19" s="213">
        <f t="shared" si="5"/>
        <v>4519948.4000000004</v>
      </c>
      <c r="L19" s="211">
        <f t="shared" si="7"/>
        <v>14266608.699999999</v>
      </c>
      <c r="M19" s="506" t="s">
        <v>3006</v>
      </c>
    </row>
    <row r="20" spans="1:13" s="513" customFormat="1" ht="39.950000000000003" customHeight="1">
      <c r="A20" s="917">
        <v>42309</v>
      </c>
      <c r="B20" s="523">
        <v>6888.3</v>
      </c>
      <c r="C20" s="523">
        <v>2338161.9</v>
      </c>
      <c r="D20" s="211">
        <f t="shared" si="1"/>
        <v>77218.600000000006</v>
      </c>
      <c r="E20" s="200">
        <f t="shared" si="2"/>
        <v>24942161.399999999</v>
      </c>
      <c r="F20" s="331"/>
      <c r="G20" s="201">
        <f t="shared" si="6"/>
        <v>6858961.8000000007</v>
      </c>
      <c r="H20" s="919">
        <f t="shared" si="3"/>
        <v>2792416.8000000003</v>
      </c>
      <c r="I20" s="523">
        <f>1000000+925858</f>
        <v>1925858</v>
      </c>
      <c r="J20" s="200">
        <f t="shared" si="4"/>
        <v>10263248.800000001</v>
      </c>
      <c r="K20" s="949">
        <f t="shared" si="5"/>
        <v>5386507.2000000011</v>
      </c>
      <c r="L20" s="211">
        <f t="shared" si="7"/>
        <v>14678912.599999998</v>
      </c>
      <c r="M20" s="506" t="s">
        <v>3007</v>
      </c>
    </row>
    <row r="21" spans="1:13" ht="39.950000000000003" customHeight="1">
      <c r="A21" s="917">
        <v>42339</v>
      </c>
      <c r="B21" s="920">
        <v>8442.5</v>
      </c>
      <c r="C21" s="920">
        <v>2886779.5</v>
      </c>
      <c r="D21" s="211">
        <f t="shared" si="1"/>
        <v>85661.1</v>
      </c>
      <c r="E21" s="200">
        <f t="shared" si="2"/>
        <v>27828940.899999999</v>
      </c>
      <c r="F21" s="921"/>
      <c r="G21" s="201">
        <f t="shared" si="6"/>
        <v>7875211.7800000003</v>
      </c>
      <c r="H21" s="919">
        <f t="shared" si="3"/>
        <v>2433443.6</v>
      </c>
      <c r="I21" s="920">
        <v>2594089</v>
      </c>
      <c r="J21" s="200">
        <f t="shared" si="4"/>
        <v>12857337.800000001</v>
      </c>
      <c r="K21" s="949">
        <f t="shared" si="5"/>
        <v>5225861.8000000007</v>
      </c>
      <c r="L21" s="211">
        <f t="shared" si="7"/>
        <v>14971603.099999998</v>
      </c>
      <c r="M21" s="504" t="s">
        <v>3008</v>
      </c>
    </row>
    <row r="22" spans="1:13" ht="39.950000000000003" customHeight="1">
      <c r="A22" s="917">
        <v>42370</v>
      </c>
      <c r="B22" s="922">
        <v>8973</v>
      </c>
      <c r="C22" s="922">
        <v>2909807</v>
      </c>
      <c r="D22" s="211">
        <f t="shared" si="1"/>
        <v>94634.1</v>
      </c>
      <c r="E22" s="200">
        <f t="shared" si="2"/>
        <v>30738747.899999999</v>
      </c>
      <c r="F22" s="921"/>
      <c r="G22" s="201">
        <f t="shared" si="6"/>
        <v>8475595.1799999997</v>
      </c>
      <c r="H22" s="919">
        <f t="shared" si="3"/>
        <v>1870529.52</v>
      </c>
      <c r="I22" s="922">
        <v>2792416.8</v>
      </c>
      <c r="J22" s="200">
        <f t="shared" si="4"/>
        <v>15649754.600000001</v>
      </c>
      <c r="K22" s="949">
        <f t="shared" si="5"/>
        <v>4303974.5200000005</v>
      </c>
      <c r="L22" s="211">
        <f t="shared" si="7"/>
        <v>15088993.299999997</v>
      </c>
      <c r="M22" s="950" t="s">
        <v>3009</v>
      </c>
    </row>
    <row r="23" spans="1:13" ht="39.950000000000003" customHeight="1">
      <c r="A23" s="917">
        <v>42401</v>
      </c>
      <c r="B23" s="922">
        <v>776.5</v>
      </c>
      <c r="C23" s="922">
        <v>261342</v>
      </c>
      <c r="D23" s="211">
        <f t="shared" si="1"/>
        <v>95410.6</v>
      </c>
      <c r="E23" s="923">
        <f t="shared" si="2"/>
        <v>31000089.899999999</v>
      </c>
      <c r="F23" s="921"/>
      <c r="G23" s="201">
        <f t="shared" si="6"/>
        <v>6409091.5800000001</v>
      </c>
      <c r="H23" s="924">
        <f t="shared" si="3"/>
        <v>2309423.6</v>
      </c>
      <c r="I23" s="480">
        <v>3200000</v>
      </c>
      <c r="J23" s="200">
        <f t="shared" si="4"/>
        <v>18849754.600000001</v>
      </c>
      <c r="K23" s="949">
        <f t="shared" si="5"/>
        <v>3413398.120000001</v>
      </c>
      <c r="L23" s="211">
        <f t="shared" si="7"/>
        <v>12150335.299999997</v>
      </c>
      <c r="M23" s="950" t="s">
        <v>3010</v>
      </c>
    </row>
    <row r="24" spans="1:13" ht="39.950000000000003" customHeight="1">
      <c r="A24" s="917">
        <v>42430</v>
      </c>
      <c r="B24" s="920">
        <v>3756.5</v>
      </c>
      <c r="C24" s="920">
        <v>1268284.5</v>
      </c>
      <c r="D24" s="211">
        <f t="shared" si="1"/>
        <v>99167.1</v>
      </c>
      <c r="E24" s="925">
        <f t="shared" si="2"/>
        <v>32268374.399999999</v>
      </c>
      <c r="F24" s="921"/>
      <c r="G24" s="201">
        <f t="shared" si="6"/>
        <v>7468302.4800000004</v>
      </c>
      <c r="H24" s="333">
        <f t="shared" si="3"/>
        <v>2327845.6</v>
      </c>
      <c r="I24" s="200"/>
      <c r="J24" s="482">
        <f t="shared" si="4"/>
        <v>18849754.600000001</v>
      </c>
      <c r="K24" s="949">
        <f t="shared" si="5"/>
        <v>5741243.7200000007</v>
      </c>
      <c r="L24" s="211">
        <f t="shared" si="7"/>
        <v>13418619.799999997</v>
      </c>
      <c r="M24" s="951" t="s">
        <v>3011</v>
      </c>
    </row>
    <row r="25" spans="1:13" ht="39.950000000000003" customHeight="1">
      <c r="A25" s="917">
        <v>42461</v>
      </c>
      <c r="B25" s="540">
        <v>6093</v>
      </c>
      <c r="C25" s="540">
        <v>2058978.5</v>
      </c>
      <c r="D25" s="211">
        <f t="shared" si="1"/>
        <v>105260.1</v>
      </c>
      <c r="E25" s="200">
        <f t="shared" si="2"/>
        <v>34327352.899999999</v>
      </c>
      <c r="F25" s="200"/>
      <c r="G25" s="926">
        <f>C25+E23*0.2*2/3</f>
        <v>6192323.8200000003</v>
      </c>
      <c r="H25" s="333">
        <f t="shared" si="3"/>
        <v>209073.6</v>
      </c>
      <c r="I25" s="200">
        <v>500000</v>
      </c>
      <c r="J25" s="482">
        <f t="shared" si="4"/>
        <v>19349754.600000001</v>
      </c>
      <c r="K25" s="949">
        <f t="shared" si="5"/>
        <v>5450317.3200000003</v>
      </c>
      <c r="L25" s="211">
        <f t="shared" si="7"/>
        <v>14977598.299999997</v>
      </c>
      <c r="M25" s="951"/>
    </row>
    <row r="26" spans="1:13" ht="32.1" customHeight="1">
      <c r="A26" s="917">
        <v>42491</v>
      </c>
      <c r="B26" s="338">
        <v>8395</v>
      </c>
      <c r="C26" s="338">
        <v>2785577</v>
      </c>
      <c r="D26" s="211">
        <f t="shared" si="1"/>
        <v>113655.1</v>
      </c>
      <c r="E26" s="200">
        <f t="shared" si="2"/>
        <v>37112929.899999999</v>
      </c>
      <c r="F26" s="200"/>
      <c r="G26" s="926">
        <f>C26+E23*0.2*1/3</f>
        <v>4852249.66</v>
      </c>
      <c r="H26" s="927">
        <f>C24+E23*0.2*1/3</f>
        <v>3334957.16</v>
      </c>
      <c r="I26" s="200">
        <v>500000</v>
      </c>
      <c r="J26" s="482">
        <f t="shared" si="4"/>
        <v>19849754.600000001</v>
      </c>
      <c r="K26" s="949">
        <f t="shared" si="5"/>
        <v>8285274.4800000004</v>
      </c>
      <c r="L26" s="211">
        <f t="shared" si="7"/>
        <v>17263175.299999997</v>
      </c>
      <c r="M26" s="952" t="s">
        <v>3012</v>
      </c>
    </row>
    <row r="27" spans="1:13" ht="32.1" customHeight="1">
      <c r="A27" s="928">
        <v>42522</v>
      </c>
      <c r="B27" s="929">
        <v>7071.5</v>
      </c>
      <c r="C27" s="930">
        <v>2383382.5</v>
      </c>
      <c r="D27" s="931">
        <f t="shared" si="1"/>
        <v>120726.6</v>
      </c>
      <c r="E27" s="200">
        <f t="shared" si="2"/>
        <v>39496312.399999999</v>
      </c>
      <c r="F27" s="200"/>
      <c r="G27" s="926">
        <f t="shared" ref="G27:G40" si="8">C27</f>
        <v>2383382.5</v>
      </c>
      <c r="H27" s="333">
        <f>C25+E23*0.2*1/3</f>
        <v>4125651.16</v>
      </c>
      <c r="I27" s="200">
        <v>3800000</v>
      </c>
      <c r="J27" s="482">
        <f t="shared" si="4"/>
        <v>23649754.600000001</v>
      </c>
      <c r="K27" s="949">
        <f t="shared" si="5"/>
        <v>8610925.6400000006</v>
      </c>
      <c r="L27" s="211">
        <f t="shared" si="7"/>
        <v>15846557.799999997</v>
      </c>
      <c r="M27" s="953" t="s">
        <v>3013</v>
      </c>
    </row>
    <row r="28" spans="1:13" ht="32.1" customHeight="1">
      <c r="A28" s="928">
        <v>42552</v>
      </c>
      <c r="B28" s="482">
        <v>7008</v>
      </c>
      <c r="C28" s="252">
        <v>2285234.5</v>
      </c>
      <c r="D28" s="931">
        <f t="shared" si="1"/>
        <v>127734.6</v>
      </c>
      <c r="E28" s="200">
        <f t="shared" si="2"/>
        <v>41781546.899999999</v>
      </c>
      <c r="F28" s="200"/>
      <c r="G28" s="932">
        <f t="shared" si="8"/>
        <v>2285234.5</v>
      </c>
      <c r="H28" s="933">
        <f>C26+E23*0.2*1/3</f>
        <v>4852249.66</v>
      </c>
      <c r="I28" s="200">
        <f>1000000+2164943.52</f>
        <v>3164943.52</v>
      </c>
      <c r="J28" s="482">
        <f t="shared" si="4"/>
        <v>26814698.120000001</v>
      </c>
      <c r="K28" s="949">
        <f t="shared" si="5"/>
        <v>10298231.780000001</v>
      </c>
      <c r="L28" s="211">
        <f t="shared" si="7"/>
        <v>14966848.779999997</v>
      </c>
      <c r="M28" s="953" t="s">
        <v>3014</v>
      </c>
    </row>
    <row r="29" spans="1:13" ht="32.1" customHeight="1">
      <c r="A29" s="928">
        <v>42583</v>
      </c>
      <c r="B29" s="929">
        <v>5390.5</v>
      </c>
      <c r="C29" s="934">
        <v>1659657</v>
      </c>
      <c r="D29" s="931">
        <f t="shared" si="1"/>
        <v>133125.1</v>
      </c>
      <c r="E29" s="200">
        <f t="shared" si="2"/>
        <v>43441203.899999999</v>
      </c>
      <c r="F29" s="213"/>
      <c r="G29" s="932">
        <f t="shared" si="8"/>
        <v>1659657</v>
      </c>
      <c r="H29" s="333">
        <f t="shared" ref="H29:H41" si="9">C27</f>
        <v>2383382.5</v>
      </c>
      <c r="I29" s="482"/>
      <c r="J29" s="482">
        <f t="shared" si="4"/>
        <v>26814698.120000001</v>
      </c>
      <c r="K29" s="949">
        <f t="shared" si="5"/>
        <v>12681614.280000001</v>
      </c>
      <c r="L29" s="211">
        <f t="shared" si="7"/>
        <v>16626505.779999997</v>
      </c>
      <c r="M29" s="506" t="s">
        <v>3015</v>
      </c>
    </row>
    <row r="30" spans="1:13" ht="32.1" customHeight="1">
      <c r="A30" s="928">
        <v>42614</v>
      </c>
      <c r="B30" s="482">
        <v>4408</v>
      </c>
      <c r="C30" s="935">
        <v>1358032.5</v>
      </c>
      <c r="D30" s="931">
        <f t="shared" si="1"/>
        <v>137533.1</v>
      </c>
      <c r="E30" s="200">
        <f t="shared" si="2"/>
        <v>44799236.399999999</v>
      </c>
      <c r="F30" s="213"/>
      <c r="G30" s="932">
        <f t="shared" si="8"/>
        <v>1358032.5</v>
      </c>
      <c r="H30" s="333">
        <f t="shared" si="9"/>
        <v>2285234.5</v>
      </c>
      <c r="I30" s="485">
        <f>2600000+1500000</f>
        <v>4100000</v>
      </c>
      <c r="J30" s="482">
        <f t="shared" si="4"/>
        <v>30914698.120000001</v>
      </c>
      <c r="K30" s="949">
        <f t="shared" si="5"/>
        <v>10866848.780000001</v>
      </c>
      <c r="L30" s="211">
        <f t="shared" si="7"/>
        <v>13884538.279999997</v>
      </c>
      <c r="M30" s="506"/>
    </row>
    <row r="31" spans="1:13" ht="32.1" customHeight="1">
      <c r="A31" s="928">
        <v>42644</v>
      </c>
      <c r="B31" s="482">
        <v>2936.5</v>
      </c>
      <c r="C31" s="935">
        <v>916787</v>
      </c>
      <c r="D31" s="931">
        <f t="shared" si="1"/>
        <v>140469.6</v>
      </c>
      <c r="E31" s="200">
        <f t="shared" si="2"/>
        <v>45716023.399999999</v>
      </c>
      <c r="F31" s="213"/>
      <c r="G31" s="932">
        <f t="shared" si="8"/>
        <v>916787</v>
      </c>
      <c r="H31" s="333">
        <f t="shared" si="9"/>
        <v>1659657</v>
      </c>
      <c r="I31" s="485">
        <v>2000000</v>
      </c>
      <c r="J31" s="482">
        <f t="shared" si="4"/>
        <v>32914698.120000001</v>
      </c>
      <c r="K31" s="949">
        <f t="shared" si="5"/>
        <v>10526505.780000001</v>
      </c>
      <c r="L31" s="211">
        <f t="shared" si="7"/>
        <v>12801325.279999997</v>
      </c>
      <c r="M31" s="506" t="s">
        <v>3016</v>
      </c>
    </row>
    <row r="32" spans="1:13" ht="32.1" customHeight="1">
      <c r="A32" s="928">
        <v>42675</v>
      </c>
      <c r="B32" s="482">
        <v>2341</v>
      </c>
      <c r="C32" s="935">
        <v>724221</v>
      </c>
      <c r="D32" s="931">
        <f t="shared" si="1"/>
        <v>142810.6</v>
      </c>
      <c r="E32" s="200">
        <f t="shared" si="2"/>
        <v>46440244.399999999</v>
      </c>
      <c r="F32" s="213"/>
      <c r="G32" s="932">
        <f t="shared" si="8"/>
        <v>724221</v>
      </c>
      <c r="H32" s="333">
        <f t="shared" si="9"/>
        <v>1358032.5</v>
      </c>
      <c r="I32" s="485">
        <v>2000000</v>
      </c>
      <c r="J32" s="482">
        <f t="shared" si="4"/>
        <v>34914698.120000005</v>
      </c>
      <c r="K32" s="949">
        <f t="shared" si="5"/>
        <v>9884538.2800000012</v>
      </c>
      <c r="L32" s="211">
        <f t="shared" si="7"/>
        <v>11525546.279999994</v>
      </c>
      <c r="M32" s="506" t="s">
        <v>3017</v>
      </c>
    </row>
    <row r="33" spans="1:13" s="913" customFormat="1" ht="32.1" customHeight="1">
      <c r="A33" s="928">
        <v>42705</v>
      </c>
      <c r="B33" s="936">
        <v>1574</v>
      </c>
      <c r="C33" s="937">
        <v>505447.5</v>
      </c>
      <c r="D33" s="938">
        <f t="shared" si="1"/>
        <v>144384.6</v>
      </c>
      <c r="E33" s="921">
        <f t="shared" si="2"/>
        <v>46945691.899999999</v>
      </c>
      <c r="F33" s="939"/>
      <c r="G33" s="940">
        <f t="shared" si="8"/>
        <v>505447.5</v>
      </c>
      <c r="H33" s="941">
        <f t="shared" si="9"/>
        <v>916787</v>
      </c>
      <c r="I33" s="954"/>
      <c r="J33" s="936">
        <f t="shared" si="4"/>
        <v>34914698.120000005</v>
      </c>
      <c r="K33" s="939">
        <f t="shared" si="5"/>
        <v>10801325.280000001</v>
      </c>
      <c r="L33" s="918">
        <f t="shared" si="7"/>
        <v>12030993.779999994</v>
      </c>
      <c r="M33" s="953" t="s">
        <v>3018</v>
      </c>
    </row>
    <row r="34" spans="1:13" ht="32.1" customHeight="1">
      <c r="A34" s="928">
        <v>42736</v>
      </c>
      <c r="B34" s="482">
        <v>426</v>
      </c>
      <c r="C34" s="935">
        <v>142942</v>
      </c>
      <c r="D34" s="931">
        <f t="shared" si="1"/>
        <v>144810.6</v>
      </c>
      <c r="E34" s="200">
        <f t="shared" si="2"/>
        <v>47088633.899999999</v>
      </c>
      <c r="F34" s="213"/>
      <c r="G34" s="932">
        <f t="shared" si="8"/>
        <v>142942</v>
      </c>
      <c r="H34" s="333">
        <f t="shared" si="9"/>
        <v>724221</v>
      </c>
      <c r="I34" s="485">
        <v>4500000</v>
      </c>
      <c r="J34" s="482">
        <f t="shared" si="4"/>
        <v>39414698.120000005</v>
      </c>
      <c r="K34" s="949">
        <f t="shared" si="5"/>
        <v>7025546.2800000012</v>
      </c>
      <c r="L34" s="211">
        <f t="shared" si="7"/>
        <v>7673935.7799999937</v>
      </c>
      <c r="M34" s="506" t="s">
        <v>3019</v>
      </c>
    </row>
    <row r="35" spans="1:13" ht="32.1" customHeight="1">
      <c r="A35" s="928">
        <v>42767</v>
      </c>
      <c r="B35" s="482">
        <v>650.5</v>
      </c>
      <c r="C35" s="935">
        <v>218666</v>
      </c>
      <c r="D35" s="931">
        <f t="shared" si="1"/>
        <v>145461.1</v>
      </c>
      <c r="E35" s="200">
        <f t="shared" si="2"/>
        <v>47307299.899999999</v>
      </c>
      <c r="F35" s="213"/>
      <c r="G35" s="932">
        <f t="shared" si="8"/>
        <v>218666</v>
      </c>
      <c r="H35" s="333">
        <f t="shared" si="9"/>
        <v>505447.5</v>
      </c>
      <c r="I35" s="485"/>
      <c r="J35" s="482">
        <f t="shared" si="4"/>
        <v>39414698.120000005</v>
      </c>
      <c r="K35" s="949">
        <f t="shared" si="5"/>
        <v>7530993.7800000012</v>
      </c>
      <c r="L35" s="211">
        <f t="shared" si="7"/>
        <v>7892601.7799999937</v>
      </c>
      <c r="M35" s="506"/>
    </row>
    <row r="36" spans="1:13" ht="32.1" customHeight="1">
      <c r="A36" s="928">
        <v>42795</v>
      </c>
      <c r="B36" s="482">
        <v>1746</v>
      </c>
      <c r="C36" s="935">
        <v>569724</v>
      </c>
      <c r="D36" s="931">
        <f t="shared" si="1"/>
        <v>147207.1</v>
      </c>
      <c r="E36" s="200">
        <f t="shared" si="2"/>
        <v>47877023.899999999</v>
      </c>
      <c r="F36" s="213"/>
      <c r="G36" s="932">
        <f t="shared" si="8"/>
        <v>569724</v>
      </c>
      <c r="H36" s="333">
        <f t="shared" si="9"/>
        <v>142942</v>
      </c>
      <c r="I36" s="485">
        <v>985973.5</v>
      </c>
      <c r="J36" s="482">
        <f t="shared" si="4"/>
        <v>40400671.620000005</v>
      </c>
      <c r="K36" s="949">
        <f t="shared" si="5"/>
        <v>6687962.2800000012</v>
      </c>
      <c r="L36" s="211">
        <f t="shared" si="7"/>
        <v>7476352.2799999937</v>
      </c>
      <c r="M36" s="506" t="s">
        <v>3020</v>
      </c>
    </row>
    <row r="37" spans="1:13" ht="32.1" customHeight="1">
      <c r="A37" s="928">
        <v>42826</v>
      </c>
      <c r="B37" s="482">
        <v>395.5</v>
      </c>
      <c r="C37" s="935">
        <v>128303</v>
      </c>
      <c r="D37" s="931">
        <f t="shared" si="1"/>
        <v>147602.6</v>
      </c>
      <c r="E37" s="200">
        <f t="shared" si="2"/>
        <v>48005326.899999999</v>
      </c>
      <c r="F37" s="213"/>
      <c r="G37" s="932">
        <f t="shared" si="8"/>
        <v>128303</v>
      </c>
      <c r="H37" s="333">
        <f t="shared" si="9"/>
        <v>218666</v>
      </c>
      <c r="I37" s="485">
        <v>3000000</v>
      </c>
      <c r="J37" s="482">
        <f t="shared" si="4"/>
        <v>43400671.620000005</v>
      </c>
      <c r="K37" s="949">
        <f t="shared" si="5"/>
        <v>3906628.2800000012</v>
      </c>
      <c r="L37" s="211">
        <f t="shared" si="7"/>
        <v>4604655.2799999937</v>
      </c>
      <c r="M37" s="506" t="s">
        <v>3021</v>
      </c>
    </row>
    <row r="38" spans="1:13" ht="32.1" customHeight="1">
      <c r="A38" s="219">
        <v>42856</v>
      </c>
      <c r="B38" s="482">
        <v>342</v>
      </c>
      <c r="C38" s="200">
        <v>111925</v>
      </c>
      <c r="D38" s="931">
        <f t="shared" si="1"/>
        <v>147944.6</v>
      </c>
      <c r="E38" s="200">
        <f t="shared" si="2"/>
        <v>48117251.899999999</v>
      </c>
      <c r="F38" s="213"/>
      <c r="G38" s="932">
        <f t="shared" si="8"/>
        <v>111925</v>
      </c>
      <c r="H38" s="333">
        <f t="shared" si="9"/>
        <v>569724</v>
      </c>
      <c r="I38" s="954"/>
      <c r="J38" s="482">
        <f t="shared" si="4"/>
        <v>43400671.620000005</v>
      </c>
      <c r="K38" s="949">
        <f t="shared" si="5"/>
        <v>4476352.2800000012</v>
      </c>
      <c r="L38" s="211">
        <f t="shared" si="7"/>
        <v>4716580.2799999937</v>
      </c>
      <c r="M38" s="506" t="s">
        <v>3022</v>
      </c>
    </row>
    <row r="39" spans="1:13" ht="32.1" customHeight="1">
      <c r="A39" s="942">
        <v>42887</v>
      </c>
      <c r="B39" s="482">
        <v>0</v>
      </c>
      <c r="C39" s="200">
        <v>0</v>
      </c>
      <c r="D39" s="931">
        <f t="shared" si="1"/>
        <v>147944.6</v>
      </c>
      <c r="E39" s="200">
        <f t="shared" si="2"/>
        <v>48117251.899999999</v>
      </c>
      <c r="F39" s="213"/>
      <c r="G39" s="932">
        <f t="shared" si="8"/>
        <v>0</v>
      </c>
      <c r="H39" s="333">
        <f t="shared" si="9"/>
        <v>128303</v>
      </c>
      <c r="I39" s="954">
        <v>1000000</v>
      </c>
      <c r="J39" s="482">
        <f t="shared" si="4"/>
        <v>44400671.620000005</v>
      </c>
      <c r="K39" s="949">
        <f t="shared" si="5"/>
        <v>3604655.2800000012</v>
      </c>
      <c r="L39" s="211">
        <f t="shared" si="7"/>
        <v>3716580.2799999937</v>
      </c>
      <c r="M39" s="506"/>
    </row>
    <row r="40" spans="1:13" ht="32.1" customHeight="1">
      <c r="A40" s="942">
        <v>42948</v>
      </c>
      <c r="B40" s="482">
        <v>0</v>
      </c>
      <c r="C40" s="200">
        <v>0</v>
      </c>
      <c r="D40" s="931">
        <f t="shared" si="1"/>
        <v>147944.6</v>
      </c>
      <c r="E40" s="200">
        <f t="shared" si="2"/>
        <v>48117251.899999999</v>
      </c>
      <c r="F40" s="213"/>
      <c r="G40" s="201">
        <f t="shared" si="8"/>
        <v>0</v>
      </c>
      <c r="H40" s="333">
        <f t="shared" si="9"/>
        <v>111925</v>
      </c>
      <c r="I40" s="200"/>
      <c r="J40" s="482">
        <f t="shared" si="4"/>
        <v>44400671.620000005</v>
      </c>
      <c r="K40" s="949">
        <f t="shared" si="5"/>
        <v>3716580.2800000012</v>
      </c>
      <c r="L40" s="211">
        <f t="shared" si="7"/>
        <v>3716580.2799999937</v>
      </c>
      <c r="M40" s="506" t="s">
        <v>3023</v>
      </c>
    </row>
    <row r="41" spans="1:13" ht="32.1" customHeight="1">
      <c r="A41" s="942"/>
      <c r="B41" s="482"/>
      <c r="C41" s="200"/>
      <c r="D41" s="211"/>
      <c r="E41" s="200"/>
      <c r="F41" s="213"/>
      <c r="G41" s="201"/>
      <c r="H41" s="333">
        <f t="shared" si="9"/>
        <v>0</v>
      </c>
      <c r="I41" s="200"/>
      <c r="J41" s="482"/>
      <c r="K41" s="949">
        <f t="shared" si="5"/>
        <v>3716580.2800000012</v>
      </c>
      <c r="L41" s="211"/>
      <c r="M41" s="955" t="s">
        <v>3024</v>
      </c>
    </row>
    <row r="42" spans="1:13" ht="32.1" customHeight="1">
      <c r="A42" s="942"/>
      <c r="B42" s="482"/>
      <c r="C42" s="200"/>
      <c r="D42" s="211"/>
      <c r="E42" s="200"/>
      <c r="F42" s="213"/>
      <c r="G42" s="201"/>
      <c r="H42" s="333"/>
      <c r="I42" s="200"/>
      <c r="J42" s="482"/>
      <c r="K42" s="949"/>
      <c r="L42" s="211"/>
      <c r="M42" s="506"/>
    </row>
    <row r="43" spans="1:13" ht="32.1" customHeight="1">
      <c r="A43" s="942"/>
      <c r="B43" s="482"/>
      <c r="C43" s="200"/>
      <c r="D43" s="211"/>
      <c r="E43" s="200"/>
      <c r="F43" s="213"/>
      <c r="G43" s="776"/>
      <c r="H43" s="943"/>
      <c r="I43" s="954"/>
      <c r="J43" s="482"/>
      <c r="K43" s="949"/>
      <c r="L43" s="211"/>
      <c r="M43" s="506"/>
    </row>
    <row r="44" spans="1:13" ht="32.1" customHeight="1">
      <c r="A44" s="942"/>
      <c r="B44" s="200"/>
      <c r="C44" s="200"/>
      <c r="D44" s="200"/>
      <c r="E44" s="200"/>
      <c r="F44" s="200"/>
      <c r="G44" s="776"/>
      <c r="H44" s="943"/>
      <c r="I44" s="200"/>
      <c r="J44" s="200"/>
      <c r="K44" s="213"/>
      <c r="L44" s="200"/>
      <c r="M44" s="506"/>
    </row>
    <row r="61" spans="9:9">
      <c r="I61" s="956"/>
    </row>
  </sheetData>
  <mergeCells count="15">
    <mergeCell ref="A6:C6"/>
    <mergeCell ref="D6:F6"/>
    <mergeCell ref="G6:I6"/>
    <mergeCell ref="B3:C3"/>
    <mergeCell ref="B4:E4"/>
    <mergeCell ref="F4:G4"/>
    <mergeCell ref="H4:J4"/>
    <mergeCell ref="K4:L4"/>
    <mergeCell ref="B5:E5"/>
    <mergeCell ref="C1:D1"/>
    <mergeCell ref="J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1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
  <sheetViews>
    <sheetView topLeftCell="A28" zoomScaleSheetLayoutView="100" workbookViewId="0">
      <selection activeCell="L35" sqref="L35"/>
    </sheetView>
  </sheetViews>
  <sheetFormatPr defaultColWidth="9" defaultRowHeight="14.25"/>
  <cols>
    <col min="1" max="1" width="13.875" customWidth="1"/>
    <col min="2" max="2" width="15.7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63.95" customHeight="1">
      <c r="A1" s="349" t="s">
        <v>556</v>
      </c>
      <c r="B1" s="904">
        <v>42269</v>
      </c>
      <c r="C1" s="2043" t="s">
        <v>3025</v>
      </c>
      <c r="D1" s="2037"/>
      <c r="E1" s="350" t="s">
        <v>236</v>
      </c>
      <c r="F1" s="853"/>
      <c r="G1" s="905"/>
      <c r="H1" s="855"/>
      <c r="I1" s="306" t="s">
        <v>237</v>
      </c>
      <c r="J1" s="1772" t="s">
        <v>3026</v>
      </c>
      <c r="K1" s="1774"/>
      <c r="L1" s="1772" t="s">
        <v>3027</v>
      </c>
      <c r="M1" s="1905"/>
    </row>
    <row r="2" spans="1:13" ht="48" customHeight="1">
      <c r="A2" s="133" t="s">
        <v>240</v>
      </c>
      <c r="B2" s="1682" t="s">
        <v>3028</v>
      </c>
      <c r="C2" s="1682"/>
      <c r="D2" s="134" t="s">
        <v>242</v>
      </c>
      <c r="E2" s="2047" t="s">
        <v>3029</v>
      </c>
      <c r="F2" s="2048"/>
      <c r="G2" s="2049"/>
      <c r="H2" s="223" t="s">
        <v>3030</v>
      </c>
      <c r="I2" s="166" t="s">
        <v>243</v>
      </c>
      <c r="J2" s="2050" t="s">
        <v>3031</v>
      </c>
      <c r="K2" s="2050"/>
      <c r="L2" s="166" t="s">
        <v>245</v>
      </c>
      <c r="M2" s="205" t="s">
        <v>1306</v>
      </c>
    </row>
    <row r="3" spans="1:13" ht="39.950000000000003" customHeight="1">
      <c r="A3" s="133" t="s">
        <v>247</v>
      </c>
      <c r="B3" s="2051" t="s">
        <v>3032</v>
      </c>
      <c r="C3" s="2051"/>
      <c r="D3" s="352" t="s">
        <v>249</v>
      </c>
      <c r="E3" s="353">
        <v>30000</v>
      </c>
      <c r="F3" s="352" t="s">
        <v>251</v>
      </c>
      <c r="G3" s="134" t="s">
        <v>3033</v>
      </c>
      <c r="H3" s="134" t="s">
        <v>252</v>
      </c>
      <c r="I3" s="206"/>
      <c r="J3" s="41" t="s">
        <v>565</v>
      </c>
      <c r="K3" s="15" t="s">
        <v>3034</v>
      </c>
      <c r="L3" s="15" t="s">
        <v>255</v>
      </c>
      <c r="M3" s="92" t="s">
        <v>3035</v>
      </c>
    </row>
    <row r="4" spans="1:13" ht="68.099999999999994" customHeight="1">
      <c r="A4" s="856" t="s">
        <v>260</v>
      </c>
      <c r="B4" s="2052" t="s">
        <v>3036</v>
      </c>
      <c r="C4" s="2052"/>
      <c r="D4" s="2052"/>
      <c r="E4" s="1726"/>
      <c r="F4" s="1726"/>
      <c r="G4" s="2053" t="s">
        <v>3037</v>
      </c>
      <c r="H4" s="2053"/>
      <c r="I4" s="2054"/>
      <c r="J4" s="2055"/>
      <c r="K4" s="2055"/>
      <c r="L4" s="862"/>
      <c r="M4" s="863"/>
    </row>
    <row r="5" spans="1:13" ht="48.95" customHeight="1">
      <c r="A5" s="2056" t="s">
        <v>3038</v>
      </c>
      <c r="B5" s="2056"/>
      <c r="C5" s="2056"/>
      <c r="D5" s="2056"/>
      <c r="E5" s="906"/>
      <c r="F5" s="907"/>
      <c r="G5" s="857"/>
      <c r="H5" s="857"/>
      <c r="I5" s="860"/>
      <c r="J5" s="861"/>
      <c r="K5" s="861"/>
      <c r="L5" s="862"/>
      <c r="M5" s="888"/>
    </row>
    <row r="6" spans="1:13" ht="42" customHeight="1">
      <c r="A6" s="908" t="s">
        <v>266</v>
      </c>
      <c r="B6" s="859" t="s">
        <v>267</v>
      </c>
      <c r="C6" s="859" t="s">
        <v>268</v>
      </c>
      <c r="D6" s="859" t="s">
        <v>269</v>
      </c>
      <c r="E6" s="859" t="s">
        <v>270</v>
      </c>
      <c r="F6" s="859" t="s">
        <v>271</v>
      </c>
      <c r="G6" s="21" t="s">
        <v>272</v>
      </c>
      <c r="H6" s="22" t="s">
        <v>273</v>
      </c>
      <c r="I6" s="20" t="s">
        <v>274</v>
      </c>
      <c r="J6" s="70" t="s">
        <v>275</v>
      </c>
      <c r="K6" s="70" t="s">
        <v>276</v>
      </c>
      <c r="L6" s="20" t="s">
        <v>277</v>
      </c>
      <c r="M6" s="417" t="s">
        <v>278</v>
      </c>
    </row>
    <row r="7" spans="1:13" ht="33.950000000000003" customHeight="1">
      <c r="A7" s="358">
        <v>42064</v>
      </c>
      <c r="B7" s="259">
        <v>73</v>
      </c>
      <c r="C7" s="259">
        <v>19760</v>
      </c>
      <c r="D7" s="259">
        <f>B7</f>
        <v>73</v>
      </c>
      <c r="E7" s="259">
        <f>C7</f>
        <v>19760</v>
      </c>
      <c r="F7" s="259"/>
      <c r="G7" s="260"/>
      <c r="H7" s="261"/>
      <c r="I7" s="259"/>
      <c r="J7" s="259"/>
      <c r="K7" s="259"/>
      <c r="L7" s="259">
        <f t="shared" ref="L7:L34" si="0">E7-J7</f>
        <v>19760</v>
      </c>
      <c r="M7" s="646"/>
    </row>
    <row r="8" spans="1:13" ht="35.1" customHeight="1">
      <c r="A8" s="358">
        <v>42095</v>
      </c>
      <c r="B8" s="259">
        <v>210.5</v>
      </c>
      <c r="C8" s="259">
        <v>59015</v>
      </c>
      <c r="D8" s="259">
        <f t="shared" ref="D8:D34" si="1">B8+D7</f>
        <v>283.5</v>
      </c>
      <c r="E8" s="259">
        <f t="shared" ref="E8:E34" si="2">E7+C8</f>
        <v>78775</v>
      </c>
      <c r="F8" s="259"/>
      <c r="G8" s="260"/>
      <c r="H8" s="261"/>
      <c r="I8" s="259"/>
      <c r="J8" s="259"/>
      <c r="K8" s="259"/>
      <c r="L8" s="259">
        <f t="shared" si="0"/>
        <v>78775</v>
      </c>
      <c r="M8" s="646"/>
    </row>
    <row r="9" spans="1:13" ht="35.1" customHeight="1">
      <c r="A9" s="358">
        <v>42125</v>
      </c>
      <c r="B9" s="259">
        <v>289</v>
      </c>
      <c r="C9" s="259">
        <v>80722.5</v>
      </c>
      <c r="D9" s="259">
        <f t="shared" si="1"/>
        <v>572.5</v>
      </c>
      <c r="E9" s="259">
        <f t="shared" si="2"/>
        <v>159497.5</v>
      </c>
      <c r="F9" s="259"/>
      <c r="G9" s="260"/>
      <c r="H9" s="261"/>
      <c r="I9" s="259"/>
      <c r="J9" s="259"/>
      <c r="K9" s="259"/>
      <c r="L9" s="259">
        <f t="shared" si="0"/>
        <v>159497.5</v>
      </c>
      <c r="M9" s="646"/>
    </row>
    <row r="10" spans="1:13" ht="35.1" customHeight="1">
      <c r="A10" s="358">
        <v>42156</v>
      </c>
      <c r="B10" s="259">
        <v>232.5</v>
      </c>
      <c r="C10" s="259">
        <v>65705</v>
      </c>
      <c r="D10" s="259">
        <f t="shared" si="1"/>
        <v>805</v>
      </c>
      <c r="E10" s="259">
        <f t="shared" si="2"/>
        <v>225202.5</v>
      </c>
      <c r="F10" s="259"/>
      <c r="G10" s="260"/>
      <c r="H10" s="261"/>
      <c r="I10" s="259"/>
      <c r="J10" s="259"/>
      <c r="K10" s="259"/>
      <c r="L10" s="259">
        <f t="shared" si="0"/>
        <v>225202.5</v>
      </c>
      <c r="M10" s="646"/>
    </row>
    <row r="11" spans="1:13" ht="35.1" customHeight="1">
      <c r="A11" s="358">
        <v>42186</v>
      </c>
      <c r="B11" s="259">
        <v>41</v>
      </c>
      <c r="C11" s="259">
        <v>11360</v>
      </c>
      <c r="D11" s="259">
        <f t="shared" si="1"/>
        <v>846</v>
      </c>
      <c r="E11" s="259">
        <f t="shared" si="2"/>
        <v>236562.5</v>
      </c>
      <c r="F11" s="259"/>
      <c r="G11" s="260"/>
      <c r="H11" s="261"/>
      <c r="I11" s="259"/>
      <c r="J11" s="259"/>
      <c r="K11" s="259"/>
      <c r="L11" s="259">
        <f t="shared" si="0"/>
        <v>236562.5</v>
      </c>
      <c r="M11" s="646"/>
    </row>
    <row r="12" spans="1:13" ht="35.1" customHeight="1">
      <c r="A12" s="358">
        <v>42217</v>
      </c>
      <c r="B12" s="259">
        <v>68</v>
      </c>
      <c r="C12" s="259">
        <v>18470</v>
      </c>
      <c r="D12" s="259">
        <f t="shared" si="1"/>
        <v>914</v>
      </c>
      <c r="E12" s="902">
        <f>E11+C12-9140</f>
        <v>245892.5</v>
      </c>
      <c r="F12" s="259"/>
      <c r="G12" s="260"/>
      <c r="H12" s="261"/>
      <c r="I12" s="259">
        <v>245892.5</v>
      </c>
      <c r="J12" s="259">
        <v>245892.5</v>
      </c>
      <c r="K12" s="259"/>
      <c r="L12" s="259">
        <f t="shared" si="0"/>
        <v>0</v>
      </c>
      <c r="M12" s="646" t="s">
        <v>3039</v>
      </c>
    </row>
    <row r="13" spans="1:13" ht="30" customHeight="1">
      <c r="A13" s="358">
        <v>42248</v>
      </c>
      <c r="B13" s="259">
        <v>289.5</v>
      </c>
      <c r="C13" s="259">
        <v>74341.5</v>
      </c>
      <c r="D13" s="909">
        <f t="shared" si="1"/>
        <v>1203.5</v>
      </c>
      <c r="E13" s="909">
        <f t="shared" si="2"/>
        <v>320234</v>
      </c>
      <c r="F13" s="259"/>
      <c r="G13" s="260">
        <f>C13</f>
        <v>74341.5</v>
      </c>
      <c r="H13" s="261"/>
      <c r="I13" s="259"/>
      <c r="J13" s="259">
        <f t="shared" ref="J13:J34" si="3">J12+I13</f>
        <v>245892.5</v>
      </c>
      <c r="K13" s="259"/>
      <c r="L13" s="259">
        <f t="shared" si="0"/>
        <v>74341.5</v>
      </c>
      <c r="M13" s="646"/>
    </row>
    <row r="14" spans="1:13" ht="30" customHeight="1">
      <c r="A14" s="358">
        <v>42278</v>
      </c>
      <c r="B14" s="259">
        <v>5830.5</v>
      </c>
      <c r="C14" s="259">
        <v>1610353.5</v>
      </c>
      <c r="D14" s="909">
        <f t="shared" si="1"/>
        <v>7034</v>
      </c>
      <c r="E14" s="909">
        <f t="shared" si="2"/>
        <v>1930587.5</v>
      </c>
      <c r="F14" s="259"/>
      <c r="G14" s="260">
        <f t="shared" ref="G14:G34" si="4">C14+C13</f>
        <v>1684695</v>
      </c>
      <c r="H14" s="261"/>
      <c r="I14" s="259"/>
      <c r="J14" s="259">
        <f t="shared" si="3"/>
        <v>245892.5</v>
      </c>
      <c r="K14" s="259">
        <f t="shared" ref="K14:K35" si="5">K13+H14-I14</f>
        <v>0</v>
      </c>
      <c r="L14" s="259">
        <f t="shared" si="0"/>
        <v>1684695</v>
      </c>
      <c r="M14" s="646"/>
    </row>
    <row r="15" spans="1:13" ht="30" customHeight="1">
      <c r="A15" s="358">
        <v>42309</v>
      </c>
      <c r="B15" s="259">
        <v>4103</v>
      </c>
      <c r="C15" s="259">
        <v>1122613</v>
      </c>
      <c r="D15" s="909">
        <f t="shared" si="1"/>
        <v>11137</v>
      </c>
      <c r="E15" s="909">
        <f t="shared" si="2"/>
        <v>3053200.5</v>
      </c>
      <c r="F15" s="259"/>
      <c r="G15" s="260">
        <f t="shared" si="4"/>
        <v>2732966.5</v>
      </c>
      <c r="H15" s="261"/>
      <c r="I15" s="259"/>
      <c r="J15" s="259">
        <f t="shared" si="3"/>
        <v>245892.5</v>
      </c>
      <c r="K15" s="259">
        <f t="shared" si="5"/>
        <v>0</v>
      </c>
      <c r="L15" s="259">
        <f t="shared" si="0"/>
        <v>2807308</v>
      </c>
      <c r="M15" s="646"/>
    </row>
    <row r="16" spans="1:13" ht="30" customHeight="1">
      <c r="A16" s="358">
        <v>42339</v>
      </c>
      <c r="B16" s="259">
        <v>4593</v>
      </c>
      <c r="C16" s="259">
        <v>1248321</v>
      </c>
      <c r="D16" s="909">
        <f t="shared" si="1"/>
        <v>15730</v>
      </c>
      <c r="E16" s="909">
        <f t="shared" si="2"/>
        <v>4301521.5</v>
      </c>
      <c r="F16" s="259"/>
      <c r="G16" s="260">
        <f t="shared" si="4"/>
        <v>2370934</v>
      </c>
      <c r="H16" s="261">
        <f>C13</f>
        <v>74341.5</v>
      </c>
      <c r="I16" s="259"/>
      <c r="J16" s="259">
        <f t="shared" si="3"/>
        <v>245892.5</v>
      </c>
      <c r="K16" s="259">
        <f t="shared" si="5"/>
        <v>74341.5</v>
      </c>
      <c r="L16" s="259">
        <f t="shared" si="0"/>
        <v>4055629</v>
      </c>
      <c r="M16" s="646"/>
    </row>
    <row r="17" spans="1:13" ht="30" customHeight="1">
      <c r="A17" s="358">
        <v>42370</v>
      </c>
      <c r="B17" s="259">
        <v>1997</v>
      </c>
      <c r="C17" s="259">
        <v>540101.5</v>
      </c>
      <c r="D17" s="909">
        <f t="shared" si="1"/>
        <v>17727</v>
      </c>
      <c r="E17" s="909">
        <f t="shared" si="2"/>
        <v>4841623</v>
      </c>
      <c r="F17" s="259"/>
      <c r="G17" s="260">
        <f t="shared" si="4"/>
        <v>1788422.5</v>
      </c>
      <c r="H17" s="261">
        <f t="shared" ref="H17:H35" si="6">C14</f>
        <v>1610353.5</v>
      </c>
      <c r="I17" s="259"/>
      <c r="J17" s="259">
        <f t="shared" si="3"/>
        <v>245892.5</v>
      </c>
      <c r="K17" s="259">
        <f t="shared" si="5"/>
        <v>1684695</v>
      </c>
      <c r="L17" s="259">
        <f t="shared" si="0"/>
        <v>4595730.5</v>
      </c>
      <c r="M17" s="646"/>
    </row>
    <row r="18" spans="1:13" ht="30" customHeight="1">
      <c r="A18" s="358">
        <v>42430</v>
      </c>
      <c r="B18" s="259">
        <v>79</v>
      </c>
      <c r="C18" s="259">
        <v>21330</v>
      </c>
      <c r="D18" s="909">
        <f t="shared" si="1"/>
        <v>17806</v>
      </c>
      <c r="E18" s="909">
        <f t="shared" si="2"/>
        <v>4862953</v>
      </c>
      <c r="F18" s="259"/>
      <c r="G18" s="260">
        <f t="shared" si="4"/>
        <v>561431.5</v>
      </c>
      <c r="H18" s="261">
        <f t="shared" si="6"/>
        <v>1122613</v>
      </c>
      <c r="I18" s="259"/>
      <c r="J18" s="259">
        <f t="shared" si="3"/>
        <v>245892.5</v>
      </c>
      <c r="K18" s="259">
        <f t="shared" si="5"/>
        <v>2807308</v>
      </c>
      <c r="L18" s="259">
        <f t="shared" si="0"/>
        <v>4617060.5</v>
      </c>
      <c r="M18" s="646"/>
    </row>
    <row r="19" spans="1:13" ht="30" customHeight="1">
      <c r="A19" s="358">
        <v>42461</v>
      </c>
      <c r="B19" s="259">
        <v>0</v>
      </c>
      <c r="C19" s="259">
        <v>0</v>
      </c>
      <c r="D19" s="909">
        <f t="shared" si="1"/>
        <v>17806</v>
      </c>
      <c r="E19" s="909">
        <f t="shared" si="2"/>
        <v>4862953</v>
      </c>
      <c r="F19" s="259"/>
      <c r="G19" s="260">
        <f t="shared" si="4"/>
        <v>21330</v>
      </c>
      <c r="H19" s="261">
        <f t="shared" si="6"/>
        <v>1248321</v>
      </c>
      <c r="I19" s="259"/>
      <c r="J19" s="259">
        <f t="shared" si="3"/>
        <v>245892.5</v>
      </c>
      <c r="K19" s="259">
        <f t="shared" si="5"/>
        <v>4055629</v>
      </c>
      <c r="L19" s="259">
        <f t="shared" si="0"/>
        <v>4617060.5</v>
      </c>
      <c r="M19" s="646"/>
    </row>
    <row r="20" spans="1:13" ht="30" customHeight="1">
      <c r="A20" s="358">
        <v>42491</v>
      </c>
      <c r="B20" s="259">
        <v>0</v>
      </c>
      <c r="C20" s="259">
        <v>0</v>
      </c>
      <c r="D20" s="909">
        <f t="shared" si="1"/>
        <v>17806</v>
      </c>
      <c r="E20" s="909">
        <f t="shared" si="2"/>
        <v>4862953</v>
      </c>
      <c r="F20" s="259"/>
      <c r="G20" s="260">
        <f t="shared" si="4"/>
        <v>0</v>
      </c>
      <c r="H20" s="261">
        <f t="shared" si="6"/>
        <v>540101.5</v>
      </c>
      <c r="I20" s="259"/>
      <c r="J20" s="259">
        <f t="shared" si="3"/>
        <v>245892.5</v>
      </c>
      <c r="K20" s="259">
        <f t="shared" si="5"/>
        <v>4595730.5</v>
      </c>
      <c r="L20" s="259">
        <f t="shared" si="0"/>
        <v>4617060.5</v>
      </c>
      <c r="M20" s="646"/>
    </row>
    <row r="21" spans="1:13" ht="48.95" customHeight="1">
      <c r="A21" s="358">
        <v>42522</v>
      </c>
      <c r="B21" s="259">
        <v>0</v>
      </c>
      <c r="C21" s="259">
        <v>0</v>
      </c>
      <c r="D21" s="909">
        <f t="shared" si="1"/>
        <v>17806</v>
      </c>
      <c r="E21" s="909">
        <f t="shared" si="2"/>
        <v>4862953</v>
      </c>
      <c r="F21" s="259"/>
      <c r="G21" s="260">
        <f t="shared" si="4"/>
        <v>0</v>
      </c>
      <c r="H21" s="261">
        <f t="shared" si="6"/>
        <v>21330</v>
      </c>
      <c r="I21" s="259">
        <f>1000000+1371214.1+2245846.4</f>
        <v>4617060.5</v>
      </c>
      <c r="J21" s="259">
        <f t="shared" si="3"/>
        <v>4862953</v>
      </c>
      <c r="K21" s="259">
        <f t="shared" si="5"/>
        <v>0</v>
      </c>
      <c r="L21" s="259">
        <f t="shared" si="0"/>
        <v>0</v>
      </c>
      <c r="M21" s="865" t="s">
        <v>3040</v>
      </c>
    </row>
    <row r="22" spans="1:13" ht="30" customHeight="1">
      <c r="A22" s="358">
        <v>42583</v>
      </c>
      <c r="B22" s="259">
        <v>1123</v>
      </c>
      <c r="C22" s="259">
        <v>298718</v>
      </c>
      <c r="D22" s="909">
        <f t="shared" si="1"/>
        <v>18929</v>
      </c>
      <c r="E22" s="909">
        <f t="shared" si="2"/>
        <v>5161671</v>
      </c>
      <c r="F22" s="259"/>
      <c r="G22" s="260">
        <f t="shared" si="4"/>
        <v>298718</v>
      </c>
      <c r="H22" s="261">
        <f t="shared" si="6"/>
        <v>0</v>
      </c>
      <c r="I22" s="259"/>
      <c r="J22" s="259">
        <f t="shared" si="3"/>
        <v>4862953</v>
      </c>
      <c r="K22" s="259">
        <f t="shared" si="5"/>
        <v>0</v>
      </c>
      <c r="L22" s="259">
        <f t="shared" si="0"/>
        <v>298718</v>
      </c>
      <c r="M22" s="646"/>
    </row>
    <row r="23" spans="1:13" ht="30" customHeight="1">
      <c r="A23" s="358">
        <v>42614</v>
      </c>
      <c r="B23" s="259">
        <v>1651.5</v>
      </c>
      <c r="C23" s="259">
        <v>440004</v>
      </c>
      <c r="D23" s="909">
        <f t="shared" si="1"/>
        <v>20580.5</v>
      </c>
      <c r="E23" s="909">
        <f t="shared" si="2"/>
        <v>5601675</v>
      </c>
      <c r="F23" s="259"/>
      <c r="G23" s="260">
        <f t="shared" si="4"/>
        <v>738722</v>
      </c>
      <c r="H23" s="261">
        <f t="shared" si="6"/>
        <v>0</v>
      </c>
      <c r="I23" s="259"/>
      <c r="J23" s="259">
        <f t="shared" si="3"/>
        <v>4862953</v>
      </c>
      <c r="K23" s="259">
        <f t="shared" si="5"/>
        <v>0</v>
      </c>
      <c r="L23" s="259">
        <f t="shared" si="0"/>
        <v>738722</v>
      </c>
      <c r="M23" s="646"/>
    </row>
    <row r="24" spans="1:13" ht="30" customHeight="1">
      <c r="A24" s="358">
        <v>42644</v>
      </c>
      <c r="B24" s="259">
        <v>3074.5</v>
      </c>
      <c r="C24" s="259">
        <v>830484.5</v>
      </c>
      <c r="D24" s="909">
        <f t="shared" si="1"/>
        <v>23655</v>
      </c>
      <c r="E24" s="909">
        <f t="shared" si="2"/>
        <v>6432159.5</v>
      </c>
      <c r="F24" s="259"/>
      <c r="G24" s="260">
        <f t="shared" si="4"/>
        <v>1270488.5</v>
      </c>
      <c r="H24" s="261">
        <f t="shared" si="6"/>
        <v>0</v>
      </c>
      <c r="I24" s="259"/>
      <c r="J24" s="259">
        <f t="shared" si="3"/>
        <v>4862953</v>
      </c>
      <c r="K24" s="259">
        <f t="shared" si="5"/>
        <v>0</v>
      </c>
      <c r="L24" s="259">
        <f t="shared" si="0"/>
        <v>1569206.5</v>
      </c>
      <c r="M24" s="646"/>
    </row>
    <row r="25" spans="1:13" ht="30" customHeight="1">
      <c r="A25" s="358">
        <v>42675</v>
      </c>
      <c r="B25" s="259">
        <v>2370</v>
      </c>
      <c r="C25" s="259">
        <v>638205</v>
      </c>
      <c r="D25" s="909">
        <f t="shared" si="1"/>
        <v>26025</v>
      </c>
      <c r="E25" s="909">
        <f t="shared" si="2"/>
        <v>7070364.5</v>
      </c>
      <c r="F25" s="259"/>
      <c r="G25" s="260">
        <f t="shared" si="4"/>
        <v>1468689.5</v>
      </c>
      <c r="H25" s="261">
        <f t="shared" si="6"/>
        <v>298718</v>
      </c>
      <c r="I25" s="259"/>
      <c r="J25" s="259">
        <f t="shared" si="3"/>
        <v>4862953</v>
      </c>
      <c r="K25" s="259">
        <f t="shared" si="5"/>
        <v>298718</v>
      </c>
      <c r="L25" s="259">
        <f t="shared" si="0"/>
        <v>2207411.5</v>
      </c>
      <c r="M25" s="646" t="s">
        <v>3041</v>
      </c>
    </row>
    <row r="26" spans="1:13" ht="30" customHeight="1">
      <c r="A26" s="358">
        <v>42705</v>
      </c>
      <c r="B26" s="259">
        <v>2433.5</v>
      </c>
      <c r="C26" s="259">
        <v>723429.5</v>
      </c>
      <c r="D26" s="909">
        <f t="shared" si="1"/>
        <v>28458.5</v>
      </c>
      <c r="E26" s="909">
        <f t="shared" si="2"/>
        <v>7793794</v>
      </c>
      <c r="F26" s="259"/>
      <c r="G26" s="260">
        <f t="shared" si="4"/>
        <v>1361634.5</v>
      </c>
      <c r="H26" s="261">
        <f t="shared" si="6"/>
        <v>440004</v>
      </c>
      <c r="I26" s="259">
        <f>289578+440004</f>
        <v>729582</v>
      </c>
      <c r="J26" s="259">
        <f t="shared" si="3"/>
        <v>5592535</v>
      </c>
      <c r="K26" s="259">
        <f t="shared" si="5"/>
        <v>9140</v>
      </c>
      <c r="L26" s="259">
        <f t="shared" si="0"/>
        <v>2201259</v>
      </c>
      <c r="M26" s="646" t="s">
        <v>3042</v>
      </c>
    </row>
    <row r="27" spans="1:13" ht="30" customHeight="1">
      <c r="A27" s="358">
        <v>42750</v>
      </c>
      <c r="B27" s="259">
        <v>1310</v>
      </c>
      <c r="C27" s="259">
        <v>418590.5</v>
      </c>
      <c r="D27" s="909">
        <f t="shared" si="1"/>
        <v>29768.5</v>
      </c>
      <c r="E27" s="909">
        <f t="shared" si="2"/>
        <v>8212384.5</v>
      </c>
      <c r="F27" s="259"/>
      <c r="G27" s="260">
        <f t="shared" si="4"/>
        <v>1142020</v>
      </c>
      <c r="H27" s="261">
        <f t="shared" si="6"/>
        <v>830484.5</v>
      </c>
      <c r="I27" s="259"/>
      <c r="J27" s="259">
        <f t="shared" si="3"/>
        <v>5592535</v>
      </c>
      <c r="K27" s="259">
        <f t="shared" si="5"/>
        <v>839624.5</v>
      </c>
      <c r="L27" s="259">
        <f t="shared" si="0"/>
        <v>2619849.5</v>
      </c>
      <c r="M27" s="646"/>
    </row>
    <row r="28" spans="1:13" ht="30" customHeight="1">
      <c r="A28" s="358">
        <v>42767</v>
      </c>
      <c r="B28" s="259">
        <v>258.5</v>
      </c>
      <c r="C28" s="259">
        <v>81686</v>
      </c>
      <c r="D28" s="909">
        <f t="shared" si="1"/>
        <v>30027</v>
      </c>
      <c r="E28" s="909">
        <f t="shared" si="2"/>
        <v>8294070.5</v>
      </c>
      <c r="F28" s="259"/>
      <c r="G28" s="260">
        <f t="shared" si="4"/>
        <v>500276.5</v>
      </c>
      <c r="H28" s="261">
        <f t="shared" si="6"/>
        <v>638205</v>
      </c>
      <c r="I28" s="259"/>
      <c r="J28" s="259">
        <f t="shared" si="3"/>
        <v>5592535</v>
      </c>
      <c r="K28" s="259">
        <f t="shared" si="5"/>
        <v>1477829.5</v>
      </c>
      <c r="L28" s="259">
        <f t="shared" si="0"/>
        <v>2701535.5</v>
      </c>
      <c r="M28" s="646"/>
    </row>
    <row r="29" spans="1:13" ht="30" customHeight="1">
      <c r="A29" s="358">
        <v>42795</v>
      </c>
      <c r="B29" s="259">
        <v>394.5</v>
      </c>
      <c r="C29" s="259">
        <v>124662</v>
      </c>
      <c r="D29" s="909">
        <f t="shared" si="1"/>
        <v>30421.5</v>
      </c>
      <c r="E29" s="909">
        <f t="shared" si="2"/>
        <v>8418732.5</v>
      </c>
      <c r="F29" s="259"/>
      <c r="G29" s="260">
        <f t="shared" si="4"/>
        <v>206348</v>
      </c>
      <c r="H29" s="261">
        <f t="shared" si="6"/>
        <v>723429.5</v>
      </c>
      <c r="I29" s="261"/>
      <c r="J29" s="259">
        <f t="shared" si="3"/>
        <v>5592535</v>
      </c>
      <c r="K29" s="259">
        <f t="shared" si="5"/>
        <v>2201259</v>
      </c>
      <c r="L29" s="259">
        <f t="shared" si="0"/>
        <v>2826197.5</v>
      </c>
      <c r="M29" s="646"/>
    </row>
    <row r="30" spans="1:13" ht="30" customHeight="1">
      <c r="A30" s="358">
        <v>42826</v>
      </c>
      <c r="B30" s="259">
        <v>0</v>
      </c>
      <c r="C30" s="259">
        <v>0</v>
      </c>
      <c r="D30" s="909">
        <f t="shared" si="1"/>
        <v>30421.5</v>
      </c>
      <c r="E30" s="909">
        <f t="shared" si="2"/>
        <v>8418732.5</v>
      </c>
      <c r="F30" s="259"/>
      <c r="G30" s="260">
        <f t="shared" si="4"/>
        <v>124662</v>
      </c>
      <c r="H30" s="261">
        <f t="shared" si="6"/>
        <v>418590.5</v>
      </c>
      <c r="I30" s="261">
        <v>876197.5</v>
      </c>
      <c r="J30" s="259">
        <f t="shared" si="3"/>
        <v>6468732.5</v>
      </c>
      <c r="K30" s="259">
        <f t="shared" si="5"/>
        <v>1743652</v>
      </c>
      <c r="L30" s="259">
        <f t="shared" si="0"/>
        <v>1950000</v>
      </c>
      <c r="M30" s="865" t="s">
        <v>3043</v>
      </c>
    </row>
    <row r="31" spans="1:13" ht="30" customHeight="1">
      <c r="A31" s="910">
        <v>42856</v>
      </c>
      <c r="B31" s="911">
        <v>279.5</v>
      </c>
      <c r="C31" s="911">
        <v>88370</v>
      </c>
      <c r="D31" s="909">
        <f t="shared" si="1"/>
        <v>30701</v>
      </c>
      <c r="E31" s="909">
        <f t="shared" si="2"/>
        <v>8507102.5</v>
      </c>
      <c r="F31" s="259"/>
      <c r="G31" s="260">
        <f t="shared" si="4"/>
        <v>88370</v>
      </c>
      <c r="H31" s="261">
        <f t="shared" si="6"/>
        <v>81686</v>
      </c>
      <c r="I31" s="261"/>
      <c r="J31" s="259">
        <f t="shared" si="3"/>
        <v>6468732.5</v>
      </c>
      <c r="K31" s="259">
        <f t="shared" si="5"/>
        <v>1825338</v>
      </c>
      <c r="L31" s="259">
        <f t="shared" si="0"/>
        <v>2038370</v>
      </c>
      <c r="M31" s="646"/>
    </row>
    <row r="32" spans="1:13" ht="30" customHeight="1">
      <c r="A32" s="358">
        <v>42887</v>
      </c>
      <c r="B32" s="259">
        <v>0</v>
      </c>
      <c r="C32" s="259">
        <v>0</v>
      </c>
      <c r="D32" s="909">
        <f t="shared" si="1"/>
        <v>30701</v>
      </c>
      <c r="E32" s="909">
        <f t="shared" si="2"/>
        <v>8507102.5</v>
      </c>
      <c r="F32" s="259"/>
      <c r="G32" s="260">
        <f t="shared" si="4"/>
        <v>88370</v>
      </c>
      <c r="H32" s="261">
        <f t="shared" si="6"/>
        <v>124662</v>
      </c>
      <c r="I32" s="261">
        <f>1950000+88370</f>
        <v>2038370</v>
      </c>
      <c r="J32" s="259">
        <f t="shared" si="3"/>
        <v>8507102.5</v>
      </c>
      <c r="K32" s="259">
        <f t="shared" si="5"/>
        <v>-88370</v>
      </c>
      <c r="L32" s="259">
        <f t="shared" si="0"/>
        <v>0</v>
      </c>
      <c r="M32" s="646" t="s">
        <v>3044</v>
      </c>
    </row>
    <row r="33" spans="1:13" ht="30" customHeight="1">
      <c r="A33" s="358">
        <v>42917</v>
      </c>
      <c r="B33" s="259">
        <v>212.5</v>
      </c>
      <c r="C33" s="259">
        <v>69017.5</v>
      </c>
      <c r="D33" s="909">
        <f t="shared" si="1"/>
        <v>30913.5</v>
      </c>
      <c r="E33" s="909">
        <f t="shared" si="2"/>
        <v>8576120</v>
      </c>
      <c r="F33" s="259"/>
      <c r="G33" s="260">
        <f t="shared" si="4"/>
        <v>69017.5</v>
      </c>
      <c r="H33" s="261">
        <f t="shared" si="6"/>
        <v>0</v>
      </c>
      <c r="I33" s="261"/>
      <c r="J33" s="259">
        <f t="shared" si="3"/>
        <v>8507102.5</v>
      </c>
      <c r="K33" s="259">
        <f t="shared" si="5"/>
        <v>-88370</v>
      </c>
      <c r="L33" s="259">
        <f t="shared" si="0"/>
        <v>69017.5</v>
      </c>
      <c r="M33" s="646"/>
    </row>
    <row r="34" spans="1:13" ht="30" customHeight="1">
      <c r="A34" s="358">
        <v>42948</v>
      </c>
      <c r="B34" s="259">
        <v>1592.5</v>
      </c>
      <c r="C34" s="259">
        <v>517214.5</v>
      </c>
      <c r="D34" s="909">
        <f t="shared" si="1"/>
        <v>32506</v>
      </c>
      <c r="E34" s="909">
        <f t="shared" si="2"/>
        <v>9093334.5</v>
      </c>
      <c r="F34" s="259"/>
      <c r="G34" s="260">
        <f t="shared" si="4"/>
        <v>586232</v>
      </c>
      <c r="H34" s="261">
        <f t="shared" si="6"/>
        <v>88370</v>
      </c>
      <c r="I34" s="261"/>
      <c r="J34" s="259">
        <f t="shared" si="3"/>
        <v>8507102.5</v>
      </c>
      <c r="K34" s="259">
        <f t="shared" si="5"/>
        <v>0</v>
      </c>
      <c r="L34" s="259">
        <f t="shared" si="0"/>
        <v>586232</v>
      </c>
      <c r="M34" s="646"/>
    </row>
    <row r="35" spans="1:13" ht="30" customHeight="1">
      <c r="A35" s="358"/>
      <c r="B35" s="259"/>
      <c r="C35" s="259"/>
      <c r="D35" s="909"/>
      <c r="E35" s="909"/>
      <c r="F35" s="259"/>
      <c r="G35" s="260"/>
      <c r="H35" s="261">
        <f t="shared" si="6"/>
        <v>0</v>
      </c>
      <c r="I35" s="261"/>
      <c r="J35" s="259"/>
      <c r="K35" s="259">
        <f t="shared" si="5"/>
        <v>0</v>
      </c>
      <c r="L35" s="259"/>
      <c r="M35" s="646"/>
    </row>
    <row r="36" spans="1:13" ht="30" customHeight="1">
      <c r="A36" s="358"/>
      <c r="B36" s="259"/>
      <c r="C36" s="259"/>
      <c r="D36" s="909"/>
      <c r="E36" s="909"/>
      <c r="F36" s="259"/>
      <c r="G36" s="260"/>
      <c r="H36" s="261"/>
      <c r="I36" s="261"/>
      <c r="J36" s="259"/>
      <c r="K36" s="259"/>
      <c r="L36" s="259"/>
      <c r="M36" s="646"/>
    </row>
    <row r="37" spans="1:13" ht="30" customHeight="1">
      <c r="A37" s="358"/>
      <c r="B37" s="259"/>
      <c r="C37" s="259"/>
      <c r="D37" s="259"/>
      <c r="E37" s="259"/>
      <c r="F37" s="259"/>
      <c r="G37" s="260"/>
      <c r="H37" s="261"/>
      <c r="I37" s="259"/>
      <c r="J37" s="259"/>
      <c r="K37" s="259"/>
      <c r="L37" s="259"/>
      <c r="M37" s="646"/>
    </row>
    <row r="40" spans="1:13">
      <c r="D40" s="912"/>
    </row>
    <row r="41" spans="1:13">
      <c r="D41" s="912"/>
    </row>
    <row r="42" spans="1:13">
      <c r="D42" s="912"/>
    </row>
    <row r="43" spans="1:13">
      <c r="D43" s="912"/>
    </row>
    <row r="44" spans="1:13">
      <c r="D44" s="912"/>
    </row>
  </sheetData>
  <mergeCells count="11">
    <mergeCell ref="A5:D5"/>
    <mergeCell ref="C1:D1"/>
    <mergeCell ref="J1:K1"/>
    <mergeCell ref="L1:M1"/>
    <mergeCell ref="B2:C2"/>
    <mergeCell ref="E2:G2"/>
    <mergeCell ref="J2:K2"/>
    <mergeCell ref="B3:C3"/>
    <mergeCell ref="B4:F4"/>
    <mergeCell ref="G4:I4"/>
    <mergeCell ref="J4:K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A22" zoomScaleSheetLayoutView="100" workbookViewId="0">
      <selection activeCell="A29" sqref="A29"/>
    </sheetView>
  </sheetViews>
  <sheetFormatPr defaultColWidth="9" defaultRowHeight="14.25"/>
  <cols>
    <col min="1" max="1" width="13.875" customWidth="1"/>
    <col min="2" max="2" width="17" customWidth="1"/>
    <col min="3" max="3" width="14.5" customWidth="1"/>
    <col min="4" max="4" width="15.625" customWidth="1"/>
    <col min="5" max="5" width="14" customWidth="1"/>
    <col min="6" max="6" width="11.5" customWidth="1"/>
    <col min="7" max="7" width="14.125" customWidth="1"/>
    <col min="8" max="8" width="14.375" customWidth="1"/>
    <col min="9" max="9" width="13" customWidth="1"/>
    <col min="10" max="10" width="14.75" customWidth="1"/>
    <col min="11" max="11" width="16.875" customWidth="1"/>
    <col min="12" max="12" width="12.875" customWidth="1"/>
    <col min="13" max="13" width="28.875" customWidth="1"/>
    <col min="14" max="14" width="11.5" bestFit="1" customWidth="1"/>
    <col min="15" max="15" width="12.625" bestFit="1" customWidth="1"/>
    <col min="16" max="16" width="13.75" bestFit="1" customWidth="1"/>
    <col min="17" max="17" width="10.375" bestFit="1" customWidth="1"/>
  </cols>
  <sheetData>
    <row r="1" spans="1:17" ht="96.95" customHeight="1">
      <c r="A1" s="349" t="s">
        <v>556</v>
      </c>
      <c r="B1" s="852">
        <v>42278</v>
      </c>
      <c r="C1" s="2043" t="s">
        <v>3045</v>
      </c>
      <c r="D1" s="2037"/>
      <c r="E1" s="350" t="s">
        <v>236</v>
      </c>
      <c r="F1" s="853"/>
      <c r="G1" s="378" t="s">
        <v>1561</v>
      </c>
      <c r="H1" s="890"/>
      <c r="I1" s="290" t="s">
        <v>237</v>
      </c>
      <c r="J1" s="1772" t="s">
        <v>3046</v>
      </c>
      <c r="K1" s="1774"/>
      <c r="L1" s="1772" t="s">
        <v>3047</v>
      </c>
      <c r="M1" s="1905"/>
    </row>
    <row r="2" spans="1:17" ht="45.95" customHeight="1">
      <c r="A2" s="133" t="s">
        <v>240</v>
      </c>
      <c r="B2" s="1682" t="s">
        <v>3048</v>
      </c>
      <c r="C2" s="1682"/>
      <c r="D2" s="134" t="s">
        <v>242</v>
      </c>
      <c r="E2" s="1706"/>
      <c r="F2" s="1706"/>
      <c r="G2" s="2057"/>
      <c r="H2" s="2057"/>
      <c r="I2" s="166" t="s">
        <v>243</v>
      </c>
      <c r="J2" s="2058">
        <v>0.05</v>
      </c>
      <c r="K2" s="2029"/>
      <c r="L2" s="166" t="s">
        <v>245</v>
      </c>
      <c r="M2" s="167" t="s">
        <v>1323</v>
      </c>
    </row>
    <row r="3" spans="1:17" ht="45.95" customHeight="1">
      <c r="A3" s="133" t="s">
        <v>247</v>
      </c>
      <c r="B3" s="2051" t="s">
        <v>3049</v>
      </c>
      <c r="C3" s="2051"/>
      <c r="D3" s="352" t="s">
        <v>249</v>
      </c>
      <c r="E3" s="353"/>
      <c r="F3" s="352" t="s">
        <v>251</v>
      </c>
      <c r="G3" s="352"/>
      <c r="H3" s="352" t="s">
        <v>252</v>
      </c>
      <c r="I3" s="899"/>
      <c r="J3" s="900" t="s">
        <v>565</v>
      </c>
      <c r="K3" s="15"/>
      <c r="L3" s="15" t="s">
        <v>255</v>
      </c>
      <c r="M3" s="92" t="s">
        <v>3050</v>
      </c>
    </row>
    <row r="4" spans="1:17" ht="98.1" customHeight="1">
      <c r="A4" s="856" t="s">
        <v>260</v>
      </c>
      <c r="B4" s="1726" t="s">
        <v>3051</v>
      </c>
      <c r="C4" s="1726"/>
      <c r="D4" s="2032"/>
      <c r="E4" s="2059" t="s">
        <v>3052</v>
      </c>
      <c r="F4" s="2059"/>
      <c r="G4" s="2059"/>
      <c r="H4" s="2060"/>
      <c r="I4" s="1690" t="s">
        <v>3053</v>
      </c>
      <c r="J4" s="1690"/>
      <c r="K4" s="901"/>
      <c r="L4" s="862"/>
      <c r="M4" s="863"/>
    </row>
    <row r="5" spans="1:17" ht="42.75">
      <c r="A5" s="891" t="s">
        <v>266</v>
      </c>
      <c r="B5" s="20" t="s">
        <v>267</v>
      </c>
      <c r="C5" s="20" t="s">
        <v>268</v>
      </c>
      <c r="D5" s="20" t="s">
        <v>269</v>
      </c>
      <c r="E5" s="859" t="s">
        <v>270</v>
      </c>
      <c r="F5" s="892" t="s">
        <v>271</v>
      </c>
      <c r="G5" s="893" t="s">
        <v>272</v>
      </c>
      <c r="H5" s="894" t="s">
        <v>273</v>
      </c>
      <c r="I5" s="859" t="s">
        <v>274</v>
      </c>
      <c r="J5" s="883" t="s">
        <v>275</v>
      </c>
      <c r="K5" s="70" t="s">
        <v>276</v>
      </c>
      <c r="L5" s="20" t="s">
        <v>277</v>
      </c>
      <c r="M5" s="417" t="s">
        <v>278</v>
      </c>
    </row>
    <row r="6" spans="1:17" ht="33.950000000000003" customHeight="1">
      <c r="A6" s="895">
        <v>42278</v>
      </c>
      <c r="B6" s="259">
        <v>321</v>
      </c>
      <c r="C6" s="259">
        <v>81807.75</v>
      </c>
      <c r="D6" s="259">
        <f>B6</f>
        <v>321</v>
      </c>
      <c r="E6" s="259">
        <f>C6</f>
        <v>81807.75</v>
      </c>
      <c r="F6" s="896"/>
      <c r="G6" s="260">
        <f>C6</f>
        <v>81807.75</v>
      </c>
      <c r="H6" s="261"/>
      <c r="I6" s="259"/>
      <c r="J6" s="259"/>
      <c r="K6" s="259"/>
      <c r="L6" s="259">
        <f t="shared" ref="L6:L28" si="0">E6-J6</f>
        <v>81807.75</v>
      </c>
      <c r="M6" s="646"/>
    </row>
    <row r="7" spans="1:17" ht="35.1" customHeight="1">
      <c r="A7" s="358">
        <v>42309</v>
      </c>
      <c r="B7" s="897">
        <v>363</v>
      </c>
      <c r="C7" s="898">
        <v>102014.75</v>
      </c>
      <c r="D7" s="635">
        <f t="shared" ref="D7:D28" si="1">D6+B7</f>
        <v>684</v>
      </c>
      <c r="E7" s="635">
        <f t="shared" ref="E7:E28" si="2">E6+C7</f>
        <v>183822.5</v>
      </c>
      <c r="F7" s="259"/>
      <c r="G7" s="260">
        <f>C6+C7</f>
        <v>183822.5</v>
      </c>
      <c r="H7" s="261"/>
      <c r="I7" s="259"/>
      <c r="J7" s="259"/>
      <c r="K7" s="259">
        <f t="shared" ref="K7:K29" si="3">K6+H7-I7</f>
        <v>0</v>
      </c>
      <c r="L7" s="259">
        <f t="shared" si="0"/>
        <v>183822.5</v>
      </c>
      <c r="M7" s="646"/>
    </row>
    <row r="8" spans="1:17" ht="35.1" customHeight="1">
      <c r="A8" s="358">
        <v>42339</v>
      </c>
      <c r="B8" s="259">
        <v>1708.5</v>
      </c>
      <c r="C8" s="259">
        <v>508237.63</v>
      </c>
      <c r="D8" s="635">
        <f t="shared" si="1"/>
        <v>2392.5</v>
      </c>
      <c r="E8" s="635">
        <f t="shared" si="2"/>
        <v>692060.13</v>
      </c>
      <c r="F8" s="259"/>
      <c r="G8" s="260">
        <f t="shared" ref="G8:G28" si="4">C7+C8+C6</f>
        <v>692060.13</v>
      </c>
      <c r="H8" s="261"/>
      <c r="I8" s="259"/>
      <c r="J8" s="259"/>
      <c r="K8" s="259">
        <f t="shared" si="3"/>
        <v>0</v>
      </c>
      <c r="L8" s="259">
        <f t="shared" si="0"/>
        <v>692060.13</v>
      </c>
      <c r="M8" s="646"/>
    </row>
    <row r="9" spans="1:17" ht="35.1" customHeight="1">
      <c r="A9" s="358">
        <v>42370</v>
      </c>
      <c r="B9" s="259">
        <v>1885</v>
      </c>
      <c r="C9" s="259">
        <v>577520.25</v>
      </c>
      <c r="D9" s="635">
        <f t="shared" si="1"/>
        <v>4277.5</v>
      </c>
      <c r="E9" s="635">
        <f t="shared" si="2"/>
        <v>1269580.3799999999</v>
      </c>
      <c r="F9" s="259"/>
      <c r="G9" s="260">
        <f t="shared" si="4"/>
        <v>1187772.6299999999</v>
      </c>
      <c r="H9" s="261"/>
      <c r="I9" s="259"/>
      <c r="J9" s="259"/>
      <c r="K9" s="259">
        <f t="shared" si="3"/>
        <v>0</v>
      </c>
      <c r="L9" s="259">
        <f t="shared" si="0"/>
        <v>1269580.3799999999</v>
      </c>
      <c r="M9" s="646"/>
    </row>
    <row r="10" spans="1:17" ht="35.1" customHeight="1">
      <c r="A10" s="358">
        <v>42401</v>
      </c>
      <c r="B10" s="259">
        <v>3.5</v>
      </c>
      <c r="C10" s="259">
        <v>895.13</v>
      </c>
      <c r="D10" s="635">
        <f t="shared" si="1"/>
        <v>4281</v>
      </c>
      <c r="E10" s="635">
        <f t="shared" si="2"/>
        <v>1270475.5099999998</v>
      </c>
      <c r="F10" s="259"/>
      <c r="G10" s="260">
        <f t="shared" si="4"/>
        <v>1086653.01</v>
      </c>
      <c r="H10" s="261">
        <f t="shared" ref="H10:H29" si="5">C6</f>
        <v>81807.75</v>
      </c>
      <c r="I10" s="259"/>
      <c r="J10" s="259"/>
      <c r="K10" s="259">
        <f t="shared" si="3"/>
        <v>81807.75</v>
      </c>
      <c r="L10" s="259">
        <f t="shared" si="0"/>
        <v>1270475.5099999998</v>
      </c>
      <c r="M10" s="646"/>
    </row>
    <row r="11" spans="1:17" ht="35.1" customHeight="1">
      <c r="A11" s="358">
        <v>42430</v>
      </c>
      <c r="B11" s="259">
        <v>82.5</v>
      </c>
      <c r="C11" s="259">
        <v>21174.75</v>
      </c>
      <c r="D11" s="635">
        <f t="shared" si="1"/>
        <v>4363.5</v>
      </c>
      <c r="E11" s="635">
        <f t="shared" si="2"/>
        <v>1291650.2599999998</v>
      </c>
      <c r="F11" s="259"/>
      <c r="G11" s="260">
        <f t="shared" si="4"/>
        <v>599590.13</v>
      </c>
      <c r="H11" s="261">
        <f t="shared" si="5"/>
        <v>102014.75</v>
      </c>
      <c r="I11" s="259"/>
      <c r="J11" s="259"/>
      <c r="K11" s="259">
        <f t="shared" si="3"/>
        <v>183822.5</v>
      </c>
      <c r="L11" s="259">
        <f t="shared" si="0"/>
        <v>1291650.2599999998</v>
      </c>
      <c r="M11" s="646"/>
      <c r="N11">
        <v>28</v>
      </c>
      <c r="O11">
        <v>81807.75</v>
      </c>
      <c r="P11">
        <f>N11*O11*0.0005</f>
        <v>1145.3085000000001</v>
      </c>
      <c r="Q11" t="s">
        <v>3054</v>
      </c>
    </row>
    <row r="12" spans="1:17" ht="35.1" customHeight="1">
      <c r="A12" s="358">
        <v>42461</v>
      </c>
      <c r="B12" s="259">
        <v>6148.5</v>
      </c>
      <c r="C12" s="259">
        <v>1784694.63</v>
      </c>
      <c r="D12" s="635">
        <f t="shared" si="1"/>
        <v>10512</v>
      </c>
      <c r="E12" s="635">
        <f t="shared" si="2"/>
        <v>3076344.8899999997</v>
      </c>
      <c r="F12" s="259"/>
      <c r="G12" s="260">
        <f t="shared" si="4"/>
        <v>1806764.5099999998</v>
      </c>
      <c r="H12" s="261">
        <f t="shared" si="5"/>
        <v>508237.63</v>
      </c>
      <c r="I12" s="259"/>
      <c r="J12" s="259"/>
      <c r="K12" s="259">
        <f t="shared" si="3"/>
        <v>692060.13</v>
      </c>
      <c r="L12" s="259">
        <f t="shared" si="0"/>
        <v>3076344.8899999997</v>
      </c>
      <c r="M12" s="876" t="s">
        <v>3055</v>
      </c>
      <c r="N12">
        <v>31</v>
      </c>
      <c r="O12">
        <f>H11</f>
        <v>102014.75</v>
      </c>
      <c r="P12">
        <f t="shared" ref="P12:P19" si="6">N12*O12*0.0005</f>
        <v>1581.228625</v>
      </c>
      <c r="Q12" s="903" t="s">
        <v>3056</v>
      </c>
    </row>
    <row r="13" spans="1:17" ht="35.1" customHeight="1">
      <c r="A13" s="358">
        <v>42491</v>
      </c>
      <c r="B13" s="259">
        <v>2194.5</v>
      </c>
      <c r="C13" s="259">
        <v>638154.12</v>
      </c>
      <c r="D13" s="635">
        <f t="shared" si="1"/>
        <v>12706.5</v>
      </c>
      <c r="E13" s="635">
        <f t="shared" si="2"/>
        <v>3714499.01</v>
      </c>
      <c r="F13" s="259"/>
      <c r="G13" s="260">
        <f t="shared" si="4"/>
        <v>2444023.5</v>
      </c>
      <c r="H13" s="261">
        <f t="shared" si="5"/>
        <v>577520.25</v>
      </c>
      <c r="I13" s="259">
        <v>560000</v>
      </c>
      <c r="J13" s="259">
        <f>I13</f>
        <v>560000</v>
      </c>
      <c r="K13" s="259">
        <f t="shared" si="3"/>
        <v>709580.37999999989</v>
      </c>
      <c r="L13" s="259">
        <f t="shared" si="0"/>
        <v>3154499.01</v>
      </c>
      <c r="M13" s="646"/>
      <c r="N13">
        <v>27</v>
      </c>
      <c r="O13">
        <f>K12-560000</f>
        <v>132060.13</v>
      </c>
      <c r="P13">
        <f t="shared" si="6"/>
        <v>1782.8117550000002</v>
      </c>
      <c r="Q13" t="s">
        <v>3057</v>
      </c>
    </row>
    <row r="14" spans="1:17" ht="35.1" customHeight="1">
      <c r="A14" s="358">
        <v>42522</v>
      </c>
      <c r="B14" s="259">
        <v>1723.5</v>
      </c>
      <c r="C14" s="259">
        <v>502751.63</v>
      </c>
      <c r="D14" s="635">
        <f t="shared" si="1"/>
        <v>14430</v>
      </c>
      <c r="E14" s="635">
        <f t="shared" si="2"/>
        <v>4217250.6399999997</v>
      </c>
      <c r="F14" s="259"/>
      <c r="G14" s="260">
        <f t="shared" si="4"/>
        <v>2925600.38</v>
      </c>
      <c r="H14" s="261">
        <f t="shared" si="5"/>
        <v>895.13</v>
      </c>
      <c r="I14" s="259">
        <v>500000</v>
      </c>
      <c r="J14" s="259">
        <f t="shared" ref="J14:J28" si="7">I14+J13</f>
        <v>1060000</v>
      </c>
      <c r="K14" s="259">
        <f t="shared" si="3"/>
        <v>210475.50999999989</v>
      </c>
      <c r="L14" s="259">
        <f t="shared" si="0"/>
        <v>3157250.6399999997</v>
      </c>
      <c r="M14" s="646" t="s">
        <v>3058</v>
      </c>
      <c r="N14">
        <v>21</v>
      </c>
      <c r="O14">
        <f>H10+H11+H12+H13-1060000</f>
        <v>209580.37999999989</v>
      </c>
      <c r="P14">
        <f t="shared" si="6"/>
        <v>2200.5939899999989</v>
      </c>
      <c r="Q14" s="903" t="s">
        <v>3059</v>
      </c>
    </row>
    <row r="15" spans="1:17" ht="35.1" customHeight="1">
      <c r="A15" s="358">
        <v>42552</v>
      </c>
      <c r="B15" s="259">
        <v>3166</v>
      </c>
      <c r="C15" s="259">
        <v>930112.5</v>
      </c>
      <c r="D15" s="635">
        <f t="shared" si="1"/>
        <v>17596</v>
      </c>
      <c r="E15" s="635">
        <f t="shared" si="2"/>
        <v>5147363.1399999997</v>
      </c>
      <c r="F15" s="259"/>
      <c r="G15" s="260">
        <f t="shared" si="4"/>
        <v>2071018.25</v>
      </c>
      <c r="H15" s="261">
        <f t="shared" si="5"/>
        <v>21174.75</v>
      </c>
      <c r="I15" s="259">
        <v>200000</v>
      </c>
      <c r="J15" s="259">
        <f t="shared" si="7"/>
        <v>1260000</v>
      </c>
      <c r="K15" s="259">
        <f t="shared" si="3"/>
        <v>31650.259999999893</v>
      </c>
      <c r="L15" s="259">
        <f t="shared" si="0"/>
        <v>3887363.1399999997</v>
      </c>
      <c r="M15" s="646" t="s">
        <v>3060</v>
      </c>
      <c r="N15">
        <v>30</v>
      </c>
      <c r="O15">
        <f>H10+H11+H12+H13+H14-1060000-200000</f>
        <v>10475.509999999776</v>
      </c>
      <c r="P15">
        <f t="shared" si="6"/>
        <v>157.13264999999666</v>
      </c>
      <c r="Q15" t="s">
        <v>3061</v>
      </c>
    </row>
    <row r="16" spans="1:17" ht="35.1" customHeight="1">
      <c r="A16" s="358">
        <v>42583</v>
      </c>
      <c r="B16" s="259">
        <v>2831</v>
      </c>
      <c r="C16" s="259">
        <v>824224.88</v>
      </c>
      <c r="D16" s="635">
        <f t="shared" si="1"/>
        <v>20427</v>
      </c>
      <c r="E16" s="635">
        <f t="shared" si="2"/>
        <v>5971588.0199999996</v>
      </c>
      <c r="F16" s="259"/>
      <c r="G16" s="260">
        <f t="shared" si="4"/>
        <v>2257089.0099999998</v>
      </c>
      <c r="H16" s="261">
        <f t="shared" si="5"/>
        <v>1784694.63</v>
      </c>
      <c r="I16" s="259">
        <v>1300000</v>
      </c>
      <c r="J16" s="259">
        <f t="shared" si="7"/>
        <v>2560000</v>
      </c>
      <c r="K16" s="259">
        <f t="shared" si="3"/>
        <v>516344.88999999966</v>
      </c>
      <c r="L16" s="259">
        <f t="shared" si="0"/>
        <v>3411588.0199999996</v>
      </c>
      <c r="M16" s="646"/>
      <c r="N16">
        <v>19</v>
      </c>
      <c r="O16">
        <f>H10+H11+H12+H13+H14+H15-1060000-200000-1300000</f>
        <v>-1268349.7400000002</v>
      </c>
      <c r="P16">
        <f t="shared" si="6"/>
        <v>-12049.322530000001</v>
      </c>
      <c r="Q16" t="s">
        <v>3062</v>
      </c>
    </row>
    <row r="17" spans="1:17" ht="35.1" customHeight="1">
      <c r="A17" s="358">
        <v>42614</v>
      </c>
      <c r="B17" s="259">
        <v>2526.5</v>
      </c>
      <c r="C17" s="259">
        <v>721989.5</v>
      </c>
      <c r="D17" s="635">
        <f t="shared" si="1"/>
        <v>22953.5</v>
      </c>
      <c r="E17" s="635">
        <f t="shared" si="2"/>
        <v>6693577.5199999996</v>
      </c>
      <c r="F17" s="259"/>
      <c r="G17" s="260">
        <f t="shared" si="4"/>
        <v>2476326.88</v>
      </c>
      <c r="H17" s="261">
        <f t="shared" si="5"/>
        <v>638154.12</v>
      </c>
      <c r="I17" s="259">
        <v>800000</v>
      </c>
      <c r="J17" s="259">
        <f t="shared" si="7"/>
        <v>3360000</v>
      </c>
      <c r="K17" s="259">
        <f t="shared" si="3"/>
        <v>354499.00999999978</v>
      </c>
      <c r="L17" s="259">
        <f t="shared" si="0"/>
        <v>3333577.5199999996</v>
      </c>
      <c r="M17" s="646" t="s">
        <v>3063</v>
      </c>
      <c r="N17">
        <v>0</v>
      </c>
      <c r="O17">
        <f>K17</f>
        <v>354499.00999999978</v>
      </c>
      <c r="P17">
        <f t="shared" si="6"/>
        <v>0</v>
      </c>
      <c r="Q17" t="s">
        <v>3064</v>
      </c>
    </row>
    <row r="18" spans="1:17" ht="35.1" customHeight="1">
      <c r="A18" s="358">
        <v>42644</v>
      </c>
      <c r="B18" s="259">
        <v>2756</v>
      </c>
      <c r="C18" s="259">
        <v>772422.38</v>
      </c>
      <c r="D18" s="635">
        <f t="shared" si="1"/>
        <v>25709.5</v>
      </c>
      <c r="E18" s="635">
        <f t="shared" si="2"/>
        <v>7465999.8999999994</v>
      </c>
      <c r="F18" s="259"/>
      <c r="G18" s="260">
        <f t="shared" si="4"/>
        <v>2318636.7599999998</v>
      </c>
      <c r="H18" s="261">
        <f t="shared" si="5"/>
        <v>502751.63</v>
      </c>
      <c r="I18" s="259">
        <f>500000+930000</f>
        <v>1430000</v>
      </c>
      <c r="J18" s="259">
        <f t="shared" si="7"/>
        <v>4790000</v>
      </c>
      <c r="K18" s="259">
        <f t="shared" si="3"/>
        <v>-572749.36000000022</v>
      </c>
      <c r="L18" s="259">
        <f t="shared" si="0"/>
        <v>2675999.8999999994</v>
      </c>
      <c r="M18" s="646" t="s">
        <v>3065</v>
      </c>
      <c r="P18">
        <f t="shared" si="6"/>
        <v>0</v>
      </c>
      <c r="Q18" t="s">
        <v>3066</v>
      </c>
    </row>
    <row r="19" spans="1:17" ht="35.1" customHeight="1">
      <c r="A19" s="358">
        <v>42675</v>
      </c>
      <c r="B19" s="259">
        <v>2617</v>
      </c>
      <c r="C19" s="259">
        <v>716732.63</v>
      </c>
      <c r="D19" s="635">
        <f t="shared" si="1"/>
        <v>28326.5</v>
      </c>
      <c r="E19" s="635">
        <f t="shared" si="2"/>
        <v>8182732.5299999993</v>
      </c>
      <c r="F19" s="259"/>
      <c r="G19" s="260">
        <f t="shared" si="4"/>
        <v>2211144.5099999998</v>
      </c>
      <c r="H19" s="261">
        <f t="shared" si="5"/>
        <v>930112.5</v>
      </c>
      <c r="I19" s="259"/>
      <c r="J19" s="259">
        <f t="shared" si="7"/>
        <v>4790000</v>
      </c>
      <c r="K19" s="259">
        <f t="shared" si="3"/>
        <v>357363.13999999978</v>
      </c>
      <c r="L19" s="259">
        <f t="shared" si="0"/>
        <v>3392732.5299999993</v>
      </c>
      <c r="M19" s="646" t="s">
        <v>3067</v>
      </c>
      <c r="P19">
        <f t="shared" si="6"/>
        <v>0</v>
      </c>
      <c r="Q19" t="s">
        <v>3068</v>
      </c>
    </row>
    <row r="20" spans="1:17" ht="35.1" customHeight="1">
      <c r="A20" s="358">
        <v>42705</v>
      </c>
      <c r="B20" s="259">
        <v>1356.5</v>
      </c>
      <c r="C20" s="259">
        <v>377323.38</v>
      </c>
      <c r="D20" s="635">
        <f t="shared" si="1"/>
        <v>29683</v>
      </c>
      <c r="E20" s="635">
        <f t="shared" si="2"/>
        <v>8560055.9100000001</v>
      </c>
      <c r="F20" s="259"/>
      <c r="G20" s="260">
        <f t="shared" si="4"/>
        <v>1866478.3900000001</v>
      </c>
      <c r="H20" s="261">
        <f t="shared" si="5"/>
        <v>824224.88</v>
      </c>
      <c r="I20" s="259">
        <v>1100000</v>
      </c>
      <c r="J20" s="259">
        <f t="shared" si="7"/>
        <v>5890000</v>
      </c>
      <c r="K20" s="259">
        <f t="shared" si="3"/>
        <v>81588.019999999786</v>
      </c>
      <c r="L20" s="259">
        <f t="shared" si="0"/>
        <v>2670055.91</v>
      </c>
      <c r="M20" s="646" t="s">
        <v>3069</v>
      </c>
    </row>
    <row r="21" spans="1:17" ht="35.1" customHeight="1">
      <c r="A21" s="358">
        <v>42736</v>
      </c>
      <c r="B21" s="259">
        <v>173.5</v>
      </c>
      <c r="C21" s="259">
        <v>57583</v>
      </c>
      <c r="D21" s="635">
        <f t="shared" si="1"/>
        <v>29856.5</v>
      </c>
      <c r="E21" s="635">
        <f t="shared" si="2"/>
        <v>8617638.9100000001</v>
      </c>
      <c r="F21" s="259"/>
      <c r="G21" s="260">
        <f t="shared" si="4"/>
        <v>1151639.01</v>
      </c>
      <c r="H21" s="261">
        <f t="shared" si="5"/>
        <v>721989.5</v>
      </c>
      <c r="I21" s="259">
        <v>700000</v>
      </c>
      <c r="J21" s="259">
        <f t="shared" si="7"/>
        <v>6590000</v>
      </c>
      <c r="K21" s="259">
        <f t="shared" si="3"/>
        <v>103577.51999999979</v>
      </c>
      <c r="L21" s="259">
        <f t="shared" si="0"/>
        <v>2027638.9100000001</v>
      </c>
      <c r="M21" s="646" t="s">
        <v>3070</v>
      </c>
    </row>
    <row r="22" spans="1:17" ht="35.1" customHeight="1">
      <c r="A22" s="358">
        <v>42767</v>
      </c>
      <c r="B22" s="259">
        <v>96</v>
      </c>
      <c r="C22" s="259">
        <v>26166</v>
      </c>
      <c r="D22" s="635">
        <f t="shared" si="1"/>
        <v>29952.5</v>
      </c>
      <c r="E22" s="635">
        <f t="shared" si="2"/>
        <v>8643804.9100000001</v>
      </c>
      <c r="F22" s="259"/>
      <c r="G22" s="260">
        <f t="shared" si="4"/>
        <v>461072.38</v>
      </c>
      <c r="H22" s="261">
        <f t="shared" si="5"/>
        <v>772422.38</v>
      </c>
      <c r="I22" s="259"/>
      <c r="J22" s="259">
        <f t="shared" si="7"/>
        <v>6590000</v>
      </c>
      <c r="K22" s="902">
        <f t="shared" si="3"/>
        <v>875999.89999999979</v>
      </c>
      <c r="L22" s="259">
        <f t="shared" si="0"/>
        <v>2053804.9100000001</v>
      </c>
      <c r="M22" s="646"/>
      <c r="O22" s="291" t="s">
        <v>1574</v>
      </c>
    </row>
    <row r="23" spans="1:17" ht="35.1" customHeight="1">
      <c r="A23" s="358">
        <v>42795</v>
      </c>
      <c r="B23" s="259">
        <v>467</v>
      </c>
      <c r="C23" s="259">
        <v>126981.25</v>
      </c>
      <c r="D23" s="635">
        <f t="shared" si="1"/>
        <v>30419.5</v>
      </c>
      <c r="E23" s="635">
        <f t="shared" si="2"/>
        <v>8770786.1600000001</v>
      </c>
      <c r="F23" s="259"/>
      <c r="G23" s="260">
        <f t="shared" si="4"/>
        <v>210730.25</v>
      </c>
      <c r="H23" s="261">
        <f t="shared" si="5"/>
        <v>716732.63</v>
      </c>
      <c r="I23" s="259">
        <f>750000</f>
        <v>750000</v>
      </c>
      <c r="J23" s="259">
        <f t="shared" si="7"/>
        <v>7340000</v>
      </c>
      <c r="K23" s="259">
        <f t="shared" si="3"/>
        <v>842732.5299999998</v>
      </c>
      <c r="L23" s="259">
        <f t="shared" si="0"/>
        <v>1430786.1600000001</v>
      </c>
      <c r="M23" s="865" t="s">
        <v>3071</v>
      </c>
      <c r="O23" s="291" t="s">
        <v>1575</v>
      </c>
    </row>
    <row r="24" spans="1:17" ht="35.1" customHeight="1">
      <c r="A24" s="358">
        <v>42826</v>
      </c>
      <c r="B24" s="259">
        <v>216.5</v>
      </c>
      <c r="C24" s="259">
        <v>59230.13</v>
      </c>
      <c r="D24" s="635">
        <f t="shared" si="1"/>
        <v>30636</v>
      </c>
      <c r="E24" s="635">
        <f t="shared" si="2"/>
        <v>8830016.290000001</v>
      </c>
      <c r="F24" s="259"/>
      <c r="G24" s="260">
        <f t="shared" si="4"/>
        <v>212377.38</v>
      </c>
      <c r="H24" s="261">
        <f t="shared" si="5"/>
        <v>377323.38</v>
      </c>
      <c r="I24" s="259">
        <v>700000</v>
      </c>
      <c r="J24" s="259">
        <f t="shared" si="7"/>
        <v>8040000</v>
      </c>
      <c r="K24" s="259">
        <f t="shared" si="3"/>
        <v>520055.90999999968</v>
      </c>
      <c r="L24" s="259">
        <f t="shared" si="0"/>
        <v>790016.29000000097</v>
      </c>
      <c r="M24" s="646" t="s">
        <v>3072</v>
      </c>
      <c r="O24" s="291" t="s">
        <v>1577</v>
      </c>
    </row>
    <row r="25" spans="1:17" ht="35.1" customHeight="1">
      <c r="A25" s="358">
        <v>42856</v>
      </c>
      <c r="B25" s="259">
        <v>75.5</v>
      </c>
      <c r="C25" s="259">
        <v>20709.23</v>
      </c>
      <c r="D25" s="635">
        <f t="shared" si="1"/>
        <v>30711.5</v>
      </c>
      <c r="E25" s="635">
        <f t="shared" si="2"/>
        <v>8850725.5200000014</v>
      </c>
      <c r="F25" s="259"/>
      <c r="G25" s="260">
        <f t="shared" si="4"/>
        <v>206920.61</v>
      </c>
      <c r="H25" s="261">
        <f t="shared" si="5"/>
        <v>57583</v>
      </c>
      <c r="I25" s="259">
        <v>200000</v>
      </c>
      <c r="J25" s="259">
        <f t="shared" si="7"/>
        <v>8240000</v>
      </c>
      <c r="K25" s="259">
        <f t="shared" si="3"/>
        <v>377638.90999999968</v>
      </c>
      <c r="L25" s="259">
        <f t="shared" si="0"/>
        <v>610725.52000000142</v>
      </c>
      <c r="M25" s="646" t="s">
        <v>3073</v>
      </c>
      <c r="O25" s="291" t="s">
        <v>672</v>
      </c>
    </row>
    <row r="26" spans="1:17" ht="35.1" customHeight="1">
      <c r="A26" s="358">
        <v>42887</v>
      </c>
      <c r="B26" s="259">
        <v>4.5</v>
      </c>
      <c r="C26" s="259">
        <v>1181.25</v>
      </c>
      <c r="D26" s="635">
        <f t="shared" si="1"/>
        <v>30716</v>
      </c>
      <c r="E26" s="635">
        <f t="shared" si="2"/>
        <v>8851906.7700000014</v>
      </c>
      <c r="F26" s="259"/>
      <c r="G26" s="260">
        <f t="shared" si="4"/>
        <v>81120.61</v>
      </c>
      <c r="H26" s="261">
        <f t="shared" si="5"/>
        <v>26166</v>
      </c>
      <c r="I26" s="259"/>
      <c r="J26" s="259">
        <f t="shared" si="7"/>
        <v>8240000</v>
      </c>
      <c r="K26" s="259">
        <f t="shared" si="3"/>
        <v>403804.90999999968</v>
      </c>
      <c r="L26" s="259">
        <f t="shared" si="0"/>
        <v>611906.77000000142</v>
      </c>
      <c r="M26" s="646"/>
      <c r="O26" s="291" t="s">
        <v>433</v>
      </c>
    </row>
    <row r="27" spans="1:17" ht="35.1" customHeight="1">
      <c r="A27" s="358">
        <v>42917</v>
      </c>
      <c r="B27" s="259">
        <v>3.5</v>
      </c>
      <c r="C27" s="259">
        <v>1064.8699999999999</v>
      </c>
      <c r="D27" s="635">
        <f t="shared" si="1"/>
        <v>30719.5</v>
      </c>
      <c r="E27" s="635">
        <f t="shared" si="2"/>
        <v>8852971.6400000006</v>
      </c>
      <c r="F27" s="259"/>
      <c r="G27" s="260">
        <f t="shared" si="4"/>
        <v>22955.35</v>
      </c>
      <c r="H27" s="261">
        <f t="shared" si="5"/>
        <v>126981.25</v>
      </c>
      <c r="I27" s="259"/>
      <c r="J27" s="259">
        <f t="shared" si="7"/>
        <v>8240000</v>
      </c>
      <c r="K27" s="259">
        <f t="shared" si="3"/>
        <v>530786.15999999968</v>
      </c>
      <c r="L27" s="259">
        <f t="shared" si="0"/>
        <v>612971.6400000006</v>
      </c>
      <c r="M27" s="646"/>
      <c r="O27" s="291" t="s">
        <v>434</v>
      </c>
    </row>
    <row r="28" spans="1:17" ht="35.1" customHeight="1">
      <c r="A28" s="358">
        <v>42948</v>
      </c>
      <c r="B28" s="259"/>
      <c r="C28" s="259"/>
      <c r="D28" s="635">
        <f t="shared" si="1"/>
        <v>30719.5</v>
      </c>
      <c r="E28" s="635">
        <f t="shared" si="2"/>
        <v>8852971.6400000006</v>
      </c>
      <c r="F28" s="259"/>
      <c r="G28" s="260">
        <f t="shared" si="4"/>
        <v>2246.12</v>
      </c>
      <c r="H28" s="261">
        <f t="shared" si="5"/>
        <v>59230.13</v>
      </c>
      <c r="I28" s="259"/>
      <c r="J28" s="259">
        <f t="shared" si="7"/>
        <v>8240000</v>
      </c>
      <c r="K28" s="259">
        <f t="shared" si="3"/>
        <v>590016.28999999969</v>
      </c>
      <c r="L28" s="259">
        <f t="shared" si="0"/>
        <v>612971.6400000006</v>
      </c>
      <c r="M28" s="646"/>
      <c r="O28" s="271" t="s">
        <v>608</v>
      </c>
      <c r="P28" s="271">
        <f>SUM(侨建大厦!C28:C33)</f>
        <v>0</v>
      </c>
    </row>
    <row r="29" spans="1:17" ht="35.1" customHeight="1">
      <c r="A29" s="358"/>
      <c r="B29" s="259"/>
      <c r="C29" s="259"/>
      <c r="D29" s="259"/>
      <c r="E29" s="259"/>
      <c r="F29" s="259"/>
      <c r="G29" s="260"/>
      <c r="H29" s="261">
        <f t="shared" si="5"/>
        <v>20709.23</v>
      </c>
      <c r="I29" s="259"/>
      <c r="J29" s="259"/>
      <c r="K29" s="259">
        <f t="shared" si="3"/>
        <v>610725.51999999967</v>
      </c>
      <c r="L29" s="259"/>
      <c r="M29" s="646"/>
    </row>
    <row r="30" spans="1:17" ht="35.1" customHeight="1">
      <c r="A30" s="358"/>
      <c r="B30" s="259"/>
      <c r="C30" s="259"/>
      <c r="D30" s="259"/>
      <c r="E30" s="259"/>
      <c r="F30" s="259"/>
      <c r="G30" s="260"/>
      <c r="H30" s="261"/>
      <c r="I30" s="259"/>
      <c r="J30" s="259"/>
      <c r="K30" s="259"/>
      <c r="L30" s="259"/>
      <c r="M30" s="646"/>
    </row>
    <row r="31" spans="1:17" ht="35.1" customHeight="1">
      <c r="A31" s="358"/>
      <c r="B31" s="259"/>
      <c r="C31" s="259"/>
      <c r="D31" s="259"/>
      <c r="E31" s="259"/>
      <c r="F31" s="259"/>
      <c r="G31" s="260"/>
      <c r="H31" s="261"/>
      <c r="I31" s="259"/>
      <c r="J31" s="259"/>
      <c r="K31" s="259"/>
      <c r="L31" s="259"/>
      <c r="M31" s="646"/>
    </row>
    <row r="43" ht="33.950000000000003" customHeight="1"/>
  </sheetData>
  <mergeCells count="10">
    <mergeCell ref="L1:M1"/>
    <mergeCell ref="B2:C2"/>
    <mergeCell ref="E2:H2"/>
    <mergeCell ref="J2:K2"/>
    <mergeCell ref="B3:C3"/>
    <mergeCell ref="B4:D4"/>
    <mergeCell ref="E4:H4"/>
    <mergeCell ref="I4:J4"/>
    <mergeCell ref="C1:D1"/>
    <mergeCell ref="J1:K1"/>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9" zoomScaleSheetLayoutView="100" workbookViewId="0">
      <selection activeCell="A26" sqref="A26"/>
    </sheetView>
  </sheetViews>
  <sheetFormatPr defaultColWidth="9" defaultRowHeight="14.25"/>
  <cols>
    <col min="1" max="1" width="13.875" customWidth="1"/>
    <col min="2" max="2" width="1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86">
        <v>42447</v>
      </c>
      <c r="C1" s="2043" t="s">
        <v>3074</v>
      </c>
      <c r="D1" s="2037"/>
      <c r="E1" s="350" t="s">
        <v>236</v>
      </c>
      <c r="F1" s="853"/>
      <c r="G1" s="854" t="s">
        <v>3075</v>
      </c>
      <c r="H1" s="855"/>
      <c r="I1" s="306" t="s">
        <v>237</v>
      </c>
      <c r="J1" s="1772" t="s">
        <v>3076</v>
      </c>
      <c r="K1" s="1774"/>
      <c r="L1" s="1772" t="s">
        <v>3077</v>
      </c>
      <c r="M1" s="1905"/>
    </row>
    <row r="2" spans="1:13" ht="45.95" customHeight="1">
      <c r="A2" s="133" t="s">
        <v>240</v>
      </c>
      <c r="B2" s="1682" t="s">
        <v>3078</v>
      </c>
      <c r="C2" s="1682"/>
      <c r="D2" s="134" t="s">
        <v>242</v>
      </c>
      <c r="E2" s="1706"/>
      <c r="F2" s="1706"/>
      <c r="G2" s="1706"/>
      <c r="H2" s="1706"/>
      <c r="I2" s="166" t="s">
        <v>243</v>
      </c>
      <c r="J2" s="2058">
        <v>0.05</v>
      </c>
      <c r="K2" s="2029"/>
      <c r="L2" s="166" t="s">
        <v>245</v>
      </c>
      <c r="M2" s="205" t="s">
        <v>402</v>
      </c>
    </row>
    <row r="3" spans="1:13" ht="45.95" customHeight="1">
      <c r="A3" s="133" t="s">
        <v>247</v>
      </c>
      <c r="B3" s="2051" t="s">
        <v>3079</v>
      </c>
      <c r="C3" s="2051"/>
      <c r="D3" s="352" t="s">
        <v>249</v>
      </c>
      <c r="E3" s="353"/>
      <c r="F3" s="352" t="s">
        <v>251</v>
      </c>
      <c r="G3" s="134"/>
      <c r="H3" s="134" t="s">
        <v>252</v>
      </c>
      <c r="I3" s="206"/>
      <c r="J3" s="41" t="s">
        <v>565</v>
      </c>
      <c r="K3" s="15" t="s">
        <v>3080</v>
      </c>
      <c r="L3" s="15" t="s">
        <v>255</v>
      </c>
      <c r="M3" s="92" t="s">
        <v>3080</v>
      </c>
    </row>
    <row r="4" spans="1:13" ht="120" customHeight="1">
      <c r="A4" s="856" t="s">
        <v>260</v>
      </c>
      <c r="B4" s="1726" t="s">
        <v>3081</v>
      </c>
      <c r="C4" s="1726"/>
      <c r="D4" s="1726"/>
      <c r="E4" s="1726"/>
      <c r="F4" s="1726"/>
      <c r="G4" s="2053" t="s">
        <v>3082</v>
      </c>
      <c r="H4" s="2054"/>
      <c r="I4" s="887"/>
      <c r="J4" s="2055"/>
      <c r="K4" s="2055"/>
      <c r="L4" s="862"/>
      <c r="M4" s="863"/>
    </row>
    <row r="5" spans="1:13" ht="86.1" customHeight="1">
      <c r="A5" s="856" t="s">
        <v>3083</v>
      </c>
      <c r="B5" s="2061" t="s">
        <v>3084</v>
      </c>
      <c r="C5" s="2062"/>
      <c r="D5" s="2062"/>
      <c r="E5" s="2062"/>
      <c r="F5" s="2063"/>
      <c r="G5" s="857"/>
      <c r="H5" s="860"/>
      <c r="I5" s="887"/>
      <c r="J5" s="861"/>
      <c r="K5" s="861"/>
      <c r="L5" s="862"/>
      <c r="M5" s="888"/>
    </row>
    <row r="6" spans="1:13" ht="42.75">
      <c r="A6" s="858" t="s">
        <v>266</v>
      </c>
      <c r="B6" s="859" t="s">
        <v>267</v>
      </c>
      <c r="C6" s="859" t="s">
        <v>268</v>
      </c>
      <c r="D6" s="859" t="s">
        <v>269</v>
      </c>
      <c r="E6" s="859" t="s">
        <v>270</v>
      </c>
      <c r="F6" s="859" t="s">
        <v>271</v>
      </c>
      <c r="G6" s="21" t="s">
        <v>272</v>
      </c>
      <c r="H6" s="22" t="s">
        <v>273</v>
      </c>
      <c r="I6" s="20" t="s">
        <v>274</v>
      </c>
      <c r="J6" s="70" t="s">
        <v>275</v>
      </c>
      <c r="K6" s="70" t="s">
        <v>276</v>
      </c>
      <c r="L6" s="20" t="s">
        <v>277</v>
      </c>
      <c r="M6" s="417" t="s">
        <v>278</v>
      </c>
    </row>
    <row r="7" spans="1:13" ht="33.950000000000003" customHeight="1">
      <c r="A7" s="358">
        <v>42278</v>
      </c>
      <c r="B7" s="259">
        <v>220</v>
      </c>
      <c r="C7" s="259">
        <v>53460</v>
      </c>
      <c r="D7" s="259">
        <f>B7</f>
        <v>220</v>
      </c>
      <c r="E7" s="259">
        <f>C7</f>
        <v>53460</v>
      </c>
      <c r="F7" s="259"/>
      <c r="G7" s="260">
        <f>C7</f>
        <v>53460</v>
      </c>
      <c r="H7" s="261"/>
      <c r="I7" s="259"/>
      <c r="J7" s="259"/>
      <c r="K7" s="259"/>
      <c r="L7" s="259">
        <f t="shared" ref="L7:L25" si="0">E7-J7</f>
        <v>53460</v>
      </c>
      <c r="M7" s="646"/>
    </row>
    <row r="8" spans="1:13" ht="35.1" customHeight="1">
      <c r="A8" s="358">
        <v>42309</v>
      </c>
      <c r="B8" s="259">
        <v>349</v>
      </c>
      <c r="C8" s="259">
        <v>92552</v>
      </c>
      <c r="D8" s="259">
        <f t="shared" ref="D8:D25" si="1">D7+B8</f>
        <v>569</v>
      </c>
      <c r="E8" s="259">
        <f t="shared" ref="E8:E25" si="2">E7+C8</f>
        <v>146012</v>
      </c>
      <c r="F8" s="259"/>
      <c r="G8" s="260">
        <f t="shared" ref="G8:G17" si="3">E8</f>
        <v>146012</v>
      </c>
      <c r="H8" s="261"/>
      <c r="I8" s="259"/>
      <c r="J8" s="259"/>
      <c r="K8" s="259"/>
      <c r="L8" s="259">
        <f t="shared" si="0"/>
        <v>146012</v>
      </c>
      <c r="M8" s="646"/>
    </row>
    <row r="9" spans="1:13" ht="35.1" customHeight="1">
      <c r="A9" s="358">
        <v>42339</v>
      </c>
      <c r="B9" s="259">
        <v>38</v>
      </c>
      <c r="C9" s="259">
        <v>9424</v>
      </c>
      <c r="D9" s="259">
        <f t="shared" si="1"/>
        <v>607</v>
      </c>
      <c r="E9" s="259">
        <f t="shared" si="2"/>
        <v>155436</v>
      </c>
      <c r="F9" s="259"/>
      <c r="G9" s="260">
        <f t="shared" si="3"/>
        <v>155436</v>
      </c>
      <c r="H9" s="261"/>
      <c r="I9" s="259"/>
      <c r="J9" s="259"/>
      <c r="K9" s="259"/>
      <c r="L9" s="259">
        <f t="shared" si="0"/>
        <v>155436</v>
      </c>
      <c r="M9" s="646"/>
    </row>
    <row r="10" spans="1:13" ht="35.1" customHeight="1">
      <c r="A10" s="358">
        <v>42370</v>
      </c>
      <c r="B10" s="259">
        <v>1608</v>
      </c>
      <c r="C10" s="259">
        <v>383664</v>
      </c>
      <c r="D10" s="259">
        <f t="shared" si="1"/>
        <v>2215</v>
      </c>
      <c r="E10" s="259">
        <f t="shared" si="2"/>
        <v>539100</v>
      </c>
      <c r="F10" s="259"/>
      <c r="G10" s="260">
        <f t="shared" si="3"/>
        <v>539100</v>
      </c>
      <c r="H10" s="261"/>
      <c r="I10" s="259"/>
      <c r="J10" s="259"/>
      <c r="K10" s="259"/>
      <c r="L10" s="259">
        <f t="shared" si="0"/>
        <v>539100</v>
      </c>
      <c r="M10" s="646"/>
    </row>
    <row r="11" spans="1:13" ht="35.1" customHeight="1">
      <c r="A11" s="358">
        <v>42401</v>
      </c>
      <c r="B11" s="259">
        <v>328</v>
      </c>
      <c r="C11" s="259">
        <v>76524</v>
      </c>
      <c r="D11" s="259">
        <f t="shared" si="1"/>
        <v>2543</v>
      </c>
      <c r="E11" s="259">
        <f t="shared" si="2"/>
        <v>615624</v>
      </c>
      <c r="F11" s="259"/>
      <c r="G11" s="260">
        <f t="shared" si="3"/>
        <v>615624</v>
      </c>
      <c r="H11" s="261"/>
      <c r="I11" s="259"/>
      <c r="J11" s="259"/>
      <c r="K11" s="259"/>
      <c r="L11" s="259">
        <f t="shared" si="0"/>
        <v>615624</v>
      </c>
      <c r="M11" s="646"/>
    </row>
    <row r="12" spans="1:13" ht="35.1" customHeight="1">
      <c r="A12" s="358">
        <v>42430</v>
      </c>
      <c r="B12" s="259">
        <v>4768.5</v>
      </c>
      <c r="C12" s="259">
        <v>1495853</v>
      </c>
      <c r="D12" s="259">
        <f t="shared" si="1"/>
        <v>7311.5</v>
      </c>
      <c r="E12" s="259">
        <f t="shared" si="2"/>
        <v>2111477</v>
      </c>
      <c r="F12" s="259"/>
      <c r="G12" s="260">
        <f t="shared" si="3"/>
        <v>2111477</v>
      </c>
      <c r="H12" s="261"/>
      <c r="I12" s="259"/>
      <c r="J12" s="259"/>
      <c r="K12" s="259"/>
      <c r="L12" s="259">
        <f t="shared" si="0"/>
        <v>2111477</v>
      </c>
      <c r="M12" s="646"/>
    </row>
    <row r="13" spans="1:13" ht="35.1" customHeight="1">
      <c r="A13" s="358">
        <v>42461</v>
      </c>
      <c r="B13" s="259">
        <v>4992</v>
      </c>
      <c r="C13" s="259">
        <v>1637581</v>
      </c>
      <c r="D13" s="259">
        <f t="shared" si="1"/>
        <v>12303.5</v>
      </c>
      <c r="E13" s="259">
        <f t="shared" si="2"/>
        <v>3749058</v>
      </c>
      <c r="F13" s="259"/>
      <c r="G13" s="260">
        <f t="shared" si="3"/>
        <v>3749058</v>
      </c>
      <c r="H13" s="261"/>
      <c r="I13" s="259"/>
      <c r="J13" s="259"/>
      <c r="K13" s="259"/>
      <c r="L13" s="259">
        <f t="shared" si="0"/>
        <v>3749058</v>
      </c>
      <c r="M13" s="646"/>
    </row>
    <row r="14" spans="1:13" ht="35.1" customHeight="1">
      <c r="A14" s="358">
        <v>42491</v>
      </c>
      <c r="B14" s="259">
        <v>3924.5</v>
      </c>
      <c r="C14" s="259">
        <v>1316491</v>
      </c>
      <c r="D14" s="259">
        <f t="shared" si="1"/>
        <v>16228</v>
      </c>
      <c r="E14" s="259">
        <f t="shared" si="2"/>
        <v>5065549</v>
      </c>
      <c r="F14" s="259"/>
      <c r="G14" s="260">
        <f t="shared" si="3"/>
        <v>5065549</v>
      </c>
      <c r="H14" s="261"/>
      <c r="I14" s="259"/>
      <c r="J14" s="259"/>
      <c r="K14" s="259"/>
      <c r="L14" s="259">
        <f t="shared" si="0"/>
        <v>5065549</v>
      </c>
      <c r="M14" s="646"/>
    </row>
    <row r="15" spans="1:13" ht="35.1" customHeight="1">
      <c r="A15" s="358">
        <v>42522</v>
      </c>
      <c r="B15" s="259">
        <v>2893.5</v>
      </c>
      <c r="C15" s="259">
        <v>929098</v>
      </c>
      <c r="D15" s="259">
        <f t="shared" si="1"/>
        <v>19121.5</v>
      </c>
      <c r="E15" s="259">
        <f t="shared" si="2"/>
        <v>5994647</v>
      </c>
      <c r="F15" s="259"/>
      <c r="G15" s="260">
        <f t="shared" si="3"/>
        <v>5994647</v>
      </c>
      <c r="H15" s="261"/>
      <c r="I15" s="259"/>
      <c r="J15" s="259"/>
      <c r="K15" s="259"/>
      <c r="L15" s="259">
        <f t="shared" si="0"/>
        <v>5994647</v>
      </c>
      <c r="M15" s="646"/>
    </row>
    <row r="16" spans="1:13" ht="35.1" customHeight="1">
      <c r="A16" s="358">
        <v>42552</v>
      </c>
      <c r="B16" s="259">
        <v>2732.5</v>
      </c>
      <c r="C16" s="259">
        <v>858580</v>
      </c>
      <c r="D16" s="259">
        <f t="shared" si="1"/>
        <v>21854</v>
      </c>
      <c r="E16" s="259">
        <f t="shared" si="2"/>
        <v>6853227</v>
      </c>
      <c r="F16" s="259"/>
      <c r="G16" s="260">
        <f t="shared" si="3"/>
        <v>6853227</v>
      </c>
      <c r="H16" s="261"/>
      <c r="I16" s="259"/>
      <c r="J16" s="259"/>
      <c r="K16" s="259"/>
      <c r="L16" s="259">
        <f t="shared" si="0"/>
        <v>6853227</v>
      </c>
      <c r="M16" s="646"/>
    </row>
    <row r="17" spans="1:13" ht="35.1" customHeight="1">
      <c r="A17" s="358">
        <v>42583</v>
      </c>
      <c r="B17" s="259">
        <v>1408.5</v>
      </c>
      <c r="C17" s="259">
        <v>497060.5</v>
      </c>
      <c r="D17" s="259">
        <f t="shared" si="1"/>
        <v>23262.5</v>
      </c>
      <c r="E17" s="259">
        <f t="shared" si="2"/>
        <v>7350287.5</v>
      </c>
      <c r="F17" s="259"/>
      <c r="G17" s="260">
        <f t="shared" si="3"/>
        <v>7350287.5</v>
      </c>
      <c r="H17" s="261"/>
      <c r="I17" s="259"/>
      <c r="J17" s="259"/>
      <c r="K17" s="259"/>
      <c r="L17" s="259">
        <f t="shared" si="0"/>
        <v>7350287.5</v>
      </c>
      <c r="M17" s="889" t="s">
        <v>3085</v>
      </c>
    </row>
    <row r="18" spans="1:13" ht="35.1" customHeight="1">
      <c r="A18" s="872">
        <v>42614</v>
      </c>
      <c r="B18" s="259">
        <v>1018</v>
      </c>
      <c r="C18" s="259">
        <v>310214</v>
      </c>
      <c r="D18" s="259">
        <f t="shared" si="1"/>
        <v>24280.5</v>
      </c>
      <c r="E18" s="259">
        <f t="shared" si="2"/>
        <v>7660501.5</v>
      </c>
      <c r="F18" s="259"/>
      <c r="G18" s="260">
        <f>E18*0.35</f>
        <v>2681175.5249999999</v>
      </c>
      <c r="H18" s="261"/>
      <c r="I18" s="259"/>
      <c r="J18" s="259"/>
      <c r="K18" s="259"/>
      <c r="L18" s="259">
        <f t="shared" si="0"/>
        <v>7660501.5</v>
      </c>
      <c r="M18" s="646" t="s">
        <v>3086</v>
      </c>
    </row>
    <row r="19" spans="1:13" ht="35.1" customHeight="1">
      <c r="A19" s="358">
        <v>42644</v>
      </c>
      <c r="B19" s="259">
        <v>2842.5</v>
      </c>
      <c r="C19" s="259">
        <v>940702.5</v>
      </c>
      <c r="D19" s="259">
        <f t="shared" si="1"/>
        <v>27123</v>
      </c>
      <c r="E19" s="259">
        <f t="shared" si="2"/>
        <v>8601204</v>
      </c>
      <c r="F19" s="259"/>
      <c r="G19" s="260">
        <f>E18*0.25+C19</f>
        <v>2855827.875</v>
      </c>
      <c r="H19" s="261">
        <f>E18*0.75</f>
        <v>5745376.125</v>
      </c>
      <c r="I19" s="259">
        <v>1000000</v>
      </c>
      <c r="J19" s="259">
        <f>I19</f>
        <v>1000000</v>
      </c>
      <c r="K19" s="259">
        <f t="shared" ref="K19:K26" si="4">K18+H19-I19</f>
        <v>4745376.125</v>
      </c>
      <c r="L19" s="259">
        <f t="shared" si="0"/>
        <v>7601204</v>
      </c>
      <c r="M19" s="646" t="s">
        <v>3087</v>
      </c>
    </row>
    <row r="20" spans="1:13" ht="35.1" customHeight="1">
      <c r="A20" s="358">
        <v>42675</v>
      </c>
      <c r="B20" s="259">
        <v>3508</v>
      </c>
      <c r="C20" s="259">
        <v>1218857.5</v>
      </c>
      <c r="D20" s="259">
        <f t="shared" si="1"/>
        <v>30631</v>
      </c>
      <c r="E20" s="259">
        <f t="shared" si="2"/>
        <v>9820061.5</v>
      </c>
      <c r="F20" s="259"/>
      <c r="G20" s="260">
        <f>E18*0.25+C20+C19</f>
        <v>4074685.375</v>
      </c>
      <c r="H20" s="261">
        <v>0</v>
      </c>
      <c r="I20" s="259">
        <v>1000000</v>
      </c>
      <c r="J20" s="259">
        <f t="shared" ref="J20:J25" si="5">I20+J19</f>
        <v>2000000</v>
      </c>
      <c r="K20" s="259">
        <f t="shared" si="4"/>
        <v>3745376.125</v>
      </c>
      <c r="L20" s="259">
        <f t="shared" si="0"/>
        <v>7820061.5</v>
      </c>
      <c r="M20" s="646"/>
    </row>
    <row r="21" spans="1:13" ht="35.1" customHeight="1">
      <c r="A21" s="358">
        <v>42705</v>
      </c>
      <c r="B21" s="259">
        <v>0</v>
      </c>
      <c r="C21" s="259">
        <v>0</v>
      </c>
      <c r="D21" s="259">
        <f t="shared" si="1"/>
        <v>30631</v>
      </c>
      <c r="E21" s="259">
        <f t="shared" si="2"/>
        <v>9820061.5</v>
      </c>
      <c r="F21" s="259"/>
      <c r="G21" s="260">
        <f>E18*0.25+C21+C20+C19</f>
        <v>4074685.375</v>
      </c>
      <c r="H21" s="261">
        <v>0</v>
      </c>
      <c r="I21" s="259"/>
      <c r="J21" s="259">
        <f t="shared" si="5"/>
        <v>2000000</v>
      </c>
      <c r="K21" s="259">
        <f t="shared" si="4"/>
        <v>3745376.125</v>
      </c>
      <c r="L21" s="259">
        <f t="shared" si="0"/>
        <v>7820061.5</v>
      </c>
      <c r="M21" s="646" t="s">
        <v>3088</v>
      </c>
    </row>
    <row r="22" spans="1:13" ht="35.1" customHeight="1">
      <c r="A22" s="358">
        <v>42736</v>
      </c>
      <c r="B22" s="259">
        <v>0</v>
      </c>
      <c r="C22" s="259">
        <v>0</v>
      </c>
      <c r="D22" s="259">
        <f t="shared" si="1"/>
        <v>30631</v>
      </c>
      <c r="E22" s="259">
        <f t="shared" si="2"/>
        <v>9820061.5</v>
      </c>
      <c r="F22" s="259"/>
      <c r="G22" s="260">
        <f>E18*0.25+C21+C20+C19</f>
        <v>4074685.375</v>
      </c>
      <c r="H22" s="261">
        <v>0</v>
      </c>
      <c r="I22" s="259">
        <v>1000000</v>
      </c>
      <c r="J22" s="259">
        <f t="shared" si="5"/>
        <v>3000000</v>
      </c>
      <c r="K22" s="259">
        <f t="shared" si="4"/>
        <v>2745376.125</v>
      </c>
      <c r="L22" s="259">
        <f t="shared" si="0"/>
        <v>6820061.5</v>
      </c>
      <c r="M22" s="646"/>
    </row>
    <row r="23" spans="1:13" ht="35.1" customHeight="1">
      <c r="A23" s="358">
        <v>42767</v>
      </c>
      <c r="B23" s="259">
        <v>0</v>
      </c>
      <c r="C23" s="259">
        <v>0</v>
      </c>
      <c r="D23" s="259">
        <f t="shared" si="1"/>
        <v>30631</v>
      </c>
      <c r="E23" s="259">
        <f t="shared" si="2"/>
        <v>9820061.5</v>
      </c>
      <c r="F23" s="259"/>
      <c r="G23" s="260">
        <f>E18*0.25+C21+C20+C19</f>
        <v>4074685.375</v>
      </c>
      <c r="H23" s="261">
        <v>0</v>
      </c>
      <c r="I23" s="259"/>
      <c r="J23" s="259">
        <f t="shared" si="5"/>
        <v>3000000</v>
      </c>
      <c r="K23" s="259">
        <f t="shared" si="4"/>
        <v>2745376.125</v>
      </c>
      <c r="L23" s="259">
        <f t="shared" si="0"/>
        <v>6820061.5</v>
      </c>
      <c r="M23" s="646"/>
    </row>
    <row r="24" spans="1:13" ht="35.1" customHeight="1">
      <c r="A24" s="358">
        <v>42887</v>
      </c>
      <c r="B24" s="259">
        <v>0</v>
      </c>
      <c r="C24" s="259">
        <v>0</v>
      </c>
      <c r="D24" s="259">
        <f t="shared" si="1"/>
        <v>30631</v>
      </c>
      <c r="E24" s="259">
        <f t="shared" si="2"/>
        <v>9820061.5</v>
      </c>
      <c r="F24" s="259"/>
      <c r="G24" s="260"/>
      <c r="H24" s="261">
        <f>G23</f>
        <v>4074685.375</v>
      </c>
      <c r="I24" s="259">
        <v>2000000</v>
      </c>
      <c r="J24" s="259">
        <f t="shared" si="5"/>
        <v>5000000</v>
      </c>
      <c r="K24" s="259">
        <f t="shared" si="4"/>
        <v>4820061.5</v>
      </c>
      <c r="L24" s="259">
        <f t="shared" si="0"/>
        <v>4820061.5</v>
      </c>
      <c r="M24" s="646" t="s">
        <v>3089</v>
      </c>
    </row>
    <row r="25" spans="1:13" ht="35.1" customHeight="1">
      <c r="A25" s="358">
        <v>42948</v>
      </c>
      <c r="B25" s="259">
        <v>0</v>
      </c>
      <c r="C25" s="259">
        <v>0</v>
      </c>
      <c r="D25" s="259">
        <f t="shared" si="1"/>
        <v>30631</v>
      </c>
      <c r="E25" s="259">
        <f t="shared" si="2"/>
        <v>9820061.5</v>
      </c>
      <c r="F25" s="259"/>
      <c r="G25" s="260"/>
      <c r="H25" s="261">
        <f>G24</f>
        <v>0</v>
      </c>
      <c r="I25" s="259"/>
      <c r="J25" s="259">
        <f t="shared" si="5"/>
        <v>5000000</v>
      </c>
      <c r="K25" s="259">
        <f t="shared" si="4"/>
        <v>4820061.5</v>
      </c>
      <c r="L25" s="259">
        <f t="shared" si="0"/>
        <v>4820061.5</v>
      </c>
      <c r="M25" s="646"/>
    </row>
    <row r="26" spans="1:13" ht="35.1" customHeight="1">
      <c r="A26" s="358"/>
      <c r="B26" s="259"/>
      <c r="C26" s="259"/>
      <c r="D26" s="259"/>
      <c r="E26" s="259"/>
      <c r="F26" s="259"/>
      <c r="G26" s="260"/>
      <c r="H26" s="261">
        <f>G25</f>
        <v>0</v>
      </c>
      <c r="I26" s="259"/>
      <c r="J26" s="259"/>
      <c r="K26" s="259">
        <f t="shared" si="4"/>
        <v>4820061.5</v>
      </c>
      <c r="L26" s="259"/>
      <c r="M26" s="646"/>
    </row>
    <row r="27" spans="1:13" ht="35.1" customHeight="1">
      <c r="A27" s="358"/>
      <c r="B27" s="259"/>
      <c r="C27" s="259"/>
      <c r="D27" s="259"/>
      <c r="E27" s="259"/>
      <c r="F27" s="259"/>
      <c r="G27" s="260"/>
      <c r="H27" s="261"/>
      <c r="I27" s="259"/>
      <c r="J27" s="259"/>
      <c r="K27" s="259"/>
      <c r="L27" s="259"/>
      <c r="M27" s="646"/>
    </row>
    <row r="28" spans="1:13" ht="35.1" customHeight="1">
      <c r="A28" s="358"/>
      <c r="B28" s="259"/>
      <c r="C28" s="259"/>
      <c r="D28" s="259"/>
      <c r="E28" s="259"/>
      <c r="F28" s="259"/>
      <c r="G28" s="260"/>
      <c r="H28" s="261"/>
      <c r="I28" s="259"/>
      <c r="J28" s="259"/>
      <c r="K28" s="259"/>
      <c r="L28" s="259"/>
      <c r="M28" s="646"/>
    </row>
    <row r="29" spans="1:13" ht="35.1" customHeight="1">
      <c r="A29" s="358"/>
      <c r="B29" s="259"/>
      <c r="C29" s="259"/>
      <c r="D29" s="259"/>
      <c r="E29" s="259"/>
      <c r="F29" s="259"/>
      <c r="G29" s="260"/>
      <c r="H29" s="261"/>
      <c r="I29" s="259"/>
      <c r="J29" s="259"/>
      <c r="K29" s="259"/>
      <c r="L29" s="259"/>
      <c r="M29" s="646"/>
    </row>
  </sheetData>
  <mergeCells count="11">
    <mergeCell ref="B5:F5"/>
    <mergeCell ref="C1:D1"/>
    <mergeCell ref="J1:K1"/>
    <mergeCell ref="L1:M1"/>
    <mergeCell ref="B2:C2"/>
    <mergeCell ref="E2:H2"/>
    <mergeCell ref="J2:K2"/>
    <mergeCell ref="B3:C3"/>
    <mergeCell ref="B4:F4"/>
    <mergeCell ref="G4:H4"/>
    <mergeCell ref="J4:K4"/>
  </mergeCells>
  <phoneticPr fontId="84" type="noConversion"/>
  <pageMargins left="0.75" right="0.75" top="1" bottom="1" header="0.51" footer="0.51"/>
  <pageSetup paperSize="9" orientation="portrait" horizontalDpi="200" verticalDpi="200"/>
  <headerFooter scaleWithDoc="0"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view="pageBreakPreview" topLeftCell="A13" zoomScaleNormal="100" workbookViewId="0">
      <selection activeCell="A19" sqref="A19"/>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1" width="16" customWidth="1"/>
    <col min="12" max="12" width="12.875" customWidth="1"/>
    <col min="13" max="13" width="30.75" customWidth="1"/>
  </cols>
  <sheetData>
    <row r="1" spans="1:13" ht="57.95" customHeight="1">
      <c r="A1" s="349" t="s">
        <v>556</v>
      </c>
      <c r="B1" s="852">
        <v>42461</v>
      </c>
      <c r="C1" s="2043" t="s">
        <v>3090</v>
      </c>
      <c r="D1" s="2037"/>
      <c r="E1" s="350" t="s">
        <v>236</v>
      </c>
      <c r="F1" s="853"/>
      <c r="G1" s="854" t="s">
        <v>3091</v>
      </c>
      <c r="H1" s="855"/>
      <c r="I1" s="306" t="s">
        <v>237</v>
      </c>
      <c r="J1" s="1772" t="s">
        <v>3092</v>
      </c>
      <c r="K1" s="1774"/>
      <c r="L1" s="1772" t="s">
        <v>3093</v>
      </c>
      <c r="M1" s="1905"/>
    </row>
    <row r="2" spans="1:13" ht="39" customHeight="1">
      <c r="A2" s="133" t="s">
        <v>240</v>
      </c>
      <c r="B2" s="1682" t="s">
        <v>3094</v>
      </c>
      <c r="C2" s="1682"/>
      <c r="D2" s="134" t="s">
        <v>242</v>
      </c>
      <c r="E2" s="1706"/>
      <c r="F2" s="1706"/>
      <c r="G2" s="2057"/>
      <c r="H2" s="1706"/>
      <c r="I2" s="166" t="s">
        <v>243</v>
      </c>
      <c r="J2" s="2058" t="s">
        <v>421</v>
      </c>
      <c r="K2" s="2029"/>
      <c r="L2" s="166" t="s">
        <v>245</v>
      </c>
      <c r="M2" s="205" t="s">
        <v>3095</v>
      </c>
    </row>
    <row r="3" spans="1:13" ht="39" customHeight="1">
      <c r="A3" s="133" t="s">
        <v>247</v>
      </c>
      <c r="B3" s="2051" t="s">
        <v>3096</v>
      </c>
      <c r="C3" s="2051"/>
      <c r="D3" s="352" t="s">
        <v>249</v>
      </c>
      <c r="E3" s="885">
        <v>981.76</v>
      </c>
      <c r="F3" s="352" t="s">
        <v>251</v>
      </c>
      <c r="G3" s="134" t="s">
        <v>3097</v>
      </c>
      <c r="H3" s="134" t="s">
        <v>252</v>
      </c>
      <c r="I3" s="206"/>
      <c r="J3" s="41" t="s">
        <v>565</v>
      </c>
      <c r="K3" s="15"/>
      <c r="L3" s="15" t="s">
        <v>255</v>
      </c>
      <c r="M3" s="92"/>
    </row>
    <row r="4" spans="1:13" ht="39" customHeight="1">
      <c r="A4" s="856" t="s">
        <v>260</v>
      </c>
      <c r="B4" s="1726" t="s">
        <v>3098</v>
      </c>
      <c r="C4" s="1726"/>
      <c r="D4" s="1726"/>
      <c r="E4" s="1726"/>
      <c r="F4" s="1726"/>
      <c r="G4" s="2053"/>
      <c r="H4" s="2053"/>
      <c r="I4" s="2054"/>
      <c r="J4" s="2055"/>
      <c r="K4" s="2055"/>
      <c r="L4" s="862"/>
      <c r="M4" s="863"/>
    </row>
    <row r="5" spans="1:13" ht="39" customHeight="1">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9" customHeight="1">
      <c r="A6" s="315" t="s">
        <v>3099</v>
      </c>
      <c r="B6" s="259">
        <v>171</v>
      </c>
      <c r="C6" s="259">
        <v>47037</v>
      </c>
      <c r="D6" s="259">
        <f>B6</f>
        <v>171</v>
      </c>
      <c r="E6" s="259">
        <f>C6</f>
        <v>47037</v>
      </c>
      <c r="F6" s="259"/>
      <c r="G6" s="260">
        <f>E6</f>
        <v>47037</v>
      </c>
      <c r="H6" s="261"/>
      <c r="I6" s="259"/>
      <c r="J6" s="259"/>
      <c r="K6" s="259"/>
      <c r="L6" s="259">
        <f t="shared" ref="L6:L18" si="0">E6-J6</f>
        <v>47037</v>
      </c>
      <c r="M6" s="646"/>
    </row>
    <row r="7" spans="1:13" ht="39" customHeight="1">
      <c r="A7" s="358">
        <v>42614</v>
      </c>
      <c r="B7" s="259">
        <v>17</v>
      </c>
      <c r="C7" s="259">
        <v>4709</v>
      </c>
      <c r="D7" s="259">
        <f t="shared" ref="D7:D18" si="1">D6+B7</f>
        <v>188</v>
      </c>
      <c r="E7" s="259">
        <f t="shared" ref="E7:E18" si="2">E6+C7</f>
        <v>51746</v>
      </c>
      <c r="F7" s="259"/>
      <c r="G7" s="260">
        <f t="shared" ref="G7:G18" si="3">C7</f>
        <v>4709</v>
      </c>
      <c r="H7" s="261"/>
      <c r="I7" s="259"/>
      <c r="J7" s="259"/>
      <c r="K7" s="259"/>
      <c r="L7" s="259">
        <f t="shared" si="0"/>
        <v>51746</v>
      </c>
      <c r="M7" s="646"/>
    </row>
    <row r="8" spans="1:13" ht="39" customHeight="1">
      <c r="A8" s="358">
        <v>42644</v>
      </c>
      <c r="B8" s="259">
        <v>23</v>
      </c>
      <c r="C8" s="259">
        <v>6476</v>
      </c>
      <c r="D8" s="259">
        <f t="shared" si="1"/>
        <v>211</v>
      </c>
      <c r="E8" s="259">
        <f t="shared" si="2"/>
        <v>58222</v>
      </c>
      <c r="F8" s="259"/>
      <c r="G8" s="260">
        <f t="shared" si="3"/>
        <v>6476</v>
      </c>
      <c r="H8" s="261">
        <f t="shared" ref="H8:H19" si="4">C6</f>
        <v>47037</v>
      </c>
      <c r="I8" s="259"/>
      <c r="J8" s="259"/>
      <c r="K8" s="259">
        <f t="shared" ref="K8:K19" si="5">K7+H8-I8</f>
        <v>47037</v>
      </c>
      <c r="L8" s="259">
        <f t="shared" si="0"/>
        <v>58222</v>
      </c>
      <c r="M8" s="646"/>
    </row>
    <row r="9" spans="1:13" ht="39" customHeight="1">
      <c r="A9" s="358">
        <v>42675</v>
      </c>
      <c r="B9" s="259">
        <v>5</v>
      </c>
      <c r="C9" s="259">
        <v>1460</v>
      </c>
      <c r="D9" s="259">
        <f t="shared" si="1"/>
        <v>216</v>
      </c>
      <c r="E9" s="259">
        <f t="shared" si="2"/>
        <v>59682</v>
      </c>
      <c r="F9" s="259"/>
      <c r="G9" s="260">
        <f t="shared" si="3"/>
        <v>1460</v>
      </c>
      <c r="H9" s="261">
        <f t="shared" si="4"/>
        <v>4709</v>
      </c>
      <c r="I9" s="259">
        <v>47037</v>
      </c>
      <c r="J9" s="259">
        <f>I9</f>
        <v>47037</v>
      </c>
      <c r="K9" s="259">
        <f t="shared" si="5"/>
        <v>4709</v>
      </c>
      <c r="L9" s="259">
        <f t="shared" si="0"/>
        <v>12645</v>
      </c>
      <c r="M9" s="646" t="s">
        <v>3100</v>
      </c>
    </row>
    <row r="10" spans="1:13" ht="39" customHeight="1">
      <c r="A10" s="358">
        <v>42705</v>
      </c>
      <c r="B10" s="259">
        <v>42</v>
      </c>
      <c r="C10" s="259">
        <v>13909</v>
      </c>
      <c r="D10" s="259">
        <f t="shared" si="1"/>
        <v>258</v>
      </c>
      <c r="E10" s="259">
        <f t="shared" si="2"/>
        <v>73591</v>
      </c>
      <c r="F10" s="259"/>
      <c r="G10" s="260">
        <f t="shared" si="3"/>
        <v>13909</v>
      </c>
      <c r="H10" s="261">
        <f t="shared" si="4"/>
        <v>6476</v>
      </c>
      <c r="I10" s="259"/>
      <c r="J10" s="259">
        <f t="shared" ref="J10:J18" si="6">I10+J9</f>
        <v>47037</v>
      </c>
      <c r="K10" s="259">
        <f t="shared" si="5"/>
        <v>11185</v>
      </c>
      <c r="L10" s="259">
        <f t="shared" si="0"/>
        <v>26554</v>
      </c>
      <c r="M10" s="646"/>
    </row>
    <row r="11" spans="1:13" ht="39" customHeight="1">
      <c r="A11" s="358">
        <v>42736</v>
      </c>
      <c r="B11" s="259">
        <v>15</v>
      </c>
      <c r="C11" s="259">
        <v>5140</v>
      </c>
      <c r="D11" s="259">
        <f t="shared" si="1"/>
        <v>273</v>
      </c>
      <c r="E11" s="259">
        <f t="shared" si="2"/>
        <v>78731</v>
      </c>
      <c r="F11" s="259"/>
      <c r="G11" s="260">
        <f t="shared" si="3"/>
        <v>5140</v>
      </c>
      <c r="H11" s="261">
        <f t="shared" si="4"/>
        <v>1460</v>
      </c>
      <c r="I11" s="259"/>
      <c r="J11" s="259">
        <f t="shared" si="6"/>
        <v>47037</v>
      </c>
      <c r="K11" s="259">
        <f t="shared" si="5"/>
        <v>12645</v>
      </c>
      <c r="L11" s="259">
        <f t="shared" si="0"/>
        <v>31694</v>
      </c>
      <c r="M11" s="646"/>
    </row>
    <row r="12" spans="1:13" ht="39" customHeight="1">
      <c r="A12" s="358">
        <v>42401</v>
      </c>
      <c r="B12" s="259">
        <v>0</v>
      </c>
      <c r="C12" s="259">
        <v>0</v>
      </c>
      <c r="D12" s="259">
        <f t="shared" si="1"/>
        <v>273</v>
      </c>
      <c r="E12" s="259">
        <f t="shared" si="2"/>
        <v>78731</v>
      </c>
      <c r="F12" s="259"/>
      <c r="G12" s="260">
        <f t="shared" si="3"/>
        <v>0</v>
      </c>
      <c r="H12" s="261">
        <f t="shared" si="4"/>
        <v>13909</v>
      </c>
      <c r="I12" s="259">
        <v>12645</v>
      </c>
      <c r="J12" s="259">
        <f t="shared" si="6"/>
        <v>59682</v>
      </c>
      <c r="K12" s="259">
        <f t="shared" si="5"/>
        <v>13909</v>
      </c>
      <c r="L12" s="259">
        <f t="shared" si="0"/>
        <v>19049</v>
      </c>
      <c r="M12" s="646" t="s">
        <v>3101</v>
      </c>
    </row>
    <row r="13" spans="1:13" ht="39" customHeight="1">
      <c r="A13" s="358">
        <v>42795</v>
      </c>
      <c r="B13" s="259">
        <v>0</v>
      </c>
      <c r="C13" s="259">
        <v>0</v>
      </c>
      <c r="D13" s="259">
        <f t="shared" si="1"/>
        <v>273</v>
      </c>
      <c r="E13" s="259">
        <f t="shared" si="2"/>
        <v>78731</v>
      </c>
      <c r="F13" s="259"/>
      <c r="G13" s="260">
        <f t="shared" si="3"/>
        <v>0</v>
      </c>
      <c r="H13" s="261">
        <f t="shared" si="4"/>
        <v>5140</v>
      </c>
      <c r="I13" s="259"/>
      <c r="J13" s="259">
        <f t="shared" si="6"/>
        <v>59682</v>
      </c>
      <c r="K13" s="259">
        <f t="shared" si="5"/>
        <v>19049</v>
      </c>
      <c r="L13" s="259">
        <f t="shared" si="0"/>
        <v>19049</v>
      </c>
      <c r="M13" s="646"/>
    </row>
    <row r="14" spans="1:13" ht="39" customHeight="1">
      <c r="A14" s="358">
        <v>42826</v>
      </c>
      <c r="B14" s="259">
        <v>0</v>
      </c>
      <c r="C14" s="259">
        <v>0</v>
      </c>
      <c r="D14" s="259">
        <f t="shared" si="1"/>
        <v>273</v>
      </c>
      <c r="E14" s="259">
        <f t="shared" si="2"/>
        <v>78731</v>
      </c>
      <c r="F14" s="259"/>
      <c r="G14" s="260">
        <f t="shared" si="3"/>
        <v>0</v>
      </c>
      <c r="H14" s="261">
        <f t="shared" si="4"/>
        <v>0</v>
      </c>
      <c r="I14" s="259"/>
      <c r="J14" s="259">
        <f t="shared" si="6"/>
        <v>59682</v>
      </c>
      <c r="K14" s="259">
        <f t="shared" si="5"/>
        <v>19049</v>
      </c>
      <c r="L14" s="259">
        <f t="shared" si="0"/>
        <v>19049</v>
      </c>
      <c r="M14" s="646"/>
    </row>
    <row r="15" spans="1:13" ht="39" customHeight="1">
      <c r="A15" s="358">
        <v>42856</v>
      </c>
      <c r="B15" s="259">
        <v>55</v>
      </c>
      <c r="C15" s="259">
        <v>16140</v>
      </c>
      <c r="D15" s="259">
        <f t="shared" si="1"/>
        <v>328</v>
      </c>
      <c r="E15" s="259">
        <f t="shared" si="2"/>
        <v>94871</v>
      </c>
      <c r="F15" s="259"/>
      <c r="G15" s="260">
        <f t="shared" si="3"/>
        <v>16140</v>
      </c>
      <c r="H15" s="261">
        <f t="shared" si="4"/>
        <v>0</v>
      </c>
      <c r="I15" s="259"/>
      <c r="J15" s="259">
        <f t="shared" si="6"/>
        <v>59682</v>
      </c>
      <c r="K15" s="259">
        <f t="shared" si="5"/>
        <v>19049</v>
      </c>
      <c r="L15" s="259">
        <f t="shared" si="0"/>
        <v>35189</v>
      </c>
      <c r="M15" s="646" t="s">
        <v>3102</v>
      </c>
    </row>
    <row r="16" spans="1:13" ht="39" customHeight="1">
      <c r="A16" s="358">
        <v>42887</v>
      </c>
      <c r="B16" s="259">
        <v>209.5</v>
      </c>
      <c r="C16" s="259">
        <v>66544</v>
      </c>
      <c r="D16" s="259">
        <f t="shared" si="1"/>
        <v>537.5</v>
      </c>
      <c r="E16" s="259">
        <f t="shared" si="2"/>
        <v>161415</v>
      </c>
      <c r="F16" s="259"/>
      <c r="G16" s="260">
        <f t="shared" si="3"/>
        <v>66544</v>
      </c>
      <c r="H16" s="261">
        <f t="shared" si="4"/>
        <v>0</v>
      </c>
      <c r="I16" s="259">
        <v>13909</v>
      </c>
      <c r="J16" s="259">
        <f t="shared" si="6"/>
        <v>73591</v>
      </c>
      <c r="K16" s="259">
        <f t="shared" si="5"/>
        <v>5140</v>
      </c>
      <c r="L16" s="259">
        <f t="shared" si="0"/>
        <v>87824</v>
      </c>
      <c r="M16" s="646"/>
    </row>
    <row r="17" spans="1:13" ht="35.1" customHeight="1">
      <c r="A17" s="358">
        <v>42917</v>
      </c>
      <c r="B17" s="259">
        <v>77</v>
      </c>
      <c r="C17" s="259">
        <v>22484</v>
      </c>
      <c r="D17" s="259">
        <f t="shared" si="1"/>
        <v>614.5</v>
      </c>
      <c r="E17" s="259">
        <f t="shared" si="2"/>
        <v>183899</v>
      </c>
      <c r="F17" s="259"/>
      <c r="G17" s="260">
        <f t="shared" si="3"/>
        <v>22484</v>
      </c>
      <c r="H17" s="261">
        <f t="shared" si="4"/>
        <v>16140</v>
      </c>
      <c r="I17" s="259"/>
      <c r="J17" s="259">
        <f t="shared" si="6"/>
        <v>73591</v>
      </c>
      <c r="K17" s="259">
        <f t="shared" si="5"/>
        <v>21280</v>
      </c>
      <c r="L17" s="259">
        <f t="shared" si="0"/>
        <v>110308</v>
      </c>
      <c r="M17" s="646" t="s">
        <v>3103</v>
      </c>
    </row>
    <row r="18" spans="1:13" ht="35.1" customHeight="1">
      <c r="A18" s="358">
        <v>42948</v>
      </c>
      <c r="B18" s="259">
        <v>366</v>
      </c>
      <c r="C18" s="259">
        <v>117852</v>
      </c>
      <c r="D18" s="259">
        <f t="shared" si="1"/>
        <v>980.5</v>
      </c>
      <c r="E18" s="259">
        <f t="shared" si="2"/>
        <v>301751</v>
      </c>
      <c r="F18" s="259"/>
      <c r="G18" s="260">
        <f t="shared" si="3"/>
        <v>117852</v>
      </c>
      <c r="H18" s="261">
        <f t="shared" si="4"/>
        <v>66544</v>
      </c>
      <c r="I18" s="259">
        <v>5140</v>
      </c>
      <c r="J18" s="259">
        <f t="shared" si="6"/>
        <v>78731</v>
      </c>
      <c r="K18" s="259">
        <f t="shared" si="5"/>
        <v>82684</v>
      </c>
      <c r="L18" s="259">
        <f t="shared" si="0"/>
        <v>223020</v>
      </c>
      <c r="M18" s="646"/>
    </row>
    <row r="19" spans="1:13" ht="35.1" customHeight="1">
      <c r="A19" s="358"/>
      <c r="B19" s="259"/>
      <c r="C19" s="259"/>
      <c r="D19" s="259"/>
      <c r="E19" s="259"/>
      <c r="F19" s="259"/>
      <c r="G19" s="260"/>
      <c r="H19" s="261">
        <f t="shared" si="4"/>
        <v>22484</v>
      </c>
      <c r="I19" s="259"/>
      <c r="J19" s="259"/>
      <c r="K19" s="259">
        <f t="shared" si="5"/>
        <v>105168</v>
      </c>
      <c r="L19" s="259"/>
      <c r="M19" s="646"/>
    </row>
    <row r="20" spans="1:13" ht="35.1" customHeight="1">
      <c r="A20" s="358"/>
      <c r="B20" s="259"/>
      <c r="C20" s="259"/>
      <c r="D20" s="259"/>
      <c r="E20" s="259"/>
      <c r="F20" s="259"/>
      <c r="G20" s="260"/>
      <c r="H20" s="261"/>
      <c r="I20" s="259"/>
      <c r="J20" s="259"/>
      <c r="K20" s="259"/>
      <c r="L20" s="259"/>
      <c r="M20" s="646"/>
    </row>
    <row r="21" spans="1:13" ht="35.1" customHeight="1">
      <c r="A21" s="358"/>
      <c r="B21" s="259"/>
      <c r="C21" s="259"/>
      <c r="D21" s="259"/>
      <c r="E21" s="259"/>
      <c r="F21" s="259"/>
      <c r="G21" s="260"/>
      <c r="H21" s="261"/>
      <c r="I21" s="259"/>
      <c r="J21" s="259"/>
      <c r="K21" s="259"/>
      <c r="L21" s="259"/>
      <c r="M21" s="646"/>
    </row>
    <row r="22" spans="1:13" ht="35.1" customHeight="1">
      <c r="A22" s="358"/>
      <c r="B22" s="259"/>
      <c r="C22" s="259"/>
      <c r="D22" s="259"/>
      <c r="E22" s="259"/>
      <c r="F22" s="259"/>
      <c r="G22" s="260"/>
      <c r="H22" s="261"/>
      <c r="I22" s="259"/>
      <c r="J22" s="259"/>
      <c r="K22" s="259"/>
      <c r="L22" s="259"/>
      <c r="M22" s="646"/>
    </row>
    <row r="23" spans="1:13" ht="35.1" customHeight="1">
      <c r="A23" s="358"/>
      <c r="B23" s="259"/>
      <c r="C23" s="259"/>
      <c r="D23" s="259"/>
      <c r="E23" s="259"/>
      <c r="F23" s="259"/>
      <c r="G23" s="260"/>
      <c r="H23" s="261"/>
      <c r="I23" s="259"/>
      <c r="J23" s="259"/>
      <c r="K23" s="259"/>
      <c r="L23" s="259"/>
      <c r="M23" s="646"/>
    </row>
    <row r="24" spans="1:13" ht="35.1" customHeight="1">
      <c r="A24" s="358"/>
      <c r="B24" s="259"/>
      <c r="C24" s="259"/>
      <c r="D24" s="259"/>
      <c r="E24" s="259"/>
      <c r="F24" s="259"/>
      <c r="G24" s="260"/>
      <c r="H24" s="261"/>
      <c r="I24" s="259"/>
      <c r="J24" s="259"/>
      <c r="K24" s="259"/>
      <c r="L24" s="259"/>
      <c r="M24" s="646"/>
    </row>
  </sheetData>
  <mergeCells count="10">
    <mergeCell ref="L1:M1"/>
    <mergeCell ref="B2:C2"/>
    <mergeCell ref="E2:H2"/>
    <mergeCell ref="J2:K2"/>
    <mergeCell ref="B3:C3"/>
    <mergeCell ref="B4:F4"/>
    <mergeCell ref="G4:I4"/>
    <mergeCell ref="J4:K4"/>
    <mergeCell ref="C1:D1"/>
    <mergeCell ref="J1:K1"/>
  </mergeCells>
  <phoneticPr fontId="84" type="noConversion"/>
  <pageMargins left="0.75" right="0.75" top="1" bottom="1" header="0.51" footer="0.51"/>
  <pageSetup paperSize="9" orientation="portrait" horizontalDpi="200" verticalDpi="200" r:id="rId1"/>
  <headerFooter scaleWithDoc="0" alignWithMargins="0"/>
  <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topLeftCell="A13" zoomScaleSheetLayoutView="100" workbookViewId="0">
      <selection activeCell="A20" sqref="A20"/>
    </sheetView>
  </sheetViews>
  <sheetFormatPr defaultColWidth="9" defaultRowHeight="14.25"/>
  <cols>
    <col min="1" max="1" width="13.5" customWidth="1"/>
    <col min="2" max="3" width="16.5" customWidth="1"/>
    <col min="4" max="4" width="17.875" customWidth="1"/>
    <col min="5"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t="s">
        <v>523</v>
      </c>
      <c r="C1" s="1405" t="s">
        <v>524</v>
      </c>
      <c r="D1" s="1175"/>
      <c r="E1" s="1175" t="s">
        <v>236</v>
      </c>
      <c r="F1" s="1406" t="s">
        <v>525</v>
      </c>
      <c r="G1" s="656" t="s">
        <v>351</v>
      </c>
      <c r="H1" s="1407" t="s">
        <v>526</v>
      </c>
      <c r="I1" s="41" t="s">
        <v>237</v>
      </c>
      <c r="J1" s="1670" t="s">
        <v>527</v>
      </c>
      <c r="K1" s="1679"/>
      <c r="L1" s="1680"/>
      <c r="M1" s="1654" t="s">
        <v>528</v>
      </c>
    </row>
    <row r="2" spans="1:13" ht="60" customHeight="1">
      <c r="A2" s="39" t="s">
        <v>240</v>
      </c>
      <c r="B2" s="1637" t="s">
        <v>529</v>
      </c>
      <c r="C2" s="1637"/>
      <c r="D2" s="41" t="s">
        <v>242</v>
      </c>
      <c r="E2" s="1666"/>
      <c r="F2" s="1667"/>
      <c r="G2" s="41" t="s">
        <v>243</v>
      </c>
      <c r="H2" s="1408" t="s">
        <v>421</v>
      </c>
      <c r="I2" s="1014" t="s">
        <v>425</v>
      </c>
      <c r="J2" s="1649" t="s">
        <v>530</v>
      </c>
      <c r="K2" s="1650"/>
      <c r="L2" s="1651"/>
      <c r="M2" s="1655"/>
    </row>
    <row r="3" spans="1:13" ht="87.95" customHeight="1">
      <c r="A3" s="39" t="s">
        <v>247</v>
      </c>
      <c r="B3" s="1637" t="s">
        <v>531</v>
      </c>
      <c r="C3" s="1637"/>
      <c r="D3" s="41" t="s">
        <v>249</v>
      </c>
      <c r="E3" s="186" t="s">
        <v>532</v>
      </c>
      <c r="F3" s="41" t="s">
        <v>251</v>
      </c>
      <c r="G3" s="41" t="s">
        <v>358</v>
      </c>
      <c r="H3" s="41" t="s">
        <v>252</v>
      </c>
      <c r="I3" s="90">
        <v>13430315259</v>
      </c>
      <c r="J3" s="91" t="s">
        <v>253</v>
      </c>
      <c r="K3" s="40" t="s">
        <v>533</v>
      </c>
      <c r="L3" s="15" t="s">
        <v>255</v>
      </c>
      <c r="M3" s="105" t="s">
        <v>534</v>
      </c>
    </row>
    <row r="4" spans="1:13" ht="47.25" customHeight="1">
      <c r="A4" s="39" t="s">
        <v>257</v>
      </c>
      <c r="B4" s="1681" t="s">
        <v>535</v>
      </c>
      <c r="C4" s="1681"/>
      <c r="D4" s="1681"/>
      <c r="E4" s="43" t="s">
        <v>258</v>
      </c>
      <c r="F4" s="1638"/>
      <c r="G4" s="1638"/>
      <c r="H4" s="1638"/>
      <c r="I4" s="1637"/>
      <c r="J4" s="1637"/>
      <c r="K4" s="15"/>
      <c r="L4" s="41" t="s">
        <v>360</v>
      </c>
      <c r="M4" s="105" t="s">
        <v>536</v>
      </c>
    </row>
    <row r="5" spans="1:13" ht="99" customHeight="1">
      <c r="A5" s="1036" t="s">
        <v>260</v>
      </c>
      <c r="B5" s="1633" t="s">
        <v>537</v>
      </c>
      <c r="C5" s="1633"/>
      <c r="D5" s="1633"/>
      <c r="E5" s="1648" t="s">
        <v>538</v>
      </c>
      <c r="F5" s="1648"/>
      <c r="G5" s="1648"/>
      <c r="H5" s="1648"/>
      <c r="I5" s="1649" t="s">
        <v>539</v>
      </c>
      <c r="J5" s="1650"/>
      <c r="K5" s="1650"/>
      <c r="L5" s="1651"/>
      <c r="M5" s="105"/>
    </row>
    <row r="6" spans="1:13" ht="30.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t="s">
        <v>540</v>
      </c>
      <c r="B7" s="1248">
        <v>1091</v>
      </c>
      <c r="C7" s="1248">
        <v>297530</v>
      </c>
      <c r="D7" s="1067">
        <f>+B7</f>
        <v>1091</v>
      </c>
      <c r="E7" s="1067">
        <f>C7</f>
        <v>297530</v>
      </c>
      <c r="F7" s="1410"/>
      <c r="G7" s="1245">
        <f>C7</f>
        <v>297530</v>
      </c>
      <c r="H7" s="1411"/>
      <c r="I7" s="1415"/>
      <c r="J7" s="1415"/>
      <c r="K7" s="1416"/>
      <c r="L7" s="1417">
        <f t="shared" ref="L7:L19" si="0">E7-J7</f>
        <v>297530</v>
      </c>
      <c r="M7" s="1165"/>
    </row>
    <row r="8" spans="1:13" ht="36" customHeight="1">
      <c r="A8" s="1409">
        <v>42614</v>
      </c>
      <c r="B8" s="1067">
        <v>1857</v>
      </c>
      <c r="C8" s="1067">
        <v>519960</v>
      </c>
      <c r="D8" s="1248">
        <f t="shared" ref="D8:D19" si="1">B8+D7</f>
        <v>2948</v>
      </c>
      <c r="E8" s="1248">
        <f t="shared" ref="E8:E19" si="2">C8+E7</f>
        <v>817490</v>
      </c>
      <c r="F8" s="1412"/>
      <c r="G8" s="1245">
        <f t="shared" ref="G8:G19" si="3">C8+E7*0.05</f>
        <v>534836.5</v>
      </c>
      <c r="H8" s="1411"/>
      <c r="I8" s="1418"/>
      <c r="J8" s="1415"/>
      <c r="K8" s="1416">
        <f t="shared" ref="K8:K20" si="4">K7+H8-I8</f>
        <v>0</v>
      </c>
      <c r="L8" s="1417">
        <f t="shared" si="0"/>
        <v>817490</v>
      </c>
      <c r="M8" s="1199"/>
    </row>
    <row r="9" spans="1:13" ht="36" customHeight="1">
      <c r="A9" s="1413">
        <v>42644</v>
      </c>
      <c r="B9" s="1067">
        <v>913</v>
      </c>
      <c r="C9" s="1067">
        <v>256225</v>
      </c>
      <c r="D9" s="1248">
        <f t="shared" si="1"/>
        <v>3861</v>
      </c>
      <c r="E9" s="1248">
        <f t="shared" si="2"/>
        <v>1073715</v>
      </c>
      <c r="F9" s="1412"/>
      <c r="G9" s="1245">
        <f t="shared" si="3"/>
        <v>297099.5</v>
      </c>
      <c r="H9" s="1411">
        <f>C7*0.95</f>
        <v>282653.5</v>
      </c>
      <c r="I9" s="1418">
        <v>297530</v>
      </c>
      <c r="J9" s="1418">
        <f>I9</f>
        <v>297530</v>
      </c>
      <c r="K9" s="1416">
        <f t="shared" si="4"/>
        <v>-14876.5</v>
      </c>
      <c r="L9" s="1417">
        <f t="shared" si="0"/>
        <v>776185</v>
      </c>
      <c r="M9" s="412" t="s">
        <v>541</v>
      </c>
    </row>
    <row r="10" spans="1:13" ht="36" customHeight="1">
      <c r="A10" s="1413">
        <v>42675</v>
      </c>
      <c r="B10" s="1067">
        <v>1589.5</v>
      </c>
      <c r="C10" s="1067">
        <v>470827.5</v>
      </c>
      <c r="D10" s="1248">
        <f t="shared" si="1"/>
        <v>5450.5</v>
      </c>
      <c r="E10" s="1248">
        <f t="shared" si="2"/>
        <v>1544542.5</v>
      </c>
      <c r="F10" s="1067"/>
      <c r="G10" s="1245">
        <f t="shared" si="3"/>
        <v>524513.25</v>
      </c>
      <c r="H10" s="1411">
        <f t="shared" ref="H10:H20" si="5">C8*0.95</f>
        <v>493962</v>
      </c>
      <c r="I10" s="1418">
        <v>519960</v>
      </c>
      <c r="J10" s="1418">
        <f t="shared" ref="J10:J19" si="6">J9+I10</f>
        <v>817490</v>
      </c>
      <c r="K10" s="1416">
        <f t="shared" si="4"/>
        <v>-40874.5</v>
      </c>
      <c r="L10" s="1417">
        <f t="shared" si="0"/>
        <v>727052.5</v>
      </c>
      <c r="M10" s="412" t="s">
        <v>542</v>
      </c>
    </row>
    <row r="11" spans="1:13" ht="36" customHeight="1">
      <c r="A11" s="1413">
        <v>42705</v>
      </c>
      <c r="B11" s="1067">
        <v>1284</v>
      </c>
      <c r="C11" s="1067">
        <v>342570</v>
      </c>
      <c r="D11" s="1248">
        <f t="shared" si="1"/>
        <v>6734.5</v>
      </c>
      <c r="E11" s="1248">
        <f t="shared" si="2"/>
        <v>1887112.5</v>
      </c>
      <c r="F11" s="1067"/>
      <c r="G11" s="1245">
        <f t="shared" si="3"/>
        <v>419797.125</v>
      </c>
      <c r="H11" s="1411">
        <f t="shared" si="5"/>
        <v>243413.75</v>
      </c>
      <c r="I11" s="1418"/>
      <c r="J11" s="1418">
        <f t="shared" si="6"/>
        <v>817490</v>
      </c>
      <c r="K11" s="1416">
        <f t="shared" si="4"/>
        <v>202539.25</v>
      </c>
      <c r="L11" s="1417">
        <f t="shared" si="0"/>
        <v>1069622.5</v>
      </c>
      <c r="M11" s="412" t="s">
        <v>543</v>
      </c>
    </row>
    <row r="12" spans="1:13" ht="36" customHeight="1">
      <c r="A12" s="1413">
        <v>42736</v>
      </c>
      <c r="B12" s="1067">
        <v>2682.5</v>
      </c>
      <c r="C12" s="1067">
        <v>904385</v>
      </c>
      <c r="D12" s="1248">
        <f t="shared" si="1"/>
        <v>9417</v>
      </c>
      <c r="E12" s="1248">
        <f t="shared" si="2"/>
        <v>2791497.5</v>
      </c>
      <c r="F12" s="1067"/>
      <c r="G12" s="1245">
        <f t="shared" si="3"/>
        <v>998740.625</v>
      </c>
      <c r="H12" s="1411">
        <f t="shared" si="5"/>
        <v>447286.125</v>
      </c>
      <c r="I12" s="1418">
        <v>256225</v>
      </c>
      <c r="J12" s="1418">
        <f t="shared" si="6"/>
        <v>1073715</v>
      </c>
      <c r="K12" s="1416">
        <f t="shared" si="4"/>
        <v>393600.375</v>
      </c>
      <c r="L12" s="1417">
        <f t="shared" si="0"/>
        <v>1717782.5</v>
      </c>
      <c r="M12" s="412"/>
    </row>
    <row r="13" spans="1:13" ht="36" customHeight="1">
      <c r="A13" s="1413">
        <v>42767</v>
      </c>
      <c r="B13" s="1067">
        <v>596</v>
      </c>
      <c r="C13" s="1067">
        <v>186900</v>
      </c>
      <c r="D13" s="1248">
        <f t="shared" si="1"/>
        <v>10013</v>
      </c>
      <c r="E13" s="1248">
        <f t="shared" si="2"/>
        <v>2978397.5</v>
      </c>
      <c r="F13" s="1067"/>
      <c r="G13" s="1245">
        <f t="shared" si="3"/>
        <v>326474.875</v>
      </c>
      <c r="H13" s="1411">
        <f t="shared" si="5"/>
        <v>325441.5</v>
      </c>
      <c r="I13" s="1418"/>
      <c r="J13" s="1418">
        <f t="shared" si="6"/>
        <v>1073715</v>
      </c>
      <c r="K13" s="1416">
        <f t="shared" si="4"/>
        <v>719041.875</v>
      </c>
      <c r="L13" s="1417">
        <f t="shared" si="0"/>
        <v>1904682.5</v>
      </c>
      <c r="M13" s="412"/>
    </row>
    <row r="14" spans="1:13" ht="36" customHeight="1">
      <c r="A14" s="1413">
        <v>42795</v>
      </c>
      <c r="B14" s="1067">
        <v>1749.5</v>
      </c>
      <c r="C14" s="1067">
        <v>544887.5</v>
      </c>
      <c r="D14" s="1248">
        <f t="shared" si="1"/>
        <v>11762.5</v>
      </c>
      <c r="E14" s="1248">
        <f t="shared" si="2"/>
        <v>3523285</v>
      </c>
      <c r="F14" s="1067"/>
      <c r="G14" s="1245">
        <f t="shared" si="3"/>
        <v>693807.375</v>
      </c>
      <c r="H14" s="1411">
        <f t="shared" si="5"/>
        <v>859165.75</v>
      </c>
      <c r="I14" s="1418">
        <v>470827.5</v>
      </c>
      <c r="J14" s="1418">
        <f t="shared" si="6"/>
        <v>1544542.5</v>
      </c>
      <c r="K14" s="1416">
        <f t="shared" si="4"/>
        <v>1107380.125</v>
      </c>
      <c r="L14" s="1417">
        <f t="shared" si="0"/>
        <v>1978742.5</v>
      </c>
      <c r="M14" s="412" t="s">
        <v>544</v>
      </c>
    </row>
    <row r="15" spans="1:13" ht="36" customHeight="1">
      <c r="A15" s="1413">
        <v>42826</v>
      </c>
      <c r="B15" s="1067">
        <v>2246</v>
      </c>
      <c r="C15" s="1067">
        <v>703480</v>
      </c>
      <c r="D15" s="1248">
        <f t="shared" si="1"/>
        <v>14008.5</v>
      </c>
      <c r="E15" s="1248">
        <f t="shared" si="2"/>
        <v>4226765</v>
      </c>
      <c r="F15" s="1067"/>
      <c r="G15" s="1245">
        <f t="shared" si="3"/>
        <v>879644.25</v>
      </c>
      <c r="H15" s="1411">
        <f t="shared" si="5"/>
        <v>177555</v>
      </c>
      <c r="I15" s="1418"/>
      <c r="J15" s="1418">
        <f t="shared" si="6"/>
        <v>1544542.5</v>
      </c>
      <c r="K15" s="1416">
        <f t="shared" si="4"/>
        <v>1284935.125</v>
      </c>
      <c r="L15" s="1417">
        <f t="shared" si="0"/>
        <v>2682222.5</v>
      </c>
      <c r="M15" s="405" t="s">
        <v>545</v>
      </c>
    </row>
    <row r="16" spans="1:13" ht="36" customHeight="1">
      <c r="A16" s="1413">
        <v>42856</v>
      </c>
      <c r="B16" s="1067">
        <v>1711</v>
      </c>
      <c r="C16" s="1067">
        <v>495800</v>
      </c>
      <c r="D16" s="1248">
        <f t="shared" si="1"/>
        <v>15719.5</v>
      </c>
      <c r="E16" s="1248">
        <f t="shared" si="2"/>
        <v>4722565</v>
      </c>
      <c r="F16" s="1067"/>
      <c r="G16" s="1245">
        <f t="shared" si="3"/>
        <v>707138.25</v>
      </c>
      <c r="H16" s="1411">
        <f t="shared" si="5"/>
        <v>517643.125</v>
      </c>
      <c r="I16" s="1418">
        <v>1433855</v>
      </c>
      <c r="J16" s="1418">
        <f t="shared" si="6"/>
        <v>2978397.5</v>
      </c>
      <c r="K16" s="1416">
        <f t="shared" si="4"/>
        <v>368723.25</v>
      </c>
      <c r="L16" s="1417">
        <f t="shared" si="0"/>
        <v>1744167.5</v>
      </c>
      <c r="M16" s="1141"/>
    </row>
    <row r="17" spans="1:13" ht="36" customHeight="1">
      <c r="A17" s="1413">
        <v>42887</v>
      </c>
      <c r="B17" s="1067">
        <v>1149.5</v>
      </c>
      <c r="C17" s="1067">
        <v>342587.5</v>
      </c>
      <c r="D17" s="1248">
        <f t="shared" si="1"/>
        <v>16869</v>
      </c>
      <c r="E17" s="1248">
        <f t="shared" si="2"/>
        <v>5065152.5</v>
      </c>
      <c r="F17" s="1067"/>
      <c r="G17" s="1245">
        <f t="shared" si="3"/>
        <v>578715.75</v>
      </c>
      <c r="H17" s="1411">
        <f t="shared" si="5"/>
        <v>668306</v>
      </c>
      <c r="I17" s="1418">
        <v>544887.5</v>
      </c>
      <c r="J17" s="1418">
        <f t="shared" si="6"/>
        <v>3523285</v>
      </c>
      <c r="K17" s="1416">
        <f t="shared" si="4"/>
        <v>492141.75</v>
      </c>
      <c r="L17" s="1417">
        <f t="shared" si="0"/>
        <v>1541867.5</v>
      </c>
      <c r="M17" s="412" t="s">
        <v>546</v>
      </c>
    </row>
    <row r="18" spans="1:13" ht="36" customHeight="1">
      <c r="A18" s="1413">
        <v>42917</v>
      </c>
      <c r="B18" s="1067">
        <v>35</v>
      </c>
      <c r="C18" s="1067">
        <v>10900</v>
      </c>
      <c r="D18" s="1248">
        <f t="shared" si="1"/>
        <v>16904</v>
      </c>
      <c r="E18" s="1248">
        <f t="shared" si="2"/>
        <v>5076052.5</v>
      </c>
      <c r="F18" s="1067"/>
      <c r="G18" s="1245">
        <f t="shared" si="3"/>
        <v>264157.625</v>
      </c>
      <c r="H18" s="1411">
        <f t="shared" si="5"/>
        <v>471010</v>
      </c>
      <c r="I18" s="1418"/>
      <c r="J18" s="1418">
        <f t="shared" si="6"/>
        <v>3523285</v>
      </c>
      <c r="K18" s="1416">
        <f t="shared" si="4"/>
        <v>963151.75</v>
      </c>
      <c r="L18" s="1417">
        <f t="shared" si="0"/>
        <v>1552767.5</v>
      </c>
      <c r="M18" s="412"/>
    </row>
    <row r="19" spans="1:13" ht="36" customHeight="1">
      <c r="A19" s="1413">
        <v>42948</v>
      </c>
      <c r="B19" s="1067">
        <v>5</v>
      </c>
      <c r="C19" s="1067">
        <v>1350</v>
      </c>
      <c r="D19" s="1248">
        <f t="shared" si="1"/>
        <v>16909</v>
      </c>
      <c r="E19" s="1248">
        <f t="shared" si="2"/>
        <v>5077402.5</v>
      </c>
      <c r="F19" s="1067"/>
      <c r="G19" s="1245">
        <f t="shared" si="3"/>
        <v>255152.625</v>
      </c>
      <c r="H19" s="1411">
        <f t="shared" si="5"/>
        <v>325458.125</v>
      </c>
      <c r="I19" s="1418">
        <v>703480</v>
      </c>
      <c r="J19" s="1418">
        <f t="shared" si="6"/>
        <v>4226765</v>
      </c>
      <c r="K19" s="1416">
        <f t="shared" si="4"/>
        <v>585129.875</v>
      </c>
      <c r="L19" s="1417">
        <f t="shared" si="0"/>
        <v>850637.5</v>
      </c>
      <c r="M19" s="412" t="s">
        <v>547</v>
      </c>
    </row>
    <row r="20" spans="1:13" ht="36" customHeight="1">
      <c r="A20" s="1413"/>
      <c r="B20" s="1067"/>
      <c r="C20" s="1067"/>
      <c r="D20" s="1067"/>
      <c r="E20" s="1067"/>
      <c r="F20" s="1067"/>
      <c r="G20" s="1245"/>
      <c r="H20" s="1411">
        <f t="shared" si="5"/>
        <v>10355</v>
      </c>
      <c r="I20" s="1418"/>
      <c r="J20" s="1418"/>
      <c r="K20" s="1416">
        <f t="shared" si="4"/>
        <v>595484.875</v>
      </c>
      <c r="L20" s="259"/>
      <c r="M20" s="412"/>
    </row>
    <row r="21" spans="1:13" ht="36" customHeight="1">
      <c r="A21" s="1413"/>
      <c r="B21" s="1067"/>
      <c r="C21" s="1067"/>
      <c r="D21" s="1067"/>
      <c r="E21" s="1067"/>
      <c r="F21" s="1067"/>
      <c r="G21" s="1245"/>
      <c r="H21" s="1411"/>
      <c r="I21" s="1418"/>
      <c r="J21" s="1418"/>
      <c r="K21" s="1416"/>
      <c r="L21" s="259"/>
      <c r="M21" s="412"/>
    </row>
    <row r="22" spans="1:13" ht="36" customHeight="1">
      <c r="A22" s="1413"/>
      <c r="B22" s="1067"/>
      <c r="C22" s="1067"/>
      <c r="D22" s="1067"/>
      <c r="E22" s="1067"/>
      <c r="F22" s="1067"/>
      <c r="G22" s="1245"/>
      <c r="H22" s="1414"/>
      <c r="I22" s="1418"/>
      <c r="J22" s="1418"/>
      <c r="K22" s="1067"/>
      <c r="L22" s="259"/>
      <c r="M22" s="412"/>
    </row>
  </sheetData>
  <mergeCells count="12">
    <mergeCell ref="B3:C3"/>
    <mergeCell ref="B4:D4"/>
    <mergeCell ref="F4:H4"/>
    <mergeCell ref="I4:J4"/>
    <mergeCell ref="B5:D5"/>
    <mergeCell ref="E5:H5"/>
    <mergeCell ref="I5:L5"/>
    <mergeCell ref="M1:M2"/>
    <mergeCell ref="J1:L1"/>
    <mergeCell ref="B2:C2"/>
    <mergeCell ref="E2:F2"/>
    <mergeCell ref="J2:L2"/>
  </mergeCells>
  <phoneticPr fontId="84" type="noConversion"/>
  <pageMargins left="0.75" right="0.75" top="1" bottom="1" header="0.51" footer="0.51"/>
  <pageSetup paperSize="9" orientation="portrait" verticalDpi="200"/>
  <headerFooter scaleWithDoc="0" alignWithMargins="0"/>
  <legacyDrawing r:id="rId1"/>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view="pageBreakPreview" topLeftCell="A4" zoomScaleNormal="100" workbookViewId="0">
      <selection activeCell="D10" sqref="D10"/>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1" width="16" customWidth="1"/>
    <col min="12" max="12" width="12.875" customWidth="1"/>
    <col min="13" max="13" width="30.75" customWidth="1"/>
  </cols>
  <sheetData>
    <row r="1" spans="1:13" ht="111.95" customHeight="1">
      <c r="A1" s="349" t="s">
        <v>556</v>
      </c>
      <c r="B1" s="852"/>
      <c r="C1" s="2043" t="s">
        <v>1719</v>
      </c>
      <c r="D1" s="2037"/>
      <c r="E1" s="350" t="s">
        <v>236</v>
      </c>
      <c r="F1" s="853"/>
      <c r="G1" s="854"/>
      <c r="H1" s="855"/>
      <c r="I1" s="306" t="s">
        <v>237</v>
      </c>
      <c r="J1" s="1772"/>
      <c r="K1" s="1774"/>
      <c r="L1" s="1772"/>
      <c r="M1" s="1905"/>
    </row>
    <row r="2" spans="1:13" ht="45.95" customHeight="1">
      <c r="A2" s="133" t="s">
        <v>240</v>
      </c>
      <c r="B2" s="1682" t="s">
        <v>3094</v>
      </c>
      <c r="C2" s="1682"/>
      <c r="D2" s="134" t="s">
        <v>242</v>
      </c>
      <c r="E2" s="1706"/>
      <c r="F2" s="1706"/>
      <c r="G2" s="2057"/>
      <c r="H2" s="1706"/>
      <c r="I2" s="166" t="s">
        <v>243</v>
      </c>
      <c r="J2" s="2058"/>
      <c r="K2" s="2029"/>
      <c r="L2" s="166" t="s">
        <v>245</v>
      </c>
      <c r="M2" s="205"/>
    </row>
    <row r="3" spans="1:13" ht="45.95" customHeight="1">
      <c r="A3" s="133" t="s">
        <v>247</v>
      </c>
      <c r="B3" s="2051" t="s">
        <v>3104</v>
      </c>
      <c r="C3" s="2051"/>
      <c r="D3" s="352" t="s">
        <v>249</v>
      </c>
      <c r="E3" s="353"/>
      <c r="F3" s="352" t="s">
        <v>251</v>
      </c>
      <c r="G3" s="134"/>
      <c r="H3" s="134" t="s">
        <v>252</v>
      </c>
      <c r="I3" s="206"/>
      <c r="J3" s="41" t="s">
        <v>565</v>
      </c>
      <c r="K3" s="15"/>
      <c r="L3" s="15" t="s">
        <v>255</v>
      </c>
      <c r="M3" s="92"/>
    </row>
    <row r="4" spans="1:13" ht="98.1" customHeight="1">
      <c r="A4" s="856" t="s">
        <v>260</v>
      </c>
      <c r="B4" s="1726" t="s">
        <v>3098</v>
      </c>
      <c r="C4" s="1726"/>
      <c r="D4" s="1726"/>
      <c r="E4" s="1726"/>
      <c r="F4" s="1726"/>
      <c r="G4" s="2053"/>
      <c r="H4" s="2053"/>
      <c r="I4" s="2054"/>
      <c r="J4" s="2055"/>
      <c r="K4" s="2055"/>
      <c r="L4" s="862"/>
      <c r="M4" s="863"/>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42461</v>
      </c>
      <c r="B6" s="259">
        <v>19</v>
      </c>
      <c r="C6" s="259">
        <f>B6*280</f>
        <v>5320</v>
      </c>
      <c r="D6" s="259">
        <f>B6</f>
        <v>19</v>
      </c>
      <c r="E6" s="259">
        <f>C6</f>
        <v>5320</v>
      </c>
      <c r="F6" s="259"/>
      <c r="G6" s="260"/>
      <c r="H6" s="261"/>
      <c r="I6" s="259"/>
      <c r="J6" s="259"/>
      <c r="K6" s="259"/>
      <c r="L6" s="259"/>
      <c r="M6" s="646"/>
    </row>
    <row r="7" spans="1:13" ht="35.1" customHeight="1">
      <c r="A7" s="358">
        <v>42522</v>
      </c>
      <c r="B7" s="259">
        <v>10</v>
      </c>
      <c r="C7" s="259">
        <f>B7*280</f>
        <v>2800</v>
      </c>
      <c r="D7" s="259">
        <f>D6+B7</f>
        <v>29</v>
      </c>
      <c r="E7" s="259">
        <f>E6+C7</f>
        <v>8120</v>
      </c>
      <c r="F7" s="259"/>
      <c r="G7" s="260"/>
      <c r="H7" s="261"/>
      <c r="I7" s="259"/>
      <c r="J7" s="259"/>
      <c r="K7" s="259"/>
      <c r="L7" s="259"/>
      <c r="M7" s="646"/>
    </row>
    <row r="8" spans="1:13" ht="35.1" customHeight="1">
      <c r="A8" s="358">
        <v>42948</v>
      </c>
      <c r="B8" s="259">
        <v>6</v>
      </c>
      <c r="C8" s="259">
        <f>B8*280</f>
        <v>1680</v>
      </c>
      <c r="D8" s="259">
        <f>D7+B8</f>
        <v>35</v>
      </c>
      <c r="E8" s="259">
        <f>E7+C8</f>
        <v>9800</v>
      </c>
      <c r="F8" s="259"/>
      <c r="G8" s="260"/>
      <c r="H8" s="261"/>
      <c r="I8" s="259"/>
      <c r="J8" s="259"/>
      <c r="K8" s="259"/>
      <c r="L8" s="259"/>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L1:M1"/>
    <mergeCell ref="B2:C2"/>
    <mergeCell ref="E2:H2"/>
    <mergeCell ref="J2:K2"/>
    <mergeCell ref="B3:C3"/>
    <mergeCell ref="B4:F4"/>
    <mergeCell ref="G4:I4"/>
    <mergeCell ref="J4:K4"/>
    <mergeCell ref="C1:D1"/>
    <mergeCell ref="J1:K1"/>
  </mergeCells>
  <phoneticPr fontId="84" type="noConversion"/>
  <pageMargins left="0.75" right="0.75" top="1" bottom="1" header="0.51" footer="0.51"/>
  <pageSetup paperSize="9" orientation="portrait" horizontalDpi="200" verticalDpi="200" r:id="rId1"/>
  <headerFooter scaleWithDoc="0"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topLeftCell="A16" zoomScaleSheetLayoutView="100" workbookViewId="0">
      <selection activeCell="A24" sqref="A24"/>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9" width="14.375" customWidth="1"/>
    <col min="10" max="10" width="13.75" customWidth="1"/>
    <col min="11" max="11" width="17.875" customWidth="1"/>
    <col min="12" max="12" width="12.875" customWidth="1"/>
    <col min="13" max="13" width="40.875" customWidth="1"/>
  </cols>
  <sheetData>
    <row r="1" spans="1:13" ht="93.95" customHeight="1">
      <c r="A1" s="2069" t="s">
        <v>556</v>
      </c>
      <c r="B1" s="2070" t="s">
        <v>3105</v>
      </c>
      <c r="C1" s="2076" t="s">
        <v>3106</v>
      </c>
      <c r="D1" s="2077"/>
      <c r="E1" s="2072" t="s">
        <v>236</v>
      </c>
      <c r="F1" s="2073"/>
      <c r="G1" s="2074"/>
      <c r="H1" s="2075"/>
      <c r="I1" s="306" t="s">
        <v>237</v>
      </c>
      <c r="J1" s="2078" t="s">
        <v>3107</v>
      </c>
      <c r="K1" s="2079"/>
      <c r="L1" s="2064" t="s">
        <v>3108</v>
      </c>
      <c r="M1" s="2065"/>
    </row>
    <row r="2" spans="1:13" ht="59.1" customHeight="1">
      <c r="A2" s="1710"/>
      <c r="B2" s="2071"/>
      <c r="C2" s="2043"/>
      <c r="D2" s="2037"/>
      <c r="E2" s="1716"/>
      <c r="F2" s="1720"/>
      <c r="G2" s="2039"/>
      <c r="H2" s="1721"/>
      <c r="I2" s="379" t="s">
        <v>3109</v>
      </c>
      <c r="J2" s="1664" t="s">
        <v>3110</v>
      </c>
      <c r="K2" s="2066"/>
      <c r="L2" s="2066"/>
      <c r="M2" s="2067"/>
    </row>
    <row r="3" spans="1:13" ht="45.95" customHeight="1">
      <c r="A3" s="133" t="s">
        <v>240</v>
      </c>
      <c r="B3" s="1682" t="s">
        <v>3048</v>
      </c>
      <c r="C3" s="1682"/>
      <c r="D3" s="134" t="s">
        <v>242</v>
      </c>
      <c r="E3" s="1706"/>
      <c r="F3" s="1706"/>
      <c r="G3" s="2057"/>
      <c r="H3" s="1706"/>
      <c r="I3" s="204" t="s">
        <v>243</v>
      </c>
      <c r="J3" s="2058">
        <v>0.05</v>
      </c>
      <c r="K3" s="2029"/>
      <c r="L3" s="204" t="s">
        <v>245</v>
      </c>
      <c r="M3" s="293" t="s">
        <v>3111</v>
      </c>
    </row>
    <row r="4" spans="1:13" ht="45.95" customHeight="1">
      <c r="A4" s="133" t="s">
        <v>247</v>
      </c>
      <c r="B4" s="2051" t="s">
        <v>3112</v>
      </c>
      <c r="C4" s="2051"/>
      <c r="D4" s="352" t="s">
        <v>249</v>
      </c>
      <c r="E4" s="353">
        <v>7500</v>
      </c>
      <c r="F4" s="352" t="s">
        <v>251</v>
      </c>
      <c r="G4" s="134" t="s">
        <v>3113</v>
      </c>
      <c r="H4" s="134" t="s">
        <v>252</v>
      </c>
      <c r="I4" s="271" t="s">
        <v>3114</v>
      </c>
      <c r="J4" s="880" t="s">
        <v>565</v>
      </c>
      <c r="K4" s="881" t="s">
        <v>3115</v>
      </c>
      <c r="L4" s="881" t="s">
        <v>255</v>
      </c>
      <c r="M4" s="882" t="s">
        <v>3116</v>
      </c>
    </row>
    <row r="5" spans="1:13" ht="84.95" customHeight="1">
      <c r="A5" s="856" t="s">
        <v>260</v>
      </c>
      <c r="B5" s="1697" t="s">
        <v>3117</v>
      </c>
      <c r="C5" s="1697"/>
      <c r="D5" s="1697"/>
      <c r="E5" s="1697"/>
      <c r="F5" s="1697"/>
      <c r="G5" s="2068" t="s">
        <v>1854</v>
      </c>
      <c r="H5" s="2068"/>
      <c r="I5" s="2068"/>
      <c r="J5" s="1847"/>
      <c r="K5" s="1847"/>
      <c r="L5" s="1847"/>
      <c r="M5" s="1847"/>
    </row>
    <row r="6" spans="1:13" ht="42.75">
      <c r="A6" s="858" t="s">
        <v>266</v>
      </c>
      <c r="B6" s="859" t="s">
        <v>267</v>
      </c>
      <c r="C6" s="859" t="s">
        <v>268</v>
      </c>
      <c r="D6" s="859" t="s">
        <v>269</v>
      </c>
      <c r="E6" s="859" t="s">
        <v>270</v>
      </c>
      <c r="F6" s="859" t="s">
        <v>271</v>
      </c>
      <c r="G6" s="21" t="s">
        <v>272</v>
      </c>
      <c r="H6" s="22" t="s">
        <v>273</v>
      </c>
      <c r="I6" s="20" t="s">
        <v>274</v>
      </c>
      <c r="J6" s="883" t="s">
        <v>275</v>
      </c>
      <c r="K6" s="883" t="s">
        <v>276</v>
      </c>
      <c r="L6" s="859" t="s">
        <v>277</v>
      </c>
      <c r="M6" s="884" t="s">
        <v>278</v>
      </c>
    </row>
    <row r="7" spans="1:13" ht="33.950000000000003" customHeight="1">
      <c r="A7" s="358">
        <v>42430</v>
      </c>
      <c r="B7" s="259">
        <v>72</v>
      </c>
      <c r="C7" s="259">
        <v>18485.28</v>
      </c>
      <c r="D7" s="259">
        <f>B7</f>
        <v>72</v>
      </c>
      <c r="E7" s="259">
        <f>C7</f>
        <v>18485.28</v>
      </c>
      <c r="F7" s="259"/>
      <c r="G7" s="260">
        <f t="shared" ref="G7:G15" si="0">E7</f>
        <v>18485.28</v>
      </c>
      <c r="H7" s="261"/>
      <c r="I7" s="259"/>
      <c r="J7" s="259"/>
      <c r="K7" s="259"/>
      <c r="L7" s="259">
        <f>E7-J7</f>
        <v>18485.28</v>
      </c>
      <c r="M7" s="646"/>
    </row>
    <row r="8" spans="1:13" ht="35.1" customHeight="1">
      <c r="A8" s="358">
        <v>42461</v>
      </c>
      <c r="B8" s="259">
        <v>95</v>
      </c>
      <c r="C8" s="259">
        <v>22420</v>
      </c>
      <c r="D8" s="259">
        <f t="shared" ref="D8:D21" si="1">D7+B8</f>
        <v>167</v>
      </c>
      <c r="E8" s="259">
        <f t="shared" ref="E8:E21" si="2">E7+C8</f>
        <v>40905.279999999999</v>
      </c>
      <c r="F8" s="259"/>
      <c r="G8" s="260">
        <f t="shared" si="0"/>
        <v>40905.279999999999</v>
      </c>
      <c r="H8" s="261"/>
      <c r="I8" s="259"/>
      <c r="J8" s="259"/>
      <c r="K8" s="259"/>
      <c r="L8" s="259">
        <f t="shared" ref="L8:L21" si="3">E8-J8</f>
        <v>40905.279999999999</v>
      </c>
      <c r="M8" s="646"/>
    </row>
    <row r="9" spans="1:13" ht="35.1" customHeight="1">
      <c r="A9" s="358">
        <v>42491</v>
      </c>
      <c r="B9" s="259">
        <v>1694</v>
      </c>
      <c r="C9" s="259">
        <v>446516</v>
      </c>
      <c r="D9" s="259">
        <f t="shared" si="1"/>
        <v>1861</v>
      </c>
      <c r="E9" s="259">
        <f t="shared" si="2"/>
        <v>487421.28</v>
      </c>
      <c r="F9" s="259"/>
      <c r="G9" s="260">
        <f t="shared" si="0"/>
        <v>487421.28</v>
      </c>
      <c r="H9" s="261"/>
      <c r="I9" s="259"/>
      <c r="J9" s="259"/>
      <c r="K9" s="259"/>
      <c r="L9" s="259">
        <f t="shared" si="3"/>
        <v>487421.28</v>
      </c>
      <c r="M9" s="646"/>
    </row>
    <row r="10" spans="1:13" ht="35.1" customHeight="1">
      <c r="A10" s="358">
        <v>42522</v>
      </c>
      <c r="B10" s="259">
        <v>3706.5</v>
      </c>
      <c r="C10" s="259">
        <v>1001324</v>
      </c>
      <c r="D10" s="259">
        <f t="shared" si="1"/>
        <v>5567.5</v>
      </c>
      <c r="E10" s="259">
        <f t="shared" si="2"/>
        <v>1488745.28</v>
      </c>
      <c r="F10" s="259"/>
      <c r="G10" s="260">
        <f t="shared" si="0"/>
        <v>1488745.28</v>
      </c>
      <c r="H10" s="261"/>
      <c r="I10" s="259"/>
      <c r="J10" s="259"/>
      <c r="K10" s="259"/>
      <c r="L10" s="259">
        <f t="shared" si="3"/>
        <v>1488745.28</v>
      </c>
      <c r="M10" s="646"/>
    </row>
    <row r="11" spans="1:13" ht="35.1" customHeight="1">
      <c r="A11" s="358">
        <v>42552</v>
      </c>
      <c r="B11" s="259">
        <v>1169.5</v>
      </c>
      <c r="C11" s="259">
        <v>321437</v>
      </c>
      <c r="D11" s="259">
        <f t="shared" si="1"/>
        <v>6737</v>
      </c>
      <c r="E11" s="259">
        <f t="shared" si="2"/>
        <v>1810182.28</v>
      </c>
      <c r="F11" s="259"/>
      <c r="G11" s="260">
        <f t="shared" si="0"/>
        <v>1810182.28</v>
      </c>
      <c r="H11" s="261"/>
      <c r="I11" s="259"/>
      <c r="J11" s="259"/>
      <c r="K11" s="259"/>
      <c r="L11" s="259">
        <f t="shared" si="3"/>
        <v>1810182.28</v>
      </c>
      <c r="M11" s="646"/>
    </row>
    <row r="12" spans="1:13" ht="35.1" customHeight="1">
      <c r="A12" s="358">
        <v>42583</v>
      </c>
      <c r="B12" s="259">
        <v>96</v>
      </c>
      <c r="C12" s="259">
        <v>27456</v>
      </c>
      <c r="D12" s="259">
        <f t="shared" si="1"/>
        <v>6833</v>
      </c>
      <c r="E12" s="259">
        <f t="shared" si="2"/>
        <v>1837638.28</v>
      </c>
      <c r="F12" s="259"/>
      <c r="G12" s="260">
        <f t="shared" si="0"/>
        <v>1837638.28</v>
      </c>
      <c r="H12" s="261"/>
      <c r="I12" s="259"/>
      <c r="J12" s="259"/>
      <c r="K12" s="259"/>
      <c r="L12" s="259">
        <f t="shared" si="3"/>
        <v>1837638.28</v>
      </c>
      <c r="M12" s="646"/>
    </row>
    <row r="13" spans="1:13" ht="35.1" customHeight="1">
      <c r="A13" s="358">
        <v>42614</v>
      </c>
      <c r="B13" s="259">
        <v>621</v>
      </c>
      <c r="C13" s="259">
        <v>160324</v>
      </c>
      <c r="D13" s="259">
        <f t="shared" si="1"/>
        <v>7454</v>
      </c>
      <c r="E13" s="259">
        <f t="shared" si="2"/>
        <v>1997962.28</v>
      </c>
      <c r="F13" s="259"/>
      <c r="G13" s="260">
        <f t="shared" si="0"/>
        <v>1997962.28</v>
      </c>
      <c r="H13" s="261"/>
      <c r="I13" s="259"/>
      <c r="J13" s="259"/>
      <c r="K13" s="259"/>
      <c r="L13" s="259">
        <f t="shared" si="3"/>
        <v>1997962.28</v>
      </c>
      <c r="M13" s="646"/>
    </row>
    <row r="14" spans="1:13" ht="35.1" customHeight="1">
      <c r="A14" s="358">
        <v>42644</v>
      </c>
      <c r="B14" s="259">
        <v>1654</v>
      </c>
      <c r="C14" s="259">
        <v>450968</v>
      </c>
      <c r="D14" s="259">
        <f t="shared" si="1"/>
        <v>9108</v>
      </c>
      <c r="E14" s="259">
        <f t="shared" si="2"/>
        <v>2448930.2800000003</v>
      </c>
      <c r="F14" s="259"/>
      <c r="G14" s="260">
        <f t="shared" si="0"/>
        <v>2448930.2800000003</v>
      </c>
      <c r="H14" s="261"/>
      <c r="I14" s="259"/>
      <c r="J14" s="259"/>
      <c r="K14" s="259"/>
      <c r="L14" s="259">
        <f t="shared" si="3"/>
        <v>2448930.2800000003</v>
      </c>
      <c r="M14" s="646"/>
    </row>
    <row r="15" spans="1:13" ht="35.1" customHeight="1">
      <c r="A15" s="358">
        <v>42675</v>
      </c>
      <c r="B15" s="259">
        <v>248</v>
      </c>
      <c r="C15" s="259">
        <v>68412</v>
      </c>
      <c r="D15" s="259">
        <f t="shared" si="1"/>
        <v>9356</v>
      </c>
      <c r="E15" s="259">
        <f t="shared" si="2"/>
        <v>2517342.2800000003</v>
      </c>
      <c r="F15" s="259"/>
      <c r="G15" s="260">
        <f t="shared" si="0"/>
        <v>2517342.2800000003</v>
      </c>
      <c r="H15" s="261"/>
      <c r="I15" s="259"/>
      <c r="J15" s="259"/>
      <c r="K15" s="259"/>
      <c r="L15" s="259">
        <f t="shared" si="3"/>
        <v>2517342.2800000003</v>
      </c>
      <c r="M15" s="646"/>
    </row>
    <row r="16" spans="1:13" ht="35.1" customHeight="1">
      <c r="A16" s="358">
        <v>42705</v>
      </c>
      <c r="B16" s="259">
        <v>578</v>
      </c>
      <c r="C16" s="259">
        <v>171248</v>
      </c>
      <c r="D16" s="259">
        <f t="shared" si="1"/>
        <v>9934</v>
      </c>
      <c r="E16" s="259">
        <f t="shared" si="2"/>
        <v>2688590.2800000003</v>
      </c>
      <c r="F16" s="259"/>
      <c r="G16" s="877">
        <v>0</v>
      </c>
      <c r="H16" s="878"/>
      <c r="I16" s="259"/>
      <c r="J16" s="259"/>
      <c r="K16" s="259">
        <f t="shared" ref="K16:K22" si="4">K15+H16-I16</f>
        <v>0</v>
      </c>
      <c r="L16" s="259">
        <f t="shared" si="3"/>
        <v>2688590.2800000003</v>
      </c>
      <c r="M16" s="646"/>
    </row>
    <row r="17" spans="1:13" ht="35.1" customHeight="1">
      <c r="A17" s="358">
        <v>42736</v>
      </c>
      <c r="B17" s="259">
        <v>1505</v>
      </c>
      <c r="C17" s="259">
        <v>419580</v>
      </c>
      <c r="D17" s="259">
        <f t="shared" si="1"/>
        <v>11439</v>
      </c>
      <c r="E17" s="259">
        <f t="shared" si="2"/>
        <v>3108170.2800000003</v>
      </c>
      <c r="F17" s="259"/>
      <c r="G17" s="877"/>
      <c r="H17" s="878">
        <f>E16</f>
        <v>2688590.2800000003</v>
      </c>
      <c r="I17" s="259">
        <v>2500000</v>
      </c>
      <c r="J17" s="259">
        <f>I17</f>
        <v>2500000</v>
      </c>
      <c r="K17" s="259">
        <f t="shared" si="4"/>
        <v>188590.28000000026</v>
      </c>
      <c r="L17" s="259">
        <f t="shared" si="3"/>
        <v>608170.28000000026</v>
      </c>
      <c r="M17" s="646" t="s">
        <v>3019</v>
      </c>
    </row>
    <row r="18" spans="1:13" ht="35.1" customHeight="1">
      <c r="A18" s="315" t="s">
        <v>1577</v>
      </c>
      <c r="B18" s="259"/>
      <c r="C18" s="259">
        <v>-2678.79</v>
      </c>
      <c r="D18" s="259">
        <f t="shared" si="1"/>
        <v>11439</v>
      </c>
      <c r="E18" s="259">
        <f t="shared" si="2"/>
        <v>3105491.49</v>
      </c>
      <c r="F18" s="259"/>
      <c r="G18" s="877"/>
      <c r="H18" s="878">
        <f>C17</f>
        <v>419580</v>
      </c>
      <c r="I18" s="259"/>
      <c r="J18" s="259">
        <f>I18+J17</f>
        <v>2500000</v>
      </c>
      <c r="K18" s="259">
        <f t="shared" si="4"/>
        <v>608170.28000000026</v>
      </c>
      <c r="L18" s="259">
        <f t="shared" si="3"/>
        <v>605491.49000000022</v>
      </c>
      <c r="M18" s="646"/>
    </row>
    <row r="19" spans="1:13" ht="35.1" customHeight="1">
      <c r="A19" s="315" t="s">
        <v>672</v>
      </c>
      <c r="B19" s="259"/>
      <c r="C19" s="259">
        <v>10287.68</v>
      </c>
      <c r="D19" s="259">
        <f t="shared" si="1"/>
        <v>11439</v>
      </c>
      <c r="E19" s="259">
        <f t="shared" si="2"/>
        <v>3115779.1700000004</v>
      </c>
      <c r="F19" s="259"/>
      <c r="G19" s="877"/>
      <c r="H19" s="878">
        <f>C18</f>
        <v>-2678.79</v>
      </c>
      <c r="I19" s="259"/>
      <c r="J19" s="259">
        <f>I19+J18</f>
        <v>2500000</v>
      </c>
      <c r="K19" s="259">
        <f t="shared" si="4"/>
        <v>605491.49000000022</v>
      </c>
      <c r="L19" s="259">
        <f t="shared" si="3"/>
        <v>615779.17000000039</v>
      </c>
      <c r="M19" s="646"/>
    </row>
    <row r="20" spans="1:13" ht="35.1" customHeight="1">
      <c r="A20" s="315" t="s">
        <v>433</v>
      </c>
      <c r="B20" s="259"/>
      <c r="C20" s="259">
        <v>32092.38</v>
      </c>
      <c r="D20" s="259">
        <f t="shared" si="1"/>
        <v>11439</v>
      </c>
      <c r="E20" s="259">
        <f t="shared" si="2"/>
        <v>3147871.5500000003</v>
      </c>
      <c r="F20" s="259"/>
      <c r="G20" s="260"/>
      <c r="H20" s="878">
        <f>C19</f>
        <v>10287.68</v>
      </c>
      <c r="I20" s="259">
        <v>462264.97</v>
      </c>
      <c r="J20" s="259">
        <f>I20+J19</f>
        <v>2962264.9699999997</v>
      </c>
      <c r="K20" s="259">
        <f t="shared" si="4"/>
        <v>153514.2000000003</v>
      </c>
      <c r="L20" s="259">
        <f t="shared" si="3"/>
        <v>185606.58000000054</v>
      </c>
      <c r="M20" s="646" t="s">
        <v>3118</v>
      </c>
    </row>
    <row r="21" spans="1:13" ht="35.1" customHeight="1">
      <c r="A21" s="315" t="s">
        <v>434</v>
      </c>
      <c r="B21" s="259"/>
      <c r="C21" s="259">
        <v>-48254.78</v>
      </c>
      <c r="D21" s="259">
        <f t="shared" si="1"/>
        <v>11439</v>
      </c>
      <c r="E21" s="259">
        <f t="shared" si="2"/>
        <v>3099616.7700000005</v>
      </c>
      <c r="F21" s="259"/>
      <c r="G21" s="260"/>
      <c r="H21" s="878">
        <f>C20</f>
        <v>32092.38</v>
      </c>
      <c r="I21" s="259"/>
      <c r="J21" s="259">
        <f>I21+J20</f>
        <v>2962264.9699999997</v>
      </c>
      <c r="K21" s="259">
        <f t="shared" si="4"/>
        <v>185606.58000000031</v>
      </c>
      <c r="L21" s="259">
        <f t="shared" si="3"/>
        <v>137351.80000000075</v>
      </c>
      <c r="M21" s="646"/>
    </row>
    <row r="22" spans="1:13" ht="35.1" customHeight="1">
      <c r="A22" s="358"/>
      <c r="B22" s="259"/>
      <c r="C22" s="259"/>
      <c r="D22" s="259"/>
      <c r="E22" s="259"/>
      <c r="F22" s="259"/>
      <c r="G22" s="260"/>
      <c r="H22" s="261"/>
      <c r="I22" s="259"/>
      <c r="J22" s="259"/>
      <c r="K22" s="259">
        <f t="shared" si="4"/>
        <v>185606.58000000031</v>
      </c>
      <c r="L22" s="259"/>
      <c r="M22" s="646"/>
    </row>
    <row r="23" spans="1:13" ht="35.1" customHeight="1">
      <c r="A23" s="358">
        <v>42979</v>
      </c>
      <c r="B23" s="259"/>
      <c r="C23" s="259">
        <v>-48254.78</v>
      </c>
      <c r="D23" s="259">
        <v>11439</v>
      </c>
      <c r="E23" s="259">
        <v>3099616.7700000005</v>
      </c>
      <c r="F23" s="259"/>
      <c r="G23" s="260"/>
      <c r="H23" s="261">
        <v>32092.38</v>
      </c>
      <c r="I23" s="259"/>
      <c r="J23" s="259">
        <v>2962264.9699999997</v>
      </c>
      <c r="K23" s="259">
        <v>185606.58000000031</v>
      </c>
      <c r="L23" s="259">
        <v>137351.80000000075</v>
      </c>
      <c r="M23" s="646"/>
    </row>
    <row r="29" spans="1:13">
      <c r="B29" t="s">
        <v>1577</v>
      </c>
      <c r="C29">
        <v>-45394.270000000099</v>
      </c>
    </row>
    <row r="30" spans="1:13">
      <c r="B30" t="s">
        <v>672</v>
      </c>
      <c r="C30">
        <v>-4776.5550000000048</v>
      </c>
    </row>
    <row r="31" spans="1:13" ht="15.75">
      <c r="B31" t="s">
        <v>433</v>
      </c>
      <c r="C31" s="879">
        <f>SUM(C21:C30)</f>
        <v>-146680.3850000001</v>
      </c>
    </row>
    <row r="32" spans="1:13">
      <c r="B32" t="s">
        <v>3119</v>
      </c>
      <c r="C32">
        <v>-58003.750000000015</v>
      </c>
    </row>
  </sheetData>
  <mergeCells count="15">
    <mergeCell ref="B5:F5"/>
    <mergeCell ref="G5:I5"/>
    <mergeCell ref="J5:M5"/>
    <mergeCell ref="A1:A2"/>
    <mergeCell ref="B1:B2"/>
    <mergeCell ref="E1:E2"/>
    <mergeCell ref="F1:H2"/>
    <mergeCell ref="C1:D2"/>
    <mergeCell ref="J1:K1"/>
    <mergeCell ref="L1:M1"/>
    <mergeCell ref="J2:M2"/>
    <mergeCell ref="B3:C3"/>
    <mergeCell ref="E3:H3"/>
    <mergeCell ref="J3:K3"/>
    <mergeCell ref="B4:C4"/>
  </mergeCells>
  <phoneticPr fontId="84" type="noConversion"/>
  <pageMargins left="0.75" right="0.75" top="1" bottom="1" header="0.51" footer="0.51"/>
  <pageSetup paperSize="9" orientation="portrait" horizontalDpi="200" verticalDpi="200"/>
  <headerFooter scaleWithDoc="0"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6" zoomScaleSheetLayoutView="100" workbookViewId="0">
      <selection activeCell="A21" sqref="A21"/>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v>42693</v>
      </c>
      <c r="C1" s="2043" t="s">
        <v>3120</v>
      </c>
      <c r="D1" s="2037"/>
      <c r="E1" s="350" t="s">
        <v>236</v>
      </c>
      <c r="F1" s="853" t="s">
        <v>1698</v>
      </c>
      <c r="G1" s="854"/>
      <c r="H1" s="855" t="s">
        <v>3121</v>
      </c>
      <c r="I1" s="306" t="s">
        <v>237</v>
      </c>
      <c r="J1" s="2081" t="s">
        <v>3122</v>
      </c>
      <c r="K1" s="2082"/>
      <c r="L1" s="1772" t="s">
        <v>3123</v>
      </c>
      <c r="M1" s="1905"/>
    </row>
    <row r="2" spans="1:13" ht="45.95" customHeight="1">
      <c r="A2" s="133" t="s">
        <v>240</v>
      </c>
      <c r="B2" s="1682" t="s">
        <v>3048</v>
      </c>
      <c r="C2" s="1682"/>
      <c r="D2" s="134" t="s">
        <v>242</v>
      </c>
      <c r="E2" s="1706"/>
      <c r="F2" s="1706"/>
      <c r="G2" s="2057"/>
      <c r="H2" s="1706"/>
      <c r="I2" s="166" t="s">
        <v>425</v>
      </c>
      <c r="J2" s="2083" t="s">
        <v>1838</v>
      </c>
      <c r="K2" s="2084"/>
      <c r="L2" s="2084"/>
      <c r="M2" s="2085"/>
    </row>
    <row r="3" spans="1:13" ht="45.95" customHeight="1">
      <c r="A3" s="133" t="s">
        <v>247</v>
      </c>
      <c r="B3" s="2051" t="s">
        <v>132</v>
      </c>
      <c r="C3" s="2051"/>
      <c r="D3" s="352" t="s">
        <v>249</v>
      </c>
      <c r="E3" s="353" t="s">
        <v>3124</v>
      </c>
      <c r="F3" s="352" t="s">
        <v>251</v>
      </c>
      <c r="G3" s="134" t="s">
        <v>3125</v>
      </c>
      <c r="H3" s="134" t="s">
        <v>252</v>
      </c>
      <c r="I3" s="206" t="s">
        <v>3126</v>
      </c>
      <c r="J3" s="166" t="s">
        <v>243</v>
      </c>
      <c r="K3" s="15" t="s">
        <v>3127</v>
      </c>
      <c r="L3" s="166" t="s">
        <v>245</v>
      </c>
      <c r="M3" s="92" t="s">
        <v>3128</v>
      </c>
    </row>
    <row r="4" spans="1:13" ht="111" customHeight="1">
      <c r="A4" s="856" t="s">
        <v>260</v>
      </c>
      <c r="B4" s="2080" t="s">
        <v>3129</v>
      </c>
      <c r="C4" s="2080"/>
      <c r="D4" s="2080"/>
      <c r="E4" s="2080"/>
      <c r="F4" s="2080"/>
      <c r="G4" s="2053" t="s">
        <v>1289</v>
      </c>
      <c r="H4" s="2053"/>
      <c r="I4" s="2054"/>
      <c r="J4" s="41" t="s">
        <v>565</v>
      </c>
      <c r="K4" s="15" t="s">
        <v>3130</v>
      </c>
      <c r="L4" s="15" t="s">
        <v>255</v>
      </c>
      <c r="M4" s="92" t="s">
        <v>3125</v>
      </c>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42552</v>
      </c>
      <c r="B6" s="259">
        <v>25</v>
      </c>
      <c r="C6" s="259">
        <v>5998.5</v>
      </c>
      <c r="D6" s="259">
        <f>B6</f>
        <v>25</v>
      </c>
      <c r="E6" s="259">
        <f>C6</f>
        <v>5998.5</v>
      </c>
      <c r="F6" s="259"/>
      <c r="G6" s="260">
        <f>E6</f>
        <v>5998.5</v>
      </c>
      <c r="H6" s="261"/>
      <c r="I6" s="259"/>
      <c r="J6" s="259"/>
      <c r="K6" s="259"/>
      <c r="L6" s="259">
        <f t="shared" ref="L6:L20" si="0">E6-J6</f>
        <v>5998.5</v>
      </c>
      <c r="M6" s="646"/>
    </row>
    <row r="7" spans="1:13" ht="35.1" customHeight="1">
      <c r="A7" s="358">
        <v>42583</v>
      </c>
      <c r="B7" s="259">
        <v>362</v>
      </c>
      <c r="C7" s="259">
        <v>93244.5</v>
      </c>
      <c r="D7" s="259">
        <f t="shared" ref="D7:D20" si="1">D6+B7</f>
        <v>387</v>
      </c>
      <c r="E7" s="259">
        <f t="shared" ref="E7:E20" si="2">E6+C7</f>
        <v>99243</v>
      </c>
      <c r="F7" s="259"/>
      <c r="G7" s="260">
        <f t="shared" ref="G7:G16" si="3">E7</f>
        <v>99243</v>
      </c>
      <c r="H7" s="261"/>
      <c r="I7" s="259"/>
      <c r="J7" s="259"/>
      <c r="K7" s="259">
        <f t="shared" ref="K7:K21" si="4">K6+H7-I7</f>
        <v>0</v>
      </c>
      <c r="L7" s="259">
        <f t="shared" si="0"/>
        <v>99243</v>
      </c>
      <c r="M7" s="646"/>
    </row>
    <row r="8" spans="1:13" ht="35.1" customHeight="1">
      <c r="A8" s="358">
        <v>42614</v>
      </c>
      <c r="B8" s="259">
        <v>24</v>
      </c>
      <c r="C8" s="259">
        <v>6264</v>
      </c>
      <c r="D8" s="259">
        <f t="shared" si="1"/>
        <v>411</v>
      </c>
      <c r="E8" s="259">
        <f t="shared" si="2"/>
        <v>105507</v>
      </c>
      <c r="F8" s="259"/>
      <c r="G8" s="260">
        <f t="shared" si="3"/>
        <v>105507</v>
      </c>
      <c r="H8" s="261"/>
      <c r="I8" s="259"/>
      <c r="J8" s="259"/>
      <c r="K8" s="259">
        <f t="shared" si="4"/>
        <v>0</v>
      </c>
      <c r="L8" s="259">
        <f t="shared" si="0"/>
        <v>105507</v>
      </c>
      <c r="M8" s="646"/>
    </row>
    <row r="9" spans="1:13" ht="35.1" customHeight="1">
      <c r="A9" s="358">
        <v>42644</v>
      </c>
      <c r="B9" s="259">
        <v>125.5</v>
      </c>
      <c r="C9" s="259">
        <v>31542.5</v>
      </c>
      <c r="D9" s="259">
        <f t="shared" si="1"/>
        <v>536.5</v>
      </c>
      <c r="E9" s="259">
        <f t="shared" si="2"/>
        <v>137049.5</v>
      </c>
      <c r="F9" s="259"/>
      <c r="G9" s="260">
        <f t="shared" si="3"/>
        <v>137049.5</v>
      </c>
      <c r="H9" s="261"/>
      <c r="I9" s="259"/>
      <c r="J9" s="259"/>
      <c r="K9" s="259">
        <f t="shared" si="4"/>
        <v>0</v>
      </c>
      <c r="L9" s="259">
        <f t="shared" si="0"/>
        <v>137049.5</v>
      </c>
      <c r="M9" s="646"/>
    </row>
    <row r="10" spans="1:13" ht="35.1" customHeight="1">
      <c r="A10" s="358">
        <v>42675</v>
      </c>
      <c r="B10" s="259">
        <v>4061.5</v>
      </c>
      <c r="C10" s="259">
        <v>1096605</v>
      </c>
      <c r="D10" s="259">
        <f t="shared" si="1"/>
        <v>4598</v>
      </c>
      <c r="E10" s="259">
        <f t="shared" si="2"/>
        <v>1233654.5</v>
      </c>
      <c r="F10" s="259"/>
      <c r="G10" s="260">
        <f t="shared" si="3"/>
        <v>1233654.5</v>
      </c>
      <c r="H10" s="261"/>
      <c r="I10" s="259"/>
      <c r="J10" s="259"/>
      <c r="K10" s="259">
        <f t="shared" si="4"/>
        <v>0</v>
      </c>
      <c r="L10" s="259">
        <f t="shared" si="0"/>
        <v>1233654.5</v>
      </c>
      <c r="M10" s="646"/>
    </row>
    <row r="11" spans="1:13" ht="35.1" customHeight="1">
      <c r="A11" s="358">
        <v>42705</v>
      </c>
      <c r="B11" s="259">
        <v>3653.5</v>
      </c>
      <c r="C11" s="259">
        <v>1064345</v>
      </c>
      <c r="D11" s="259">
        <f t="shared" si="1"/>
        <v>8251.5</v>
      </c>
      <c r="E11" s="259">
        <f t="shared" si="2"/>
        <v>2297999.5</v>
      </c>
      <c r="F11" s="259"/>
      <c r="G11" s="260">
        <f t="shared" si="3"/>
        <v>2297999.5</v>
      </c>
      <c r="H11" s="261"/>
      <c r="I11" s="259"/>
      <c r="J11" s="259"/>
      <c r="K11" s="259">
        <f t="shared" si="4"/>
        <v>0</v>
      </c>
      <c r="L11" s="259">
        <f t="shared" si="0"/>
        <v>2297999.5</v>
      </c>
      <c r="M11" s="646"/>
    </row>
    <row r="12" spans="1:13" ht="35.1" customHeight="1">
      <c r="A12" s="315" t="s">
        <v>1404</v>
      </c>
      <c r="B12" s="259"/>
      <c r="C12" s="259">
        <v>100139.875</v>
      </c>
      <c r="D12" s="259">
        <f t="shared" si="1"/>
        <v>8251.5</v>
      </c>
      <c r="E12" s="259">
        <f t="shared" si="2"/>
        <v>2398139.375</v>
      </c>
      <c r="F12" s="259"/>
      <c r="G12" s="260">
        <f t="shared" si="3"/>
        <v>2398139.375</v>
      </c>
      <c r="H12" s="261"/>
      <c r="I12" s="259"/>
      <c r="J12" s="259"/>
      <c r="K12" s="259">
        <f t="shared" si="4"/>
        <v>0</v>
      </c>
      <c r="L12" s="259">
        <f t="shared" si="0"/>
        <v>2398139.375</v>
      </c>
      <c r="M12" s="646"/>
    </row>
    <row r="13" spans="1:13" ht="35.1" customHeight="1">
      <c r="A13" s="358">
        <v>42736</v>
      </c>
      <c r="B13" s="259">
        <v>2551.5</v>
      </c>
      <c r="C13" s="259">
        <v>781462.5</v>
      </c>
      <c r="D13" s="259">
        <f t="shared" si="1"/>
        <v>10803</v>
      </c>
      <c r="E13" s="259">
        <f t="shared" si="2"/>
        <v>3179601.875</v>
      </c>
      <c r="F13" s="259"/>
      <c r="G13" s="260">
        <f t="shared" si="3"/>
        <v>3179601.875</v>
      </c>
      <c r="H13" s="261"/>
      <c r="I13" s="259"/>
      <c r="J13" s="259"/>
      <c r="K13" s="259">
        <f t="shared" si="4"/>
        <v>0</v>
      </c>
      <c r="L13" s="259">
        <f t="shared" si="0"/>
        <v>3179601.875</v>
      </c>
      <c r="M13" s="646"/>
    </row>
    <row r="14" spans="1:13" ht="35.1" customHeight="1">
      <c r="A14" s="358">
        <v>42767</v>
      </c>
      <c r="B14" s="259">
        <v>930</v>
      </c>
      <c r="C14" s="259">
        <v>251100</v>
      </c>
      <c r="D14" s="259">
        <f t="shared" si="1"/>
        <v>11733</v>
      </c>
      <c r="E14" s="259">
        <f t="shared" si="2"/>
        <v>3430701.875</v>
      </c>
      <c r="F14" s="259"/>
      <c r="G14" s="260">
        <f t="shared" si="3"/>
        <v>3430701.875</v>
      </c>
      <c r="H14" s="261"/>
      <c r="I14" s="259"/>
      <c r="J14" s="259"/>
      <c r="K14" s="259">
        <f t="shared" si="4"/>
        <v>0</v>
      </c>
      <c r="L14" s="259">
        <f t="shared" si="0"/>
        <v>3430701.875</v>
      </c>
      <c r="M14" s="646"/>
    </row>
    <row r="15" spans="1:13" ht="35.1" customHeight="1">
      <c r="A15" s="358">
        <v>42795</v>
      </c>
      <c r="B15" s="259">
        <v>857</v>
      </c>
      <c r="C15" s="259">
        <v>227230</v>
      </c>
      <c r="D15" s="259">
        <f t="shared" si="1"/>
        <v>12590</v>
      </c>
      <c r="E15" s="259">
        <f t="shared" si="2"/>
        <v>3657931.875</v>
      </c>
      <c r="F15" s="259"/>
      <c r="G15" s="260">
        <f t="shared" si="3"/>
        <v>3657931.875</v>
      </c>
      <c r="H15" s="261"/>
      <c r="I15" s="259"/>
      <c r="J15" s="259"/>
      <c r="K15" s="259">
        <f t="shared" si="4"/>
        <v>0</v>
      </c>
      <c r="L15" s="259">
        <f t="shared" si="0"/>
        <v>3657931.875</v>
      </c>
      <c r="M15" s="646"/>
    </row>
    <row r="16" spans="1:13" ht="35.1" customHeight="1">
      <c r="A16" s="315" t="s">
        <v>2694</v>
      </c>
      <c r="B16" s="259"/>
      <c r="C16" s="259">
        <v>32383.625</v>
      </c>
      <c r="D16" s="259">
        <f t="shared" si="1"/>
        <v>12590</v>
      </c>
      <c r="E16" s="259">
        <f t="shared" si="2"/>
        <v>3690315.5</v>
      </c>
      <c r="F16" s="259"/>
      <c r="G16" s="260">
        <f t="shared" si="3"/>
        <v>3690315.5</v>
      </c>
      <c r="H16" s="261"/>
      <c r="I16" s="259"/>
      <c r="J16" s="259"/>
      <c r="K16" s="259">
        <f t="shared" si="4"/>
        <v>0</v>
      </c>
      <c r="L16" s="259">
        <f t="shared" si="0"/>
        <v>3690315.5</v>
      </c>
      <c r="M16" s="646"/>
    </row>
    <row r="17" spans="1:13" ht="35.1" customHeight="1">
      <c r="A17" s="358">
        <v>42826</v>
      </c>
      <c r="B17" s="259">
        <v>729</v>
      </c>
      <c r="C17" s="259">
        <v>175670</v>
      </c>
      <c r="D17" s="259">
        <f t="shared" si="1"/>
        <v>13319</v>
      </c>
      <c r="E17" s="259">
        <f t="shared" si="2"/>
        <v>3865985.5</v>
      </c>
      <c r="F17" s="259"/>
      <c r="G17" s="260">
        <f>E16</f>
        <v>3690315.5</v>
      </c>
      <c r="H17" s="261"/>
      <c r="I17" s="259"/>
      <c r="J17" s="259"/>
      <c r="K17" s="259">
        <f t="shared" si="4"/>
        <v>0</v>
      </c>
      <c r="L17" s="259">
        <f t="shared" si="0"/>
        <v>3865985.5</v>
      </c>
      <c r="M17" s="646"/>
    </row>
    <row r="18" spans="1:13" ht="35.1" customHeight="1">
      <c r="A18" s="358">
        <v>42887</v>
      </c>
      <c r="B18" s="259">
        <v>0</v>
      </c>
      <c r="C18" s="259">
        <v>0</v>
      </c>
      <c r="D18" s="259">
        <f t="shared" si="1"/>
        <v>13319</v>
      </c>
      <c r="E18" s="259">
        <f t="shared" si="2"/>
        <v>3865985.5</v>
      </c>
      <c r="F18" s="259"/>
      <c r="G18" s="260">
        <v>0</v>
      </c>
      <c r="H18" s="261">
        <f>E17</f>
        <v>3865985.5</v>
      </c>
      <c r="I18" s="259">
        <v>1000000</v>
      </c>
      <c r="J18" s="259">
        <f>I18+J17</f>
        <v>1000000</v>
      </c>
      <c r="K18" s="259">
        <f t="shared" si="4"/>
        <v>2865985.5</v>
      </c>
      <c r="L18" s="259">
        <f t="shared" si="0"/>
        <v>2865985.5</v>
      </c>
      <c r="M18" s="876" t="s">
        <v>3131</v>
      </c>
    </row>
    <row r="19" spans="1:13" ht="35.1" customHeight="1">
      <c r="A19" s="315" t="s">
        <v>3132</v>
      </c>
      <c r="B19" s="259"/>
      <c r="C19" s="259">
        <v>7027.5</v>
      </c>
      <c r="D19" s="259">
        <f t="shared" si="1"/>
        <v>13319</v>
      </c>
      <c r="E19" s="259">
        <f t="shared" si="2"/>
        <v>3873013</v>
      </c>
      <c r="F19" s="259"/>
      <c r="G19" s="260">
        <v>0</v>
      </c>
      <c r="H19" s="261">
        <f>C19</f>
        <v>7027.5</v>
      </c>
      <c r="I19" s="259">
        <v>2000000</v>
      </c>
      <c r="J19" s="259">
        <f>I19+J18</f>
        <v>3000000</v>
      </c>
      <c r="K19" s="259">
        <f t="shared" si="4"/>
        <v>873013</v>
      </c>
      <c r="L19" s="259">
        <f t="shared" si="0"/>
        <v>873013</v>
      </c>
      <c r="M19" s="876" t="s">
        <v>3133</v>
      </c>
    </row>
    <row r="20" spans="1:13" ht="35.1" customHeight="1">
      <c r="A20" s="358">
        <v>42948</v>
      </c>
      <c r="B20" s="259">
        <v>0</v>
      </c>
      <c r="C20" s="259">
        <v>0</v>
      </c>
      <c r="D20" s="259">
        <f t="shared" si="1"/>
        <v>13319</v>
      </c>
      <c r="E20" s="259">
        <f t="shared" si="2"/>
        <v>3873013</v>
      </c>
      <c r="F20" s="259"/>
      <c r="G20" s="260">
        <v>0</v>
      </c>
      <c r="H20" s="261">
        <f>C20</f>
        <v>0</v>
      </c>
      <c r="I20" s="259"/>
      <c r="J20" s="259">
        <f>I20+J19</f>
        <v>3000000</v>
      </c>
      <c r="K20" s="259">
        <f t="shared" si="4"/>
        <v>873013</v>
      </c>
      <c r="L20" s="259">
        <f t="shared" si="0"/>
        <v>873013</v>
      </c>
      <c r="M20" s="646"/>
    </row>
    <row r="21" spans="1:13" ht="35.1" customHeight="1">
      <c r="A21" s="358"/>
      <c r="B21" s="259"/>
      <c r="C21" s="259"/>
      <c r="D21" s="259"/>
      <c r="E21" s="259"/>
      <c r="F21" s="259"/>
      <c r="G21" s="260"/>
      <c r="H21" s="261">
        <f>C21</f>
        <v>0</v>
      </c>
      <c r="I21" s="259"/>
      <c r="J21" s="259"/>
      <c r="K21" s="259">
        <f t="shared" si="4"/>
        <v>873013</v>
      </c>
      <c r="L21" s="259"/>
      <c r="M21" s="646"/>
    </row>
    <row r="22" spans="1:13" ht="35.1" customHeight="1">
      <c r="A22" s="358"/>
      <c r="B22" s="259"/>
      <c r="C22" s="259"/>
      <c r="D22" s="259"/>
      <c r="E22" s="259"/>
      <c r="F22" s="259"/>
      <c r="G22" s="260"/>
      <c r="H22" s="261"/>
      <c r="I22" s="259"/>
      <c r="J22" s="259"/>
      <c r="K22" s="259"/>
      <c r="L22" s="259"/>
      <c r="M22" s="646"/>
    </row>
    <row r="23" spans="1:13" ht="35.1" customHeight="1">
      <c r="A23" s="358"/>
      <c r="B23" s="259"/>
      <c r="C23" s="259"/>
      <c r="D23" s="259"/>
      <c r="E23" s="259"/>
      <c r="F23" s="259"/>
      <c r="G23" s="260"/>
      <c r="H23" s="261"/>
      <c r="I23" s="259"/>
      <c r="J23" s="259"/>
      <c r="K23" s="259"/>
      <c r="L23" s="259"/>
      <c r="M23" s="646"/>
    </row>
  </sheetData>
  <mergeCells count="9">
    <mergeCell ref="B3:C3"/>
    <mergeCell ref="B4:F4"/>
    <mergeCell ref="G4:I4"/>
    <mergeCell ref="C1:D1"/>
    <mergeCell ref="J1:K1"/>
    <mergeCell ref="L1:M1"/>
    <mergeCell ref="B2:C2"/>
    <mergeCell ref="E2:H2"/>
    <mergeCell ref="J2:M2"/>
  </mergeCells>
  <phoneticPr fontId="84" type="noConversion"/>
  <pageMargins left="0.75" right="0.75" top="1" bottom="1" header="0.51" footer="0.51"/>
  <pageSetup paperSize="9" orientation="portrait" horizontalDpi="200" verticalDpi="200"/>
  <headerFooter scaleWithDoc="0"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B8" sqref="B8:M8"/>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c r="C1" s="2043" t="s">
        <v>1388</v>
      </c>
      <c r="D1" s="2037"/>
      <c r="E1" s="350" t="s">
        <v>236</v>
      </c>
      <c r="F1" s="853"/>
      <c r="G1" s="854"/>
      <c r="H1" s="855" t="s">
        <v>3134</v>
      </c>
      <c r="I1" s="306" t="s">
        <v>237</v>
      </c>
      <c r="J1" s="2086"/>
      <c r="K1" s="1774"/>
      <c r="L1" s="1772"/>
      <c r="M1" s="1905"/>
    </row>
    <row r="2" spans="1:13" ht="45.95" customHeight="1">
      <c r="A2" s="133" t="s">
        <v>240</v>
      </c>
      <c r="B2" s="1682" t="s">
        <v>3048</v>
      </c>
      <c r="C2" s="1682"/>
      <c r="D2" s="134" t="s">
        <v>242</v>
      </c>
      <c r="E2" s="1706"/>
      <c r="F2" s="1706"/>
      <c r="G2" s="2057"/>
      <c r="H2" s="1706"/>
      <c r="I2" s="166" t="s">
        <v>243</v>
      </c>
      <c r="J2" s="2058"/>
      <c r="K2" s="2029"/>
      <c r="L2" s="166" t="s">
        <v>245</v>
      </c>
      <c r="M2" s="205"/>
    </row>
    <row r="3" spans="1:13" ht="45.95" customHeight="1">
      <c r="A3" s="133" t="s">
        <v>247</v>
      </c>
      <c r="B3" s="2051" t="s">
        <v>133</v>
      </c>
      <c r="C3" s="2051"/>
      <c r="D3" s="352" t="s">
        <v>249</v>
      </c>
      <c r="E3" s="353"/>
      <c r="F3" s="352" t="s">
        <v>251</v>
      </c>
      <c r="G3" s="134"/>
      <c r="H3" s="134" t="s">
        <v>252</v>
      </c>
      <c r="I3" s="206"/>
      <c r="J3" s="41" t="s">
        <v>565</v>
      </c>
      <c r="K3" s="15"/>
      <c r="L3" s="15" t="s">
        <v>255</v>
      </c>
      <c r="M3" s="92"/>
    </row>
    <row r="4" spans="1:13" ht="98.1" customHeight="1">
      <c r="A4" s="856" t="s">
        <v>260</v>
      </c>
      <c r="B4" s="1726"/>
      <c r="C4" s="1726"/>
      <c r="D4" s="1726"/>
      <c r="E4" s="1726"/>
      <c r="F4" s="1726"/>
      <c r="G4" s="2053"/>
      <c r="H4" s="2053"/>
      <c r="I4" s="2054"/>
      <c r="J4" s="2055"/>
      <c r="K4" s="2055"/>
      <c r="L4" s="862"/>
      <c r="M4" s="863"/>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15" t="s">
        <v>3135</v>
      </c>
      <c r="B6" s="259">
        <v>7255.5</v>
      </c>
      <c r="C6" s="259">
        <v>2129423.25</v>
      </c>
      <c r="D6" s="259">
        <f>B6</f>
        <v>7255.5</v>
      </c>
      <c r="E6" s="259">
        <f>C6</f>
        <v>2129423.25</v>
      </c>
      <c r="F6" s="259"/>
      <c r="G6" s="260"/>
      <c r="H6" s="261"/>
      <c r="I6" s="259">
        <v>1200000</v>
      </c>
      <c r="J6" s="259">
        <f>I6</f>
        <v>1200000</v>
      </c>
      <c r="K6" s="259"/>
      <c r="L6" s="259">
        <f>E6-J6</f>
        <v>929423.25</v>
      </c>
      <c r="M6" s="646"/>
    </row>
    <row r="7" spans="1:13" ht="35.1" customHeight="1">
      <c r="A7" s="358"/>
      <c r="B7" s="259"/>
      <c r="C7" s="259"/>
      <c r="D7" s="259"/>
      <c r="E7" s="259"/>
      <c r="F7" s="259"/>
      <c r="G7" s="260"/>
      <c r="H7" s="261"/>
      <c r="I7" s="259"/>
      <c r="J7" s="259"/>
      <c r="K7" s="259"/>
      <c r="L7" s="259">
        <f>E7-J7</f>
        <v>0</v>
      </c>
      <c r="M7" s="646" t="s">
        <v>3136</v>
      </c>
    </row>
    <row r="8" spans="1:13" ht="35.1" customHeight="1">
      <c r="A8" s="358">
        <v>42979</v>
      </c>
      <c r="B8" s="259">
        <v>7255.5</v>
      </c>
      <c r="C8" s="259">
        <v>2129423.25</v>
      </c>
      <c r="D8" s="259">
        <v>7255.5</v>
      </c>
      <c r="E8" s="259">
        <v>2129423.25</v>
      </c>
      <c r="F8" s="259"/>
      <c r="G8" s="260"/>
      <c r="H8" s="261"/>
      <c r="I8" s="259">
        <v>1200000</v>
      </c>
      <c r="J8" s="259">
        <v>1200000</v>
      </c>
      <c r="K8" s="259"/>
      <c r="L8" s="259">
        <v>929423.25</v>
      </c>
      <c r="M8" s="646"/>
    </row>
    <row r="9" spans="1:13" ht="35.1" customHeight="1">
      <c r="A9" s="358"/>
      <c r="B9" s="259"/>
      <c r="C9" s="259"/>
      <c r="D9" s="259"/>
      <c r="E9" s="259"/>
      <c r="F9" s="259"/>
      <c r="G9" s="260"/>
      <c r="H9" s="261"/>
      <c r="I9" s="259"/>
      <c r="J9" s="259"/>
      <c r="K9" s="259"/>
      <c r="L9" s="259">
        <f>E9-J9</f>
        <v>0</v>
      </c>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L1:M1"/>
    <mergeCell ref="B2:C2"/>
    <mergeCell ref="E2:H2"/>
    <mergeCell ref="J2:K2"/>
    <mergeCell ref="B3:C3"/>
    <mergeCell ref="B4:F4"/>
    <mergeCell ref="G4:I4"/>
    <mergeCell ref="J4:K4"/>
    <mergeCell ref="C1:D1"/>
    <mergeCell ref="J1:K1"/>
  </mergeCells>
  <phoneticPr fontId="84" type="noConversion"/>
  <pageMargins left="0.75" right="0.75" top="1" bottom="1" header="0.51" footer="0.51"/>
  <pageSetup paperSize="9" orientation="portrait" horizontalDpi="200" verticalDpi="200"/>
  <headerFooter scaleWithDoc="0" alignWithMargins="0"/>
</worksheet>
</file>

<file path=xl/worksheets/sheet1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
  <sheetViews>
    <sheetView topLeftCell="A10" zoomScale="85" zoomScaleNormal="85" zoomScaleSheetLayoutView="100" workbookViewId="0"/>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t="s">
        <v>3137</v>
      </c>
      <c r="C1" s="415" t="s">
        <v>3138</v>
      </c>
      <c r="D1" s="415" t="s">
        <v>3139</v>
      </c>
      <c r="E1" s="274" t="s">
        <v>236</v>
      </c>
      <c r="F1" s="853"/>
      <c r="G1" s="378" t="s">
        <v>237</v>
      </c>
      <c r="H1" s="1772" t="s">
        <v>3140</v>
      </c>
      <c r="I1" s="1774"/>
      <c r="J1" s="1772" t="s">
        <v>3141</v>
      </c>
      <c r="K1" s="1774"/>
      <c r="L1" s="1772" t="s">
        <v>3142</v>
      </c>
      <c r="M1" s="1905"/>
    </row>
    <row r="2" spans="1:13" ht="75.95" customHeight="1">
      <c r="A2" s="133" t="s">
        <v>240</v>
      </c>
      <c r="B2" s="1682" t="s">
        <v>3048</v>
      </c>
      <c r="C2" s="1682"/>
      <c r="D2" s="134" t="s">
        <v>242</v>
      </c>
      <c r="E2" s="1706"/>
      <c r="F2" s="1706"/>
      <c r="G2" s="2057"/>
      <c r="H2" s="1706"/>
      <c r="I2" s="166" t="s">
        <v>2098</v>
      </c>
      <c r="J2" s="2087" t="s">
        <v>3143</v>
      </c>
      <c r="K2" s="2088"/>
      <c r="L2" s="2088"/>
      <c r="M2" s="2089"/>
    </row>
    <row r="3" spans="1:13" ht="54" customHeight="1">
      <c r="A3" s="133" t="s">
        <v>247</v>
      </c>
      <c r="B3" s="2051" t="s">
        <v>134</v>
      </c>
      <c r="C3" s="2051"/>
      <c r="D3" s="352" t="s">
        <v>249</v>
      </c>
      <c r="E3" s="353" t="s">
        <v>3144</v>
      </c>
      <c r="F3" s="352" t="s">
        <v>251</v>
      </c>
      <c r="G3" s="134" t="s">
        <v>3145</v>
      </c>
      <c r="H3" s="137" t="s">
        <v>3146</v>
      </c>
      <c r="I3" s="166" t="s">
        <v>243</v>
      </c>
      <c r="J3" s="2058" t="s">
        <v>3147</v>
      </c>
      <c r="K3" s="2029"/>
      <c r="L3" s="166" t="s">
        <v>245</v>
      </c>
      <c r="M3" s="241" t="s">
        <v>3148</v>
      </c>
    </row>
    <row r="4" spans="1:13" ht="98.1" customHeight="1">
      <c r="A4" s="856" t="s">
        <v>260</v>
      </c>
      <c r="B4" s="1726" t="s">
        <v>3149</v>
      </c>
      <c r="C4" s="1726"/>
      <c r="D4" s="1726"/>
      <c r="E4" s="1726"/>
      <c r="F4" s="1726"/>
      <c r="G4" s="2053"/>
      <c r="H4" s="2053"/>
      <c r="I4" s="2054"/>
      <c r="J4" s="41" t="s">
        <v>565</v>
      </c>
      <c r="K4" s="15" t="s">
        <v>3150</v>
      </c>
      <c r="L4" s="15" t="s">
        <v>255</v>
      </c>
      <c r="M4" s="92" t="s">
        <v>3151</v>
      </c>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15" t="s">
        <v>3152</v>
      </c>
      <c r="B6" s="259">
        <f>159+130</f>
        <v>289</v>
      </c>
      <c r="C6" s="259">
        <f>46110+37287.78</f>
        <v>83397.78</v>
      </c>
      <c r="D6" s="259">
        <f>B6</f>
        <v>289</v>
      </c>
      <c r="E6" s="259">
        <f>C6</f>
        <v>83397.78</v>
      </c>
      <c r="F6" s="259"/>
      <c r="G6" s="260">
        <f>E6</f>
        <v>83397.78</v>
      </c>
      <c r="H6" s="261"/>
      <c r="I6" s="259"/>
      <c r="J6" s="259"/>
      <c r="K6" s="259"/>
      <c r="L6" s="259">
        <f>E6-J6</f>
        <v>83397.78</v>
      </c>
      <c r="M6" s="646"/>
    </row>
    <row r="7" spans="1:13" ht="35.1" customHeight="1">
      <c r="A7" s="358">
        <v>42644</v>
      </c>
      <c r="B7" s="259">
        <v>424</v>
      </c>
      <c r="C7" s="259">
        <v>134412.23000000001</v>
      </c>
      <c r="D7" s="259">
        <f t="shared" ref="D7:D17" si="0">D6+B7</f>
        <v>713</v>
      </c>
      <c r="E7" s="259">
        <f t="shared" ref="E7:E17" si="1">E6+C7</f>
        <v>217810.01</v>
      </c>
      <c r="F7" s="259"/>
      <c r="G7" s="260">
        <f t="shared" ref="G7:G17" si="2">E7</f>
        <v>217810.01</v>
      </c>
      <c r="H7" s="261"/>
      <c r="I7" s="259"/>
      <c r="J7" s="259"/>
      <c r="K7" s="259">
        <f>K6+H7-I7</f>
        <v>0</v>
      </c>
      <c r="L7" s="259">
        <f t="shared" ref="L7:L17" si="3">E7-J7</f>
        <v>217810.01</v>
      </c>
      <c r="M7" s="646"/>
    </row>
    <row r="8" spans="1:13" ht="35.1" customHeight="1">
      <c r="A8" s="358">
        <v>42675</v>
      </c>
      <c r="B8" s="259">
        <v>556.5</v>
      </c>
      <c r="C8" s="259">
        <v>176039.33</v>
      </c>
      <c r="D8" s="259">
        <f t="shared" si="0"/>
        <v>1269.5</v>
      </c>
      <c r="E8" s="259">
        <f t="shared" si="1"/>
        <v>393849.33999999997</v>
      </c>
      <c r="F8" s="259"/>
      <c r="G8" s="260">
        <f t="shared" si="2"/>
        <v>393849.33999999997</v>
      </c>
      <c r="H8" s="261"/>
      <c r="I8" s="259"/>
      <c r="J8" s="259"/>
      <c r="K8" s="259">
        <f t="shared" ref="K8:K18" si="4">K7+H8-I8</f>
        <v>0</v>
      </c>
      <c r="L8" s="259">
        <f t="shared" si="3"/>
        <v>393849.33999999997</v>
      </c>
      <c r="M8" s="646"/>
    </row>
    <row r="9" spans="1:13" ht="35.1" customHeight="1">
      <c r="A9" s="358">
        <v>42705</v>
      </c>
      <c r="B9" s="259">
        <v>3134.5</v>
      </c>
      <c r="C9" s="259">
        <v>1065654.05</v>
      </c>
      <c r="D9" s="259">
        <f t="shared" si="0"/>
        <v>4404</v>
      </c>
      <c r="E9" s="259">
        <f t="shared" si="1"/>
        <v>1459503.3900000001</v>
      </c>
      <c r="F9" s="259"/>
      <c r="G9" s="260">
        <f t="shared" si="2"/>
        <v>1459503.3900000001</v>
      </c>
      <c r="H9" s="261"/>
      <c r="I9" s="259"/>
      <c r="J9" s="259"/>
      <c r="K9" s="259">
        <f t="shared" si="4"/>
        <v>0</v>
      </c>
      <c r="L9" s="259">
        <f t="shared" si="3"/>
        <v>1459503.3900000001</v>
      </c>
      <c r="M9" s="646"/>
    </row>
    <row r="10" spans="1:13" ht="35.1" customHeight="1">
      <c r="A10" s="358">
        <v>42736</v>
      </c>
      <c r="B10" s="259">
        <v>3276.5</v>
      </c>
      <c r="C10" s="259">
        <v>1193416.47</v>
      </c>
      <c r="D10" s="259">
        <f t="shared" si="0"/>
        <v>7680.5</v>
      </c>
      <c r="E10" s="259">
        <f t="shared" si="1"/>
        <v>2652919.8600000003</v>
      </c>
      <c r="F10" s="259"/>
      <c r="G10" s="260">
        <f t="shared" si="2"/>
        <v>2652919.8600000003</v>
      </c>
      <c r="H10" s="261"/>
      <c r="I10" s="259"/>
      <c r="J10" s="259"/>
      <c r="K10" s="259">
        <f t="shared" si="4"/>
        <v>0</v>
      </c>
      <c r="L10" s="259">
        <f t="shared" si="3"/>
        <v>2652919.8600000003</v>
      </c>
      <c r="M10" s="646"/>
    </row>
    <row r="11" spans="1:13" ht="35.1" customHeight="1">
      <c r="A11" s="358">
        <v>42767</v>
      </c>
      <c r="B11" s="259">
        <v>884</v>
      </c>
      <c r="C11" s="259">
        <v>276705.06</v>
      </c>
      <c r="D11" s="259">
        <f t="shared" si="0"/>
        <v>8564.5</v>
      </c>
      <c r="E11" s="259">
        <f t="shared" si="1"/>
        <v>2929624.9200000004</v>
      </c>
      <c r="F11" s="259"/>
      <c r="G11" s="260">
        <f t="shared" si="2"/>
        <v>2929624.9200000004</v>
      </c>
      <c r="H11" s="261"/>
      <c r="I11" s="259"/>
      <c r="J11" s="259"/>
      <c r="K11" s="259">
        <f t="shared" si="4"/>
        <v>0</v>
      </c>
      <c r="L11" s="259">
        <f t="shared" si="3"/>
        <v>2929624.9200000004</v>
      </c>
      <c r="M11" s="646"/>
    </row>
    <row r="12" spans="1:13" ht="35.1" customHeight="1">
      <c r="A12" s="358">
        <v>42795</v>
      </c>
      <c r="B12" s="259">
        <v>4569.5</v>
      </c>
      <c r="C12" s="259">
        <v>1425198.41</v>
      </c>
      <c r="D12" s="259">
        <f t="shared" si="0"/>
        <v>13134</v>
      </c>
      <c r="E12" s="259">
        <f t="shared" si="1"/>
        <v>4354823.33</v>
      </c>
      <c r="F12" s="259"/>
      <c r="G12" s="260">
        <f t="shared" si="2"/>
        <v>4354823.33</v>
      </c>
      <c r="H12" s="261"/>
      <c r="I12" s="259"/>
      <c r="J12" s="259"/>
      <c r="K12" s="259">
        <f t="shared" si="4"/>
        <v>0</v>
      </c>
      <c r="L12" s="259">
        <f t="shared" si="3"/>
        <v>4354823.33</v>
      </c>
      <c r="M12" s="646"/>
    </row>
    <row r="13" spans="1:13" ht="35.1" customHeight="1">
      <c r="A13" s="358">
        <v>42826</v>
      </c>
      <c r="B13" s="259">
        <v>2769</v>
      </c>
      <c r="C13" s="259">
        <v>817987</v>
      </c>
      <c r="D13" s="259">
        <f t="shared" si="0"/>
        <v>15903</v>
      </c>
      <c r="E13" s="259">
        <f t="shared" si="1"/>
        <v>5172810.33</v>
      </c>
      <c r="F13" s="259"/>
      <c r="G13" s="260">
        <f t="shared" si="2"/>
        <v>5172810.33</v>
      </c>
      <c r="H13" s="261"/>
      <c r="I13" s="259"/>
      <c r="J13" s="259"/>
      <c r="K13" s="259">
        <f t="shared" si="4"/>
        <v>0</v>
      </c>
      <c r="L13" s="259">
        <f t="shared" si="3"/>
        <v>5172810.33</v>
      </c>
      <c r="M13" s="646"/>
    </row>
    <row r="14" spans="1:13" ht="35.1" customHeight="1">
      <c r="A14" s="358">
        <v>42856</v>
      </c>
      <c r="B14" s="259">
        <v>3529.5</v>
      </c>
      <c r="C14" s="259">
        <v>1026352</v>
      </c>
      <c r="D14" s="259">
        <f t="shared" si="0"/>
        <v>19432.5</v>
      </c>
      <c r="E14" s="259">
        <f t="shared" si="1"/>
        <v>6199162.3300000001</v>
      </c>
      <c r="F14" s="259"/>
      <c r="G14" s="260">
        <f t="shared" si="2"/>
        <v>6199162.3300000001</v>
      </c>
      <c r="H14" s="261"/>
      <c r="I14" s="259"/>
      <c r="J14" s="259"/>
      <c r="K14" s="259">
        <f t="shared" si="4"/>
        <v>0</v>
      </c>
      <c r="L14" s="259">
        <f t="shared" si="3"/>
        <v>6199162.3300000001</v>
      </c>
      <c r="M14" s="646" t="s">
        <v>3153</v>
      </c>
    </row>
    <row r="15" spans="1:13" ht="35.1" customHeight="1">
      <c r="A15" s="358">
        <v>42887</v>
      </c>
      <c r="B15" s="259">
        <v>2997</v>
      </c>
      <c r="C15" s="259">
        <v>872011</v>
      </c>
      <c r="D15" s="259">
        <f t="shared" si="0"/>
        <v>22429.5</v>
      </c>
      <c r="E15" s="259">
        <f t="shared" si="1"/>
        <v>7071173.3300000001</v>
      </c>
      <c r="F15" s="259"/>
      <c r="G15" s="260">
        <f t="shared" si="2"/>
        <v>7071173.3300000001</v>
      </c>
      <c r="H15" s="261"/>
      <c r="I15" s="259">
        <v>500000</v>
      </c>
      <c r="J15" s="259">
        <f>I15</f>
        <v>500000</v>
      </c>
      <c r="K15" s="259">
        <f t="shared" si="4"/>
        <v>-500000</v>
      </c>
      <c r="L15" s="259">
        <f t="shared" si="3"/>
        <v>6571173.3300000001</v>
      </c>
      <c r="M15" s="646"/>
    </row>
    <row r="16" spans="1:13" ht="35.1" customHeight="1">
      <c r="A16" s="358">
        <v>42917</v>
      </c>
      <c r="B16" s="259">
        <v>1814.5</v>
      </c>
      <c r="C16" s="259">
        <v>524125</v>
      </c>
      <c r="D16" s="259">
        <f t="shared" si="0"/>
        <v>24244</v>
      </c>
      <c r="E16" s="259">
        <f t="shared" si="1"/>
        <v>7595298.3300000001</v>
      </c>
      <c r="F16" s="259"/>
      <c r="G16" s="260">
        <f t="shared" si="2"/>
        <v>7595298.3300000001</v>
      </c>
      <c r="H16" s="261"/>
      <c r="I16" s="259"/>
      <c r="J16" s="259">
        <f>I16+J15</f>
        <v>500000</v>
      </c>
      <c r="K16" s="259">
        <f t="shared" si="4"/>
        <v>-500000</v>
      </c>
      <c r="L16" s="259">
        <f t="shared" si="3"/>
        <v>7095298.3300000001</v>
      </c>
      <c r="M16" s="646"/>
    </row>
    <row r="17" spans="1:13" ht="35.1" customHeight="1">
      <c r="A17" s="358">
        <v>42948</v>
      </c>
      <c r="B17" s="259">
        <v>1546</v>
      </c>
      <c r="C17" s="259">
        <v>441282</v>
      </c>
      <c r="D17" s="259">
        <f t="shared" si="0"/>
        <v>25790</v>
      </c>
      <c r="E17" s="259">
        <f t="shared" si="1"/>
        <v>8036580.3300000001</v>
      </c>
      <c r="F17" s="259"/>
      <c r="G17" s="260">
        <f t="shared" si="2"/>
        <v>8036580.3300000001</v>
      </c>
      <c r="H17" s="261"/>
      <c r="I17" s="259"/>
      <c r="J17" s="259">
        <f>I17+J16</f>
        <v>500000</v>
      </c>
      <c r="K17" s="259">
        <f t="shared" si="4"/>
        <v>-500000</v>
      </c>
      <c r="L17" s="259">
        <f t="shared" si="3"/>
        <v>7536580.3300000001</v>
      </c>
      <c r="M17" s="646"/>
    </row>
    <row r="18" spans="1:13" ht="35.1" customHeight="1">
      <c r="A18" s="358"/>
      <c r="B18" s="259"/>
      <c r="C18" s="259"/>
      <c r="D18" s="259"/>
      <c r="E18" s="259"/>
      <c r="F18" s="259"/>
      <c r="G18" s="260"/>
      <c r="H18" s="261"/>
      <c r="I18" s="259"/>
      <c r="J18" s="259"/>
      <c r="K18" s="259">
        <f t="shared" si="4"/>
        <v>-500000</v>
      </c>
      <c r="L18" s="259"/>
      <c r="M18" s="646"/>
    </row>
    <row r="19" spans="1:13" ht="35.1" customHeight="1">
      <c r="A19" s="358"/>
      <c r="B19" s="259"/>
      <c r="C19" s="259"/>
      <c r="D19" s="259"/>
      <c r="E19" s="259"/>
      <c r="F19" s="259"/>
      <c r="G19" s="260"/>
      <c r="H19" s="261"/>
      <c r="I19" s="259"/>
      <c r="J19" s="259"/>
      <c r="K19" s="259"/>
      <c r="L19" s="259"/>
      <c r="M19" s="646"/>
    </row>
  </sheetData>
  <mergeCells count="10">
    <mergeCell ref="B4:F4"/>
    <mergeCell ref="G4:I4"/>
    <mergeCell ref="H1:I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topLeftCell="A13" zoomScaleSheetLayoutView="100" workbookViewId="0">
      <selection activeCell="A20" sqref="A20"/>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t="s">
        <v>3154</v>
      </c>
      <c r="C1" s="2090" t="s">
        <v>3155</v>
      </c>
      <c r="D1" s="2091"/>
      <c r="E1" s="350" t="s">
        <v>236</v>
      </c>
      <c r="F1" s="853">
        <v>42614</v>
      </c>
      <c r="G1" s="854"/>
      <c r="H1" s="855" t="s">
        <v>3156</v>
      </c>
      <c r="I1" s="306" t="s">
        <v>237</v>
      </c>
      <c r="J1" s="2092" t="s">
        <v>3157</v>
      </c>
      <c r="K1" s="2082"/>
      <c r="L1" s="1772" t="s">
        <v>447</v>
      </c>
      <c r="M1" s="1905"/>
    </row>
    <row r="2" spans="1:13" ht="45.95" customHeight="1">
      <c r="A2" s="133" t="s">
        <v>240</v>
      </c>
      <c r="B2" s="1682" t="s">
        <v>3158</v>
      </c>
      <c r="C2" s="1682"/>
      <c r="D2" s="134" t="s">
        <v>242</v>
      </c>
      <c r="E2" s="1706"/>
      <c r="F2" s="1706"/>
      <c r="G2" s="2057"/>
      <c r="H2" s="1706"/>
      <c r="I2" s="166" t="s">
        <v>425</v>
      </c>
      <c r="J2" s="1733" t="s">
        <v>3159</v>
      </c>
      <c r="K2" s="2093"/>
      <c r="L2" s="2093"/>
      <c r="M2" s="2094"/>
    </row>
    <row r="3" spans="1:13" ht="45.95" customHeight="1">
      <c r="A3" s="133" t="s">
        <v>247</v>
      </c>
      <c r="B3" s="2051" t="s">
        <v>3160</v>
      </c>
      <c r="C3" s="2051"/>
      <c r="D3" s="352" t="s">
        <v>249</v>
      </c>
      <c r="E3" s="353" t="s">
        <v>3161</v>
      </c>
      <c r="F3" s="352" t="s">
        <v>251</v>
      </c>
      <c r="G3" s="134" t="s">
        <v>3162</v>
      </c>
      <c r="H3" s="137" t="s">
        <v>3163</v>
      </c>
      <c r="I3" s="166" t="s">
        <v>243</v>
      </c>
      <c r="J3" s="2058" t="s">
        <v>421</v>
      </c>
      <c r="K3" s="2029"/>
      <c r="L3" s="166" t="s">
        <v>245</v>
      </c>
      <c r="M3" s="241" t="s">
        <v>3164</v>
      </c>
    </row>
    <row r="4" spans="1:13" ht="98.1" customHeight="1">
      <c r="A4" s="856" t="s">
        <v>260</v>
      </c>
      <c r="B4" s="1726" t="s">
        <v>3165</v>
      </c>
      <c r="C4" s="1726"/>
      <c r="D4" s="1726"/>
      <c r="E4" s="1726"/>
      <c r="F4" s="1726"/>
      <c r="G4" s="867"/>
      <c r="H4" s="867"/>
      <c r="I4" s="873"/>
      <c r="J4" s="41" t="s">
        <v>565</v>
      </c>
      <c r="K4" s="15" t="s">
        <v>3166</v>
      </c>
      <c r="L4" s="15" t="s">
        <v>255</v>
      </c>
      <c r="M4" s="15" t="s">
        <v>3166</v>
      </c>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s="866" customFormat="1" ht="33.950000000000003" customHeight="1">
      <c r="A6" s="868">
        <v>42552</v>
      </c>
      <c r="B6" s="303">
        <v>75</v>
      </c>
      <c r="C6" s="303">
        <v>21686</v>
      </c>
      <c r="D6" s="303">
        <f>B6</f>
        <v>75</v>
      </c>
      <c r="E6" s="303">
        <f>C6</f>
        <v>21686</v>
      </c>
      <c r="F6" s="303"/>
      <c r="G6" s="869">
        <f>E6</f>
        <v>21686</v>
      </c>
      <c r="H6" s="870"/>
      <c r="I6" s="303"/>
      <c r="J6" s="303"/>
      <c r="K6" s="303"/>
      <c r="L6" s="303">
        <f t="shared" ref="L6:L19" si="0">E6-J6</f>
        <v>21686</v>
      </c>
      <c r="M6" s="874"/>
    </row>
    <row r="7" spans="1:13" s="866" customFormat="1" ht="35.1" customHeight="1">
      <c r="A7" s="868">
        <v>42583</v>
      </c>
      <c r="B7" s="303">
        <v>44.5</v>
      </c>
      <c r="C7" s="303">
        <v>11889.5</v>
      </c>
      <c r="D7" s="303">
        <f t="shared" ref="D7:D19" si="1">D6+B7</f>
        <v>119.5</v>
      </c>
      <c r="E7" s="303">
        <f t="shared" ref="E7:E19" si="2">E6+C7</f>
        <v>33575.5</v>
      </c>
      <c r="F7" s="303"/>
      <c r="G7" s="869">
        <f>E7</f>
        <v>33575.5</v>
      </c>
      <c r="H7" s="870"/>
      <c r="I7" s="303"/>
      <c r="J7" s="303"/>
      <c r="K7" s="303">
        <f t="shared" ref="K7:K20" si="3">K6+H7-I7</f>
        <v>0</v>
      </c>
      <c r="L7" s="303">
        <f t="shared" si="0"/>
        <v>33575.5</v>
      </c>
      <c r="M7" s="874"/>
    </row>
    <row r="8" spans="1:13" s="866" customFormat="1" ht="33.950000000000003" customHeight="1">
      <c r="A8" s="868">
        <v>42614</v>
      </c>
      <c r="B8" s="303">
        <v>1880.5</v>
      </c>
      <c r="C8" s="303">
        <v>554604.5</v>
      </c>
      <c r="D8" s="303">
        <f t="shared" si="1"/>
        <v>2000</v>
      </c>
      <c r="E8" s="303">
        <f t="shared" si="2"/>
        <v>588180</v>
      </c>
      <c r="F8" s="303"/>
      <c r="G8" s="869">
        <f>E8</f>
        <v>588180</v>
      </c>
      <c r="H8" s="870"/>
      <c r="I8" s="303"/>
      <c r="J8" s="303"/>
      <c r="K8" s="303">
        <f t="shared" si="3"/>
        <v>0</v>
      </c>
      <c r="L8" s="303">
        <f t="shared" si="0"/>
        <v>588180</v>
      </c>
      <c r="M8" s="874"/>
    </row>
    <row r="9" spans="1:13" s="866" customFormat="1" ht="35.1" customHeight="1">
      <c r="A9" s="868">
        <v>42644</v>
      </c>
      <c r="B9" s="303">
        <v>738.5</v>
      </c>
      <c r="C9" s="303">
        <v>217857.5</v>
      </c>
      <c r="D9" s="303">
        <f t="shared" si="1"/>
        <v>2738.5</v>
      </c>
      <c r="E9" s="303">
        <f t="shared" si="2"/>
        <v>806037.5</v>
      </c>
      <c r="F9" s="303"/>
      <c r="G9" s="869">
        <f t="shared" ref="G9:G19" si="4">E9-E6</f>
        <v>784351.5</v>
      </c>
      <c r="H9" s="870"/>
      <c r="I9" s="303"/>
      <c r="J9" s="303"/>
      <c r="K9" s="303">
        <f t="shared" si="3"/>
        <v>0</v>
      </c>
      <c r="L9" s="303">
        <f t="shared" si="0"/>
        <v>806037.5</v>
      </c>
      <c r="M9" s="874"/>
    </row>
    <row r="10" spans="1:13" s="866" customFormat="1" ht="35.1" customHeight="1">
      <c r="A10" s="868">
        <v>42676</v>
      </c>
      <c r="B10" s="303">
        <v>642.5</v>
      </c>
      <c r="C10" s="303">
        <v>179936</v>
      </c>
      <c r="D10" s="303">
        <f t="shared" si="1"/>
        <v>3381</v>
      </c>
      <c r="E10" s="303">
        <f t="shared" si="2"/>
        <v>985973.5</v>
      </c>
      <c r="F10" s="303"/>
      <c r="G10" s="869">
        <f t="shared" si="4"/>
        <v>952398</v>
      </c>
      <c r="H10" s="870">
        <f>C6</f>
        <v>21686</v>
      </c>
      <c r="I10" s="303"/>
      <c r="J10" s="303"/>
      <c r="K10" s="303">
        <f t="shared" si="3"/>
        <v>21686</v>
      </c>
      <c r="L10" s="303">
        <f t="shared" si="0"/>
        <v>985973.5</v>
      </c>
      <c r="M10" s="874"/>
    </row>
    <row r="11" spans="1:13" s="866" customFormat="1" ht="35.1" customHeight="1">
      <c r="A11" s="868">
        <v>42705</v>
      </c>
      <c r="B11" s="303">
        <v>48.5</v>
      </c>
      <c r="C11" s="303">
        <v>17508.5</v>
      </c>
      <c r="D11" s="303">
        <f t="shared" si="1"/>
        <v>3429.5</v>
      </c>
      <c r="E11" s="303">
        <f t="shared" si="2"/>
        <v>1003482</v>
      </c>
      <c r="F11" s="303"/>
      <c r="G11" s="869">
        <f t="shared" si="4"/>
        <v>415302</v>
      </c>
      <c r="H11" s="870">
        <f t="shared" ref="H11:H20" si="5">C7</f>
        <v>11889.5</v>
      </c>
      <c r="I11" s="303"/>
      <c r="J11" s="303"/>
      <c r="K11" s="303">
        <f t="shared" si="3"/>
        <v>33575.5</v>
      </c>
      <c r="L11" s="303">
        <f t="shared" si="0"/>
        <v>1003482</v>
      </c>
      <c r="M11" s="874"/>
    </row>
    <row r="12" spans="1:13" s="866" customFormat="1" ht="35.1" customHeight="1">
      <c r="A12" s="868">
        <v>42736</v>
      </c>
      <c r="B12" s="303">
        <v>266.5</v>
      </c>
      <c r="C12" s="303">
        <v>77264.5</v>
      </c>
      <c r="D12" s="303">
        <f t="shared" si="1"/>
        <v>3696</v>
      </c>
      <c r="E12" s="303">
        <f t="shared" si="2"/>
        <v>1080746.5</v>
      </c>
      <c r="F12" s="303"/>
      <c r="G12" s="869">
        <f t="shared" si="4"/>
        <v>274709</v>
      </c>
      <c r="H12" s="870">
        <f t="shared" si="5"/>
        <v>554604.5</v>
      </c>
      <c r="I12" s="303"/>
      <c r="J12" s="303"/>
      <c r="K12" s="303">
        <f t="shared" si="3"/>
        <v>588180</v>
      </c>
      <c r="L12" s="303">
        <f t="shared" si="0"/>
        <v>1080746.5</v>
      </c>
      <c r="M12" s="874"/>
    </row>
    <row r="13" spans="1:13" s="866" customFormat="1" ht="35.1" customHeight="1">
      <c r="A13" s="871">
        <v>42767</v>
      </c>
      <c r="B13" s="303">
        <v>158</v>
      </c>
      <c r="C13" s="303">
        <v>47042</v>
      </c>
      <c r="D13" s="303">
        <f t="shared" si="1"/>
        <v>3854</v>
      </c>
      <c r="E13" s="303">
        <f t="shared" si="2"/>
        <v>1127788.5</v>
      </c>
      <c r="F13" s="303"/>
      <c r="G13" s="869">
        <f t="shared" si="4"/>
        <v>141815</v>
      </c>
      <c r="H13" s="870">
        <f t="shared" si="5"/>
        <v>217857.5</v>
      </c>
      <c r="I13" s="303"/>
      <c r="J13" s="303"/>
      <c r="K13" s="303">
        <f t="shared" si="3"/>
        <v>806037.5</v>
      </c>
      <c r="L13" s="303">
        <f t="shared" si="0"/>
        <v>1127788.5</v>
      </c>
      <c r="M13" s="874"/>
    </row>
    <row r="14" spans="1:13" s="866" customFormat="1" ht="35.1" customHeight="1">
      <c r="A14" s="868">
        <v>42795</v>
      </c>
      <c r="B14" s="303">
        <v>3667.5</v>
      </c>
      <c r="C14" s="303">
        <v>1316452.5</v>
      </c>
      <c r="D14" s="303">
        <f t="shared" si="1"/>
        <v>7521.5</v>
      </c>
      <c r="E14" s="303">
        <f t="shared" si="2"/>
        <v>2444241</v>
      </c>
      <c r="F14" s="303"/>
      <c r="G14" s="869">
        <f t="shared" si="4"/>
        <v>1440759</v>
      </c>
      <c r="H14" s="870">
        <f t="shared" si="5"/>
        <v>179936</v>
      </c>
      <c r="I14" s="303"/>
      <c r="J14" s="303"/>
      <c r="K14" s="303">
        <f t="shared" si="3"/>
        <v>985973.5</v>
      </c>
      <c r="L14" s="303">
        <f t="shared" si="0"/>
        <v>2444241</v>
      </c>
      <c r="M14" s="875"/>
    </row>
    <row r="15" spans="1:13" s="866" customFormat="1" ht="35.1" customHeight="1">
      <c r="A15" s="868">
        <v>42826</v>
      </c>
      <c r="B15" s="303">
        <v>3112</v>
      </c>
      <c r="C15" s="303">
        <v>1132359</v>
      </c>
      <c r="D15" s="303">
        <f t="shared" si="1"/>
        <v>10633.5</v>
      </c>
      <c r="E15" s="303">
        <f t="shared" si="2"/>
        <v>3576600</v>
      </c>
      <c r="F15" s="303"/>
      <c r="G15" s="869">
        <f t="shared" si="4"/>
        <v>2495853.5</v>
      </c>
      <c r="H15" s="870">
        <f t="shared" si="5"/>
        <v>17508.5</v>
      </c>
      <c r="I15" s="303"/>
      <c r="J15" s="303"/>
      <c r="K15" s="303">
        <f t="shared" si="3"/>
        <v>1003482</v>
      </c>
      <c r="L15" s="303">
        <f t="shared" si="0"/>
        <v>3576600</v>
      </c>
      <c r="M15" s="874" t="s">
        <v>3167</v>
      </c>
    </row>
    <row r="16" spans="1:13" ht="35.1" customHeight="1">
      <c r="A16" s="872">
        <v>42856</v>
      </c>
      <c r="B16" s="259">
        <v>1303</v>
      </c>
      <c r="C16" s="259">
        <v>457360</v>
      </c>
      <c r="D16" s="259">
        <f t="shared" si="1"/>
        <v>11936.5</v>
      </c>
      <c r="E16" s="259">
        <f t="shared" si="2"/>
        <v>4033960</v>
      </c>
      <c r="F16" s="259"/>
      <c r="G16" s="260">
        <f t="shared" si="4"/>
        <v>2906171.5</v>
      </c>
      <c r="H16" s="261">
        <f t="shared" si="5"/>
        <v>77264.5</v>
      </c>
      <c r="I16" s="259">
        <v>985973.5</v>
      </c>
      <c r="J16" s="259">
        <f>I16</f>
        <v>985973.5</v>
      </c>
      <c r="K16" s="259">
        <f t="shared" si="3"/>
        <v>94773</v>
      </c>
      <c r="L16" s="259">
        <f t="shared" si="0"/>
        <v>3047986.5</v>
      </c>
      <c r="M16" s="646"/>
    </row>
    <row r="17" spans="1:13" ht="35.1" customHeight="1">
      <c r="A17" s="358">
        <v>42887</v>
      </c>
      <c r="B17" s="259">
        <v>1832</v>
      </c>
      <c r="C17" s="259">
        <v>611242</v>
      </c>
      <c r="D17" s="259">
        <f t="shared" si="1"/>
        <v>13768.5</v>
      </c>
      <c r="E17" s="259">
        <f t="shared" si="2"/>
        <v>4645202</v>
      </c>
      <c r="F17" s="259"/>
      <c r="G17" s="260">
        <f t="shared" si="4"/>
        <v>2200961</v>
      </c>
      <c r="H17" s="261">
        <f t="shared" si="5"/>
        <v>47042</v>
      </c>
      <c r="I17" s="259">
        <v>94773</v>
      </c>
      <c r="J17" s="259">
        <f>I17+J16</f>
        <v>1080746.5</v>
      </c>
      <c r="K17" s="259">
        <f t="shared" si="3"/>
        <v>47042</v>
      </c>
      <c r="L17" s="259">
        <f t="shared" si="0"/>
        <v>3564455.5</v>
      </c>
      <c r="M17" s="646" t="s">
        <v>3168</v>
      </c>
    </row>
    <row r="18" spans="1:13" ht="35.1" customHeight="1">
      <c r="A18" s="358">
        <v>42917</v>
      </c>
      <c r="B18" s="259">
        <v>1200</v>
      </c>
      <c r="C18" s="259">
        <v>371141</v>
      </c>
      <c r="D18" s="259">
        <f t="shared" si="1"/>
        <v>14968.5</v>
      </c>
      <c r="E18" s="259">
        <f t="shared" si="2"/>
        <v>5016343</v>
      </c>
      <c r="F18" s="259"/>
      <c r="G18" s="260">
        <f t="shared" si="4"/>
        <v>1439743</v>
      </c>
      <c r="H18" s="261">
        <f t="shared" si="5"/>
        <v>1316452.5</v>
      </c>
      <c r="I18" s="259">
        <v>47042</v>
      </c>
      <c r="J18" s="259">
        <f>I18+J17</f>
        <v>1127788.5</v>
      </c>
      <c r="K18" s="259">
        <f t="shared" si="3"/>
        <v>1316452.5</v>
      </c>
      <c r="L18" s="259">
        <f t="shared" si="0"/>
        <v>3888554.5</v>
      </c>
      <c r="M18" s="646" t="s">
        <v>3169</v>
      </c>
    </row>
    <row r="19" spans="1:13" ht="35.1" customHeight="1">
      <c r="A19" s="358">
        <v>42948</v>
      </c>
      <c r="B19" s="259">
        <v>15</v>
      </c>
      <c r="C19" s="259">
        <v>4800</v>
      </c>
      <c r="D19" s="259">
        <f t="shared" si="1"/>
        <v>14983.5</v>
      </c>
      <c r="E19" s="259">
        <f t="shared" si="2"/>
        <v>5021143</v>
      </c>
      <c r="F19" s="259"/>
      <c r="G19" s="260">
        <f t="shared" si="4"/>
        <v>987183</v>
      </c>
      <c r="H19" s="261">
        <f t="shared" si="5"/>
        <v>1132359</v>
      </c>
      <c r="I19" s="259">
        <v>903482</v>
      </c>
      <c r="J19" s="259">
        <f>I19+J18</f>
        <v>2031270.5</v>
      </c>
      <c r="K19" s="259">
        <f t="shared" si="3"/>
        <v>1545329.5</v>
      </c>
      <c r="L19" s="259">
        <f t="shared" si="0"/>
        <v>2989872.5</v>
      </c>
      <c r="M19" s="646" t="s">
        <v>3170</v>
      </c>
    </row>
    <row r="20" spans="1:13" ht="35.1" customHeight="1">
      <c r="A20" s="358"/>
      <c r="B20" s="259"/>
      <c r="C20" s="259"/>
      <c r="D20" s="259"/>
      <c r="E20" s="259"/>
      <c r="F20" s="259"/>
      <c r="G20" s="260"/>
      <c r="H20" s="261">
        <f t="shared" si="5"/>
        <v>457360</v>
      </c>
      <c r="I20" s="259"/>
      <c r="J20" s="259"/>
      <c r="K20" s="259">
        <f t="shared" si="3"/>
        <v>2002689.5</v>
      </c>
      <c r="L20" s="259"/>
      <c r="M20" s="646" t="s">
        <v>3171</v>
      </c>
    </row>
    <row r="21" spans="1:13" ht="35.1" customHeight="1">
      <c r="A21" s="358"/>
      <c r="B21" s="259"/>
      <c r="C21" s="259"/>
      <c r="D21" s="259"/>
      <c r="E21" s="259"/>
      <c r="F21" s="259"/>
      <c r="G21" s="260"/>
      <c r="H21" s="261"/>
      <c r="I21" s="259"/>
      <c r="J21" s="259"/>
      <c r="K21" s="259"/>
      <c r="L21" s="259"/>
      <c r="M21" s="646"/>
    </row>
    <row r="22" spans="1:13" ht="35.1" customHeight="1">
      <c r="A22" s="358"/>
      <c r="B22" s="259"/>
      <c r="C22" s="259"/>
      <c r="D22" s="259"/>
      <c r="E22" s="259"/>
      <c r="F22" s="259"/>
      <c r="G22" s="260"/>
      <c r="H22" s="261"/>
      <c r="I22" s="259"/>
      <c r="J22" s="259"/>
      <c r="K22" s="259"/>
      <c r="L22" s="259"/>
      <c r="M22" s="646"/>
    </row>
  </sheetData>
  <mergeCells count="9">
    <mergeCell ref="B3:C3"/>
    <mergeCell ref="J3:K3"/>
    <mergeCell ref="B4:F4"/>
    <mergeCell ref="C1:D1"/>
    <mergeCell ref="J1:K1"/>
    <mergeCell ref="L1:M1"/>
    <mergeCell ref="B2:C2"/>
    <mergeCell ref="E2:H2"/>
    <mergeCell ref="J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A14" sqref="A14"/>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t="s">
        <v>3172</v>
      </c>
      <c r="C1" s="2090" t="s">
        <v>3173</v>
      </c>
      <c r="D1" s="2091"/>
      <c r="E1" s="274" t="s">
        <v>236</v>
      </c>
      <c r="F1" s="853"/>
      <c r="G1" s="854"/>
      <c r="H1" s="855"/>
      <c r="I1" s="306" t="s">
        <v>237</v>
      </c>
      <c r="J1" s="2081" t="s">
        <v>3174</v>
      </c>
      <c r="K1" s="2082"/>
      <c r="L1" s="1772" t="s">
        <v>3175</v>
      </c>
      <c r="M1" s="1905"/>
    </row>
    <row r="2" spans="1:13" ht="45.95" customHeight="1">
      <c r="A2" s="133" t="s">
        <v>240</v>
      </c>
      <c r="B2" s="1682" t="s">
        <v>1871</v>
      </c>
      <c r="C2" s="1682"/>
      <c r="D2" s="134" t="s">
        <v>242</v>
      </c>
      <c r="E2" s="1706"/>
      <c r="F2" s="1706"/>
      <c r="G2" s="2057"/>
      <c r="H2" s="1706"/>
      <c r="I2" s="166" t="s">
        <v>425</v>
      </c>
      <c r="J2" s="1733" t="s">
        <v>1902</v>
      </c>
      <c r="K2" s="2093"/>
      <c r="L2" s="2093"/>
      <c r="M2" s="2094"/>
    </row>
    <row r="3" spans="1:13" ht="45.95" customHeight="1">
      <c r="A3" s="133" t="s">
        <v>247</v>
      </c>
      <c r="B3" s="2051" t="s">
        <v>3176</v>
      </c>
      <c r="C3" s="2051"/>
      <c r="D3" s="352" t="s">
        <v>249</v>
      </c>
      <c r="E3" s="353">
        <v>9000</v>
      </c>
      <c r="F3" s="352" t="s">
        <v>251</v>
      </c>
      <c r="G3" s="134" t="s">
        <v>3177</v>
      </c>
      <c r="H3" s="137">
        <v>13602418494</v>
      </c>
      <c r="I3" s="166" t="s">
        <v>243</v>
      </c>
      <c r="J3" s="2058" t="s">
        <v>421</v>
      </c>
      <c r="K3" s="2029"/>
      <c r="L3" s="166" t="s">
        <v>245</v>
      </c>
      <c r="M3" s="241" t="s">
        <v>402</v>
      </c>
    </row>
    <row r="4" spans="1:13" ht="98.1" customHeight="1">
      <c r="A4" s="856" t="s">
        <v>260</v>
      </c>
      <c r="B4" s="1726" t="s">
        <v>3178</v>
      </c>
      <c r="C4" s="1726"/>
      <c r="D4" s="1726"/>
      <c r="E4" s="1726"/>
      <c r="F4" s="1726"/>
      <c r="G4" s="2053" t="s">
        <v>3179</v>
      </c>
      <c r="H4" s="2053"/>
      <c r="I4" s="2054"/>
      <c r="J4" s="41" t="s">
        <v>565</v>
      </c>
      <c r="K4" s="15" t="s">
        <v>3180</v>
      </c>
      <c r="L4" s="15" t="s">
        <v>255</v>
      </c>
      <c r="M4" s="15" t="s">
        <v>3181</v>
      </c>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42675</v>
      </c>
      <c r="B6" s="259">
        <v>2436</v>
      </c>
      <c r="C6" s="259">
        <v>686355</v>
      </c>
      <c r="D6" s="259">
        <f>B6</f>
        <v>2436</v>
      </c>
      <c r="E6" s="259">
        <f>C6</f>
        <v>686355</v>
      </c>
      <c r="F6" s="259"/>
      <c r="G6" s="260"/>
      <c r="H6" s="261"/>
      <c r="I6" s="259"/>
      <c r="J6" s="259"/>
      <c r="K6" s="259"/>
      <c r="L6" s="259">
        <f t="shared" ref="L6:L13" si="0">E6-J6</f>
        <v>686355</v>
      </c>
      <c r="M6" s="646"/>
    </row>
    <row r="7" spans="1:13" ht="35.1" customHeight="1">
      <c r="A7" s="358">
        <v>42705</v>
      </c>
      <c r="B7" s="259">
        <v>2001.5</v>
      </c>
      <c r="C7" s="259">
        <v>595770</v>
      </c>
      <c r="D7" s="259">
        <f t="shared" ref="D7:D13" si="1">D6+B7</f>
        <v>4437.5</v>
      </c>
      <c r="E7" s="259">
        <f t="shared" ref="E7:E13" si="2">E6+C7</f>
        <v>1282125</v>
      </c>
      <c r="F7" s="259"/>
      <c r="G7" s="260"/>
      <c r="H7" s="261">
        <f t="shared" ref="H7:H14" si="3">C6</f>
        <v>686355</v>
      </c>
      <c r="I7" s="259">
        <v>300000</v>
      </c>
      <c r="J7" s="259">
        <f t="shared" ref="J7:J13" si="4">J6+I7</f>
        <v>300000</v>
      </c>
      <c r="K7" s="259">
        <f t="shared" ref="K7:K14" si="5">K6+H7-I7</f>
        <v>386355</v>
      </c>
      <c r="L7" s="259">
        <f t="shared" si="0"/>
        <v>982125</v>
      </c>
      <c r="M7" s="647" t="s">
        <v>3182</v>
      </c>
    </row>
    <row r="8" spans="1:13" ht="35.1" customHeight="1">
      <c r="A8" s="358">
        <v>42736</v>
      </c>
      <c r="B8" s="259">
        <v>1390</v>
      </c>
      <c r="C8" s="259">
        <v>422060</v>
      </c>
      <c r="D8" s="259">
        <f t="shared" si="1"/>
        <v>5827.5</v>
      </c>
      <c r="E8" s="259">
        <f t="shared" si="2"/>
        <v>1704185</v>
      </c>
      <c r="F8" s="259"/>
      <c r="G8" s="260"/>
      <c r="H8" s="261">
        <f t="shared" si="3"/>
        <v>595770</v>
      </c>
      <c r="I8" s="259">
        <v>200000</v>
      </c>
      <c r="J8" s="259">
        <f t="shared" si="4"/>
        <v>500000</v>
      </c>
      <c r="K8" s="259">
        <f t="shared" si="5"/>
        <v>782125</v>
      </c>
      <c r="L8" s="259">
        <f t="shared" si="0"/>
        <v>1204185</v>
      </c>
      <c r="M8" s="646" t="s">
        <v>3183</v>
      </c>
    </row>
    <row r="9" spans="1:13" ht="35.1" customHeight="1">
      <c r="A9" s="358">
        <v>42767</v>
      </c>
      <c r="B9" s="259">
        <v>15.5</v>
      </c>
      <c r="C9" s="259">
        <v>4710</v>
      </c>
      <c r="D9" s="259">
        <f t="shared" si="1"/>
        <v>5843</v>
      </c>
      <c r="E9" s="259">
        <f t="shared" si="2"/>
        <v>1708895</v>
      </c>
      <c r="F9" s="259"/>
      <c r="G9" s="260"/>
      <c r="H9" s="261">
        <f t="shared" si="3"/>
        <v>422060</v>
      </c>
      <c r="I9" s="259">
        <v>180000</v>
      </c>
      <c r="J9" s="259">
        <f t="shared" si="4"/>
        <v>680000</v>
      </c>
      <c r="K9" s="259">
        <f t="shared" si="5"/>
        <v>1024185</v>
      </c>
      <c r="L9" s="259">
        <f t="shared" si="0"/>
        <v>1028895</v>
      </c>
      <c r="M9" s="646" t="s">
        <v>3184</v>
      </c>
    </row>
    <row r="10" spans="1:13" ht="35.1" customHeight="1">
      <c r="A10" s="358">
        <v>42795</v>
      </c>
      <c r="B10" s="259">
        <v>300</v>
      </c>
      <c r="C10" s="259">
        <v>92145</v>
      </c>
      <c r="D10" s="259">
        <f t="shared" si="1"/>
        <v>6143</v>
      </c>
      <c r="E10" s="259">
        <f t="shared" si="2"/>
        <v>1801040</v>
      </c>
      <c r="F10" s="259"/>
      <c r="G10" s="260"/>
      <c r="H10" s="261">
        <f t="shared" si="3"/>
        <v>4710</v>
      </c>
      <c r="I10" s="259"/>
      <c r="J10" s="259">
        <f t="shared" si="4"/>
        <v>680000</v>
      </c>
      <c r="K10" s="259">
        <f t="shared" si="5"/>
        <v>1028895</v>
      </c>
      <c r="L10" s="259">
        <f t="shared" si="0"/>
        <v>1121040</v>
      </c>
      <c r="M10" s="865" t="s">
        <v>3185</v>
      </c>
    </row>
    <row r="11" spans="1:13" ht="35.1" customHeight="1">
      <c r="A11" s="358">
        <v>42826</v>
      </c>
      <c r="B11" s="259">
        <v>8</v>
      </c>
      <c r="C11" s="259">
        <v>2440</v>
      </c>
      <c r="D11" s="259">
        <f t="shared" si="1"/>
        <v>6151</v>
      </c>
      <c r="E11" s="259">
        <f t="shared" si="2"/>
        <v>1803480</v>
      </c>
      <c r="F11" s="259"/>
      <c r="G11" s="260"/>
      <c r="H11" s="261">
        <f t="shared" si="3"/>
        <v>92145</v>
      </c>
      <c r="I11" s="259">
        <f>620000+195832.5</f>
        <v>815832.5</v>
      </c>
      <c r="J11" s="259">
        <f t="shared" si="4"/>
        <v>1495832.5</v>
      </c>
      <c r="K11" s="259">
        <f t="shared" si="5"/>
        <v>305207.5</v>
      </c>
      <c r="L11" s="259">
        <f t="shared" si="0"/>
        <v>307647.5</v>
      </c>
      <c r="M11" s="646"/>
    </row>
    <row r="12" spans="1:13" ht="35.1" customHeight="1">
      <c r="A12" s="358">
        <v>42887</v>
      </c>
      <c r="B12" s="259">
        <v>0</v>
      </c>
      <c r="C12" s="259">
        <v>0</v>
      </c>
      <c r="D12" s="259">
        <f t="shared" si="1"/>
        <v>6151</v>
      </c>
      <c r="E12" s="259">
        <f t="shared" si="2"/>
        <v>1803480</v>
      </c>
      <c r="F12" s="259"/>
      <c r="G12" s="260"/>
      <c r="H12" s="261">
        <f t="shared" si="3"/>
        <v>2440</v>
      </c>
      <c r="I12" s="259"/>
      <c r="J12" s="259">
        <f t="shared" si="4"/>
        <v>1495832.5</v>
      </c>
      <c r="K12" s="259">
        <f t="shared" si="5"/>
        <v>307647.5</v>
      </c>
      <c r="L12" s="259">
        <f t="shared" si="0"/>
        <v>307647.5</v>
      </c>
      <c r="M12" s="646"/>
    </row>
    <row r="13" spans="1:13" ht="35.1" customHeight="1">
      <c r="A13" s="358">
        <v>42948</v>
      </c>
      <c r="B13" s="259">
        <v>0</v>
      </c>
      <c r="C13" s="259">
        <v>0</v>
      </c>
      <c r="D13" s="259">
        <f t="shared" si="1"/>
        <v>6151</v>
      </c>
      <c r="E13" s="259">
        <f t="shared" si="2"/>
        <v>1803480</v>
      </c>
      <c r="F13" s="259"/>
      <c r="G13" s="260"/>
      <c r="H13" s="261">
        <f t="shared" si="3"/>
        <v>0</v>
      </c>
      <c r="I13" s="259">
        <v>78920</v>
      </c>
      <c r="J13" s="259">
        <f t="shared" si="4"/>
        <v>1574752.5</v>
      </c>
      <c r="K13" s="259">
        <f t="shared" si="5"/>
        <v>228727.5</v>
      </c>
      <c r="L13" s="259">
        <f t="shared" si="0"/>
        <v>228727.5</v>
      </c>
      <c r="M13" s="646" t="s">
        <v>3186</v>
      </c>
    </row>
    <row r="14" spans="1:13" ht="35.1" customHeight="1">
      <c r="A14" s="358"/>
      <c r="B14" s="259"/>
      <c r="C14" s="259"/>
      <c r="D14" s="259"/>
      <c r="E14" s="259"/>
      <c r="F14" s="259"/>
      <c r="G14" s="260"/>
      <c r="H14" s="261">
        <f t="shared" si="3"/>
        <v>0</v>
      </c>
      <c r="I14" s="259"/>
      <c r="J14" s="259"/>
      <c r="K14" s="259">
        <f t="shared" si="5"/>
        <v>228727.5</v>
      </c>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B7" sqref="B7"/>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3187</v>
      </c>
      <c r="K1" s="2082"/>
      <c r="L1" s="1772"/>
      <c r="M1" s="1905"/>
    </row>
    <row r="2" spans="1:13" ht="45.95" customHeight="1">
      <c r="A2" s="133" t="s">
        <v>240</v>
      </c>
      <c r="B2" s="1682" t="s">
        <v>3188</v>
      </c>
      <c r="C2" s="1682"/>
      <c r="D2" s="134" t="s">
        <v>242</v>
      </c>
      <c r="E2" s="1706"/>
      <c r="F2" s="1706"/>
      <c r="G2" s="2057"/>
      <c r="H2" s="1706"/>
      <c r="I2" s="166" t="s">
        <v>425</v>
      </c>
      <c r="J2" s="1733" t="s">
        <v>1902</v>
      </c>
      <c r="K2" s="2093"/>
      <c r="L2" s="2093"/>
      <c r="M2" s="2094"/>
    </row>
    <row r="3" spans="1:13" ht="45.95" customHeight="1">
      <c r="A3" s="133" t="s">
        <v>247</v>
      </c>
      <c r="B3" s="2051" t="s">
        <v>3189</v>
      </c>
      <c r="C3" s="2051"/>
      <c r="D3" s="352" t="s">
        <v>249</v>
      </c>
      <c r="E3" s="353"/>
      <c r="F3" s="352" t="s">
        <v>251</v>
      </c>
      <c r="G3" s="134"/>
      <c r="H3" s="137"/>
      <c r="I3" s="166" t="s">
        <v>243</v>
      </c>
      <c r="J3" s="2058"/>
      <c r="K3" s="2029"/>
      <c r="L3" s="166" t="s">
        <v>245</v>
      </c>
      <c r="M3" s="241"/>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42767</v>
      </c>
      <c r="B6" s="259">
        <v>29</v>
      </c>
      <c r="C6" s="259">
        <v>7985</v>
      </c>
      <c r="D6" s="259">
        <f>B6</f>
        <v>29</v>
      </c>
      <c r="E6" s="259">
        <f>C6</f>
        <v>7985</v>
      </c>
      <c r="F6" s="259"/>
      <c r="G6" s="260"/>
      <c r="H6" s="261"/>
      <c r="I6" s="259"/>
      <c r="J6" s="259"/>
      <c r="K6" s="259"/>
      <c r="L6" s="259">
        <f>E6-J6</f>
        <v>7985</v>
      </c>
      <c r="M6" s="646"/>
    </row>
    <row r="7" spans="1:13" ht="35.1" customHeight="1">
      <c r="A7" s="358">
        <v>42795</v>
      </c>
      <c r="B7" s="259">
        <v>64</v>
      </c>
      <c r="C7" s="259">
        <v>18240</v>
      </c>
      <c r="D7" s="259">
        <f>D6+B7</f>
        <v>93</v>
      </c>
      <c r="E7" s="259">
        <f>E6+C7</f>
        <v>26225</v>
      </c>
      <c r="F7" s="259"/>
      <c r="G7" s="260"/>
      <c r="H7" s="261"/>
      <c r="I7" s="259">
        <v>26225</v>
      </c>
      <c r="J7" s="259">
        <f>I7</f>
        <v>26225</v>
      </c>
      <c r="K7" s="259"/>
      <c r="L7" s="259">
        <f>E7-J7</f>
        <v>0</v>
      </c>
      <c r="M7" s="647" t="s">
        <v>3190</v>
      </c>
    </row>
    <row r="8" spans="1:13" ht="35.1" customHeight="1">
      <c r="A8" s="358"/>
      <c r="B8" s="259"/>
      <c r="C8" s="259"/>
      <c r="D8" s="259"/>
      <c r="E8" s="259"/>
      <c r="F8" s="259"/>
      <c r="G8" s="260"/>
      <c r="H8" s="261"/>
      <c r="I8" s="259"/>
      <c r="J8" s="259"/>
      <c r="K8" s="259"/>
      <c r="L8" s="259">
        <f>E8-J8</f>
        <v>0</v>
      </c>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opLeftCell="A7" zoomScaleSheetLayoutView="100" workbookViewId="0">
      <selection activeCell="A9" sqref="A9"/>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3191</v>
      </c>
      <c r="K1" s="2082"/>
      <c r="L1" s="1772"/>
      <c r="M1" s="1905"/>
    </row>
    <row r="2" spans="1:13" ht="45.95" customHeight="1">
      <c r="A2" s="133" t="s">
        <v>240</v>
      </c>
      <c r="B2" s="1682" t="s">
        <v>3192</v>
      </c>
      <c r="C2" s="1682"/>
      <c r="D2" s="134" t="s">
        <v>242</v>
      </c>
      <c r="E2" s="1706"/>
      <c r="F2" s="1706"/>
      <c r="G2" s="2057"/>
      <c r="H2" s="1706"/>
      <c r="I2" s="166" t="s">
        <v>425</v>
      </c>
      <c r="J2" s="1733" t="s">
        <v>1902</v>
      </c>
      <c r="K2" s="2093"/>
      <c r="L2" s="2093"/>
      <c r="M2" s="2094"/>
    </row>
    <row r="3" spans="1:13" ht="45.95" customHeight="1">
      <c r="A3" s="133" t="s">
        <v>247</v>
      </c>
      <c r="B3" s="2051" t="s">
        <v>3193</v>
      </c>
      <c r="C3" s="2051"/>
      <c r="D3" s="352" t="s">
        <v>249</v>
      </c>
      <c r="E3" s="353"/>
      <c r="F3" s="352" t="s">
        <v>251</v>
      </c>
      <c r="G3" s="134"/>
      <c r="H3" s="137"/>
      <c r="I3" s="166" t="s">
        <v>243</v>
      </c>
      <c r="J3" s="2058"/>
      <c r="K3" s="2029"/>
      <c r="L3" s="166" t="s">
        <v>245</v>
      </c>
      <c r="M3" s="241" t="s">
        <v>402</v>
      </c>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5.1" customHeight="1">
      <c r="A6" s="358">
        <v>42826</v>
      </c>
      <c r="B6" s="259">
        <v>2224</v>
      </c>
      <c r="C6" s="259">
        <v>687780</v>
      </c>
      <c r="D6" s="259">
        <f>B6</f>
        <v>2224</v>
      </c>
      <c r="E6" s="259">
        <f>C6</f>
        <v>687780</v>
      </c>
      <c r="F6" s="259"/>
      <c r="G6" s="260"/>
      <c r="H6" s="261"/>
      <c r="I6" s="259"/>
      <c r="J6" s="259"/>
      <c r="K6" s="259"/>
      <c r="L6" s="259">
        <f>E6-J6</f>
        <v>687780</v>
      </c>
      <c r="M6" s="646"/>
    </row>
    <row r="7" spans="1:13" ht="35.1" customHeight="1">
      <c r="A7" s="358">
        <v>42917</v>
      </c>
      <c r="B7" s="259">
        <v>180</v>
      </c>
      <c r="C7" s="259">
        <v>55670</v>
      </c>
      <c r="D7" s="259">
        <f>D6+B7</f>
        <v>2404</v>
      </c>
      <c r="E7" s="259">
        <f>E6+C7</f>
        <v>743450</v>
      </c>
      <c r="F7" s="259"/>
      <c r="G7" s="260"/>
      <c r="H7" s="261"/>
      <c r="I7" s="259"/>
      <c r="J7" s="259"/>
      <c r="K7" s="259"/>
      <c r="L7" s="259">
        <f>E7-J7</f>
        <v>743450</v>
      </c>
      <c r="M7" s="646"/>
    </row>
    <row r="8" spans="1:13" ht="35.1" customHeight="1">
      <c r="A8" s="358">
        <v>42948</v>
      </c>
      <c r="B8" s="259">
        <v>0</v>
      </c>
      <c r="C8" s="259">
        <v>0</v>
      </c>
      <c r="D8" s="259">
        <f>D7+B8</f>
        <v>2404</v>
      </c>
      <c r="E8" s="259">
        <f>E7+C8</f>
        <v>743450</v>
      </c>
      <c r="F8" s="259"/>
      <c r="G8" s="260"/>
      <c r="H8" s="261"/>
      <c r="I8" s="259"/>
      <c r="J8" s="259"/>
      <c r="K8" s="259">
        <f>E7</f>
        <v>743450</v>
      </c>
      <c r="L8" s="259">
        <f>E8-J8</f>
        <v>743450</v>
      </c>
      <c r="M8" s="646"/>
    </row>
    <row r="9" spans="1:13" ht="35.1" customHeight="1">
      <c r="A9" s="358"/>
      <c r="B9" s="259"/>
      <c r="C9" s="259"/>
      <c r="D9" s="259"/>
      <c r="E9" s="259"/>
      <c r="F9" s="259"/>
      <c r="G9" s="260"/>
      <c r="H9" s="261"/>
      <c r="I9" s="259"/>
      <c r="J9" s="259"/>
      <c r="K9" s="259">
        <f>E8</f>
        <v>743450</v>
      </c>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28" spans="6:6">
      <c r="F28" s="864"/>
    </row>
    <row r="29" spans="6:6">
      <c r="F29" s="864"/>
    </row>
    <row r="30" spans="6:6">
      <c r="F30" s="864"/>
    </row>
    <row r="31" spans="6:6">
      <c r="F31" s="864"/>
    </row>
    <row r="32" spans="6:6">
      <c r="F32" s="864"/>
    </row>
    <row r="33" spans="6:6">
      <c r="F33" s="864"/>
    </row>
    <row r="34" spans="6:6">
      <c r="F34" s="864"/>
    </row>
    <row r="35" spans="6:6">
      <c r="F35" s="864"/>
    </row>
    <row r="36" spans="6:6">
      <c r="F36" s="864"/>
    </row>
    <row r="37" spans="6:6">
      <c r="F37" s="864"/>
    </row>
    <row r="38" spans="6:6">
      <c r="F38" s="864"/>
    </row>
    <row r="39" spans="6:6">
      <c r="F39" s="864"/>
    </row>
    <row r="40" spans="6:6">
      <c r="F40" s="864"/>
    </row>
    <row r="41" spans="6:6">
      <c r="F41" s="864"/>
    </row>
    <row r="42" spans="6:6">
      <c r="F42" s="864"/>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4" zoomScaleSheetLayoutView="100" workbookViewId="0">
      <selection activeCell="A7" sqref="A7"/>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3191</v>
      </c>
      <c r="K1" s="2082"/>
      <c r="L1" s="1772"/>
      <c r="M1" s="1905"/>
    </row>
    <row r="2" spans="1:13" ht="45.95" customHeight="1">
      <c r="A2" s="133" t="s">
        <v>240</v>
      </c>
      <c r="B2" s="1682" t="s">
        <v>3194</v>
      </c>
      <c r="C2" s="1682"/>
      <c r="D2" s="134" t="s">
        <v>242</v>
      </c>
      <c r="E2" s="1706"/>
      <c r="F2" s="1706"/>
      <c r="G2" s="2057"/>
      <c r="H2" s="1706"/>
      <c r="I2" s="166" t="s">
        <v>425</v>
      </c>
      <c r="J2" s="1733" t="s">
        <v>1902</v>
      </c>
      <c r="K2" s="2093"/>
      <c r="L2" s="2093"/>
      <c r="M2" s="2094"/>
    </row>
    <row r="3" spans="1:13" ht="45.95" customHeight="1">
      <c r="A3" s="133" t="s">
        <v>247</v>
      </c>
      <c r="B3" s="2051" t="s">
        <v>3195</v>
      </c>
      <c r="C3" s="2051"/>
      <c r="D3" s="352" t="s">
        <v>249</v>
      </c>
      <c r="E3" s="353"/>
      <c r="F3" s="352" t="s">
        <v>251</v>
      </c>
      <c r="G3" s="134"/>
      <c r="H3" s="137"/>
      <c r="I3" s="166" t="s">
        <v>243</v>
      </c>
      <c r="J3" s="2058"/>
      <c r="K3" s="2029"/>
      <c r="L3" s="166" t="s">
        <v>245</v>
      </c>
      <c r="M3" s="241" t="s">
        <v>402</v>
      </c>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5.1" customHeight="1">
      <c r="A6" s="358">
        <v>42948</v>
      </c>
      <c r="B6" s="259">
        <v>148</v>
      </c>
      <c r="C6" s="259">
        <f>B6*280</f>
        <v>41440</v>
      </c>
      <c r="D6" s="259">
        <f>B6</f>
        <v>148</v>
      </c>
      <c r="E6" s="259">
        <f>C6</f>
        <v>41440</v>
      </c>
      <c r="F6" s="259"/>
      <c r="G6" s="260">
        <f>E6</f>
        <v>41440</v>
      </c>
      <c r="H6" s="261"/>
      <c r="I6" s="259"/>
      <c r="J6" s="259"/>
      <c r="K6" s="259"/>
      <c r="L6" s="259">
        <f>E6-J6</f>
        <v>41440</v>
      </c>
      <c r="M6" s="646"/>
    </row>
    <row r="7" spans="1:13" ht="35.1" customHeight="1">
      <c r="A7" s="358"/>
      <c r="B7" s="259"/>
      <c r="C7" s="259"/>
      <c r="D7" s="259">
        <f>D6+B7</f>
        <v>148</v>
      </c>
      <c r="E7" s="259">
        <f>E6+C7</f>
        <v>41440</v>
      </c>
      <c r="F7" s="259"/>
      <c r="G7" s="260"/>
      <c r="H7" s="261"/>
      <c r="I7" s="259"/>
      <c r="J7" s="259"/>
      <c r="K7" s="259"/>
      <c r="L7" s="259">
        <f>E7-J7</f>
        <v>41440</v>
      </c>
      <c r="M7" s="646"/>
    </row>
    <row r="8" spans="1:13" ht="35.1" customHeight="1">
      <c r="A8" s="358"/>
      <c r="B8" s="259"/>
      <c r="C8" s="259"/>
      <c r="D8" s="259"/>
      <c r="E8" s="259"/>
      <c r="F8" s="259"/>
      <c r="G8" s="260"/>
      <c r="H8" s="261"/>
      <c r="I8" s="259"/>
      <c r="J8" s="259"/>
      <c r="K8" s="259">
        <f>E7</f>
        <v>41440</v>
      </c>
      <c r="L8" s="259"/>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28" spans="6:6">
      <c r="F28" s="864"/>
    </row>
    <row r="29" spans="6:6">
      <c r="F29" s="864"/>
    </row>
    <row r="30" spans="6:6">
      <c r="F30" s="864"/>
    </row>
    <row r="31" spans="6:6">
      <c r="F31" s="864"/>
    </row>
    <row r="32" spans="6:6">
      <c r="F32" s="864"/>
    </row>
    <row r="33" spans="6:6">
      <c r="F33" s="864"/>
    </row>
    <row r="34" spans="6:6">
      <c r="F34" s="864"/>
    </row>
    <row r="35" spans="6:6">
      <c r="F35" s="864"/>
    </row>
    <row r="36" spans="6:6">
      <c r="F36" s="864"/>
    </row>
    <row r="37" spans="6:6">
      <c r="F37" s="864"/>
    </row>
    <row r="38" spans="6:6">
      <c r="F38" s="864"/>
    </row>
    <row r="39" spans="6:6">
      <c r="F39" s="864"/>
    </row>
    <row r="40" spans="6:6">
      <c r="F40" s="864"/>
    </row>
    <row r="41" spans="6:6">
      <c r="F41" s="864"/>
    </row>
    <row r="42" spans="6:6">
      <c r="F42" s="864"/>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2"/>
  <sheetViews>
    <sheetView topLeftCell="A4" zoomScaleSheetLayoutView="100" workbookViewId="0">
      <selection activeCell="A8" sqref="A8"/>
    </sheetView>
  </sheetViews>
  <sheetFormatPr defaultColWidth="9" defaultRowHeight="14.25"/>
  <cols>
    <col min="1" max="1" width="13.5" customWidth="1"/>
    <col min="2" max="3" width="16.5" customWidth="1"/>
    <col min="4" max="4" width="17.875" customWidth="1"/>
    <col min="5"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c r="C1" s="1405" t="s">
        <v>548</v>
      </c>
      <c r="D1" s="1175"/>
      <c r="E1" s="1034" t="s">
        <v>236</v>
      </c>
      <c r="F1" s="1406"/>
      <c r="G1" s="656" t="s">
        <v>351</v>
      </c>
      <c r="H1" s="1407"/>
      <c r="I1" s="1652" t="s">
        <v>237</v>
      </c>
      <c r="J1" s="1656" t="s">
        <v>549</v>
      </c>
      <c r="K1" s="1657"/>
      <c r="L1" s="1658"/>
      <c r="M1" s="1654"/>
    </row>
    <row r="2" spans="1:13" ht="60" customHeight="1">
      <c r="A2" s="39" t="s">
        <v>240</v>
      </c>
      <c r="B2" s="1637"/>
      <c r="C2" s="1637"/>
      <c r="D2" s="41" t="s">
        <v>242</v>
      </c>
      <c r="E2" s="1666"/>
      <c r="F2" s="1667"/>
      <c r="G2" s="41" t="s">
        <v>243</v>
      </c>
      <c r="H2" s="1408"/>
      <c r="I2" s="1653"/>
      <c r="J2" s="1659"/>
      <c r="K2" s="1660"/>
      <c r="L2" s="1661"/>
      <c r="M2" s="1655"/>
    </row>
    <row r="3" spans="1:13" ht="87.95" customHeight="1">
      <c r="A3" s="39" t="s">
        <v>247</v>
      </c>
      <c r="B3" s="1637" t="s">
        <v>550</v>
      </c>
      <c r="C3" s="1637"/>
      <c r="D3" s="41" t="s">
        <v>249</v>
      </c>
      <c r="E3" s="186"/>
      <c r="F3" s="41" t="s">
        <v>251</v>
      </c>
      <c r="G3" s="41"/>
      <c r="H3" s="41" t="s">
        <v>252</v>
      </c>
      <c r="I3" s="90"/>
      <c r="J3" s="91" t="s">
        <v>253</v>
      </c>
      <c r="K3" s="40"/>
      <c r="L3" s="15" t="s">
        <v>255</v>
      </c>
      <c r="M3" s="105"/>
    </row>
    <row r="4" spans="1:13" ht="47.25" customHeight="1">
      <c r="A4" s="39" t="s">
        <v>257</v>
      </c>
      <c r="B4" s="1637"/>
      <c r="C4" s="1637"/>
      <c r="D4" s="1637"/>
      <c r="E4" s="43" t="s">
        <v>258</v>
      </c>
      <c r="F4" s="1638"/>
      <c r="G4" s="1638"/>
      <c r="H4" s="1638"/>
      <c r="I4" s="1637"/>
      <c r="J4" s="1637"/>
      <c r="K4" s="15"/>
      <c r="L4" s="41" t="s">
        <v>360</v>
      </c>
      <c r="M4" s="105"/>
    </row>
    <row r="5" spans="1:13" ht="102.95" customHeight="1">
      <c r="A5" s="1036" t="s">
        <v>260</v>
      </c>
      <c r="B5" s="1664"/>
      <c r="C5" s="1664"/>
      <c r="D5" s="1664"/>
      <c r="E5" s="1633"/>
      <c r="F5" s="1633"/>
      <c r="G5" s="1633"/>
      <c r="H5" s="1633"/>
      <c r="I5" s="1649"/>
      <c r="J5" s="1650"/>
      <c r="K5" s="1650"/>
      <c r="L5" s="1651"/>
      <c r="M5" s="150"/>
    </row>
    <row r="6" spans="1:13" ht="30.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v>42614</v>
      </c>
      <c r="B7" s="1067">
        <v>35</v>
      </c>
      <c r="C7" s="1248">
        <v>9110</v>
      </c>
      <c r="D7" s="1067">
        <f>+B7</f>
        <v>35</v>
      </c>
      <c r="E7" s="1067">
        <f>C7</f>
        <v>9110</v>
      </c>
      <c r="F7" s="1410"/>
      <c r="G7" s="1245">
        <f>E7</f>
        <v>9110</v>
      </c>
      <c r="H7" s="1411"/>
      <c r="I7" s="1415">
        <v>9110</v>
      </c>
      <c r="J7" s="1415">
        <f>I7</f>
        <v>9110</v>
      </c>
      <c r="K7" s="1416"/>
      <c r="L7" s="1417">
        <f>E7-J7</f>
        <v>0</v>
      </c>
      <c r="M7" s="1165" t="s">
        <v>551</v>
      </c>
    </row>
    <row r="8" spans="1:13" ht="36" customHeight="1">
      <c r="A8" s="1409"/>
      <c r="B8" s="1067"/>
      <c r="C8" s="1067"/>
      <c r="D8" s="1248"/>
      <c r="E8" s="1248"/>
      <c r="F8" s="1412"/>
      <c r="G8" s="1245"/>
      <c r="H8" s="1411"/>
      <c r="I8" s="1418"/>
      <c r="J8" s="1415"/>
      <c r="K8" s="1416">
        <f>K7+H8-I8</f>
        <v>0</v>
      </c>
      <c r="L8" s="1417"/>
      <c r="M8" s="1199"/>
    </row>
    <row r="9" spans="1:13" ht="36" customHeight="1">
      <c r="A9" s="1413"/>
      <c r="B9" s="1067"/>
      <c r="C9" s="1067"/>
      <c r="D9" s="1248"/>
      <c r="E9" s="1248"/>
      <c r="F9" s="1412"/>
      <c r="G9" s="1245"/>
      <c r="H9" s="1411"/>
      <c r="I9" s="1418"/>
      <c r="J9" s="1418"/>
      <c r="K9" s="1416"/>
      <c r="L9" s="1417"/>
      <c r="M9" s="412"/>
    </row>
    <row r="10" spans="1:13" ht="36" customHeight="1">
      <c r="A10" s="1413"/>
      <c r="B10" s="1067"/>
      <c r="C10" s="1067"/>
      <c r="D10" s="1248"/>
      <c r="E10" s="1248"/>
      <c r="F10" s="1067"/>
      <c r="G10" s="1474"/>
      <c r="H10" s="1414"/>
      <c r="I10" s="1418"/>
      <c r="J10" s="1418"/>
      <c r="K10" s="1416"/>
      <c r="L10" s="1417"/>
      <c r="M10" s="412"/>
    </row>
    <row r="11" spans="1:13" ht="36" customHeight="1">
      <c r="A11" s="1413"/>
      <c r="B11" s="1067"/>
      <c r="C11" s="1067"/>
      <c r="D11" s="1248"/>
      <c r="E11" s="1067"/>
      <c r="F11" s="1067"/>
      <c r="G11" s="1245"/>
      <c r="H11" s="1414"/>
      <c r="I11" s="1418"/>
      <c r="J11" s="1418"/>
      <c r="K11" s="1416"/>
      <c r="L11" s="259"/>
      <c r="M11" s="412"/>
    </row>
    <row r="12" spans="1:13" ht="36" customHeight="1">
      <c r="A12" s="1413"/>
      <c r="B12" s="1067"/>
      <c r="C12" s="1067"/>
      <c r="D12" s="1067"/>
      <c r="E12" s="1067"/>
      <c r="F12" s="1067"/>
      <c r="G12" s="1245"/>
      <c r="H12" s="1414"/>
      <c r="I12" s="1418"/>
      <c r="J12" s="1418"/>
      <c r="K12" s="1416"/>
      <c r="L12" s="259"/>
      <c r="M12" s="412"/>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worksheet>
</file>

<file path=xl/worksheets/sheet1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4" zoomScaleSheetLayoutView="100" workbookViewId="0">
      <selection activeCell="A7" sqref="A7"/>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3191</v>
      </c>
      <c r="K1" s="2082"/>
      <c r="L1" s="1772"/>
      <c r="M1" s="1905"/>
    </row>
    <row r="2" spans="1:13" ht="45.95" customHeight="1">
      <c r="A2" s="133" t="s">
        <v>240</v>
      </c>
      <c r="B2" s="1682"/>
      <c r="C2" s="1682"/>
      <c r="D2" s="134" t="s">
        <v>242</v>
      </c>
      <c r="E2" s="1706"/>
      <c r="F2" s="1706"/>
      <c r="G2" s="2057"/>
      <c r="H2" s="1706"/>
      <c r="I2" s="166" t="s">
        <v>425</v>
      </c>
      <c r="J2" s="1733" t="s">
        <v>1902</v>
      </c>
      <c r="K2" s="2093"/>
      <c r="L2" s="2093"/>
      <c r="M2" s="2094"/>
    </row>
    <row r="3" spans="1:13" ht="45.95" customHeight="1">
      <c r="A3" s="133" t="s">
        <v>247</v>
      </c>
      <c r="B3" s="2051" t="s">
        <v>3196</v>
      </c>
      <c r="C3" s="2051"/>
      <c r="D3" s="352" t="s">
        <v>249</v>
      </c>
      <c r="E3" s="353"/>
      <c r="F3" s="352" t="s">
        <v>251</v>
      </c>
      <c r="G3" s="134"/>
      <c r="H3" s="137"/>
      <c r="I3" s="166" t="s">
        <v>243</v>
      </c>
      <c r="J3" s="2058"/>
      <c r="K3" s="2029"/>
      <c r="L3" s="166" t="s">
        <v>245</v>
      </c>
      <c r="M3" s="241" t="s">
        <v>402</v>
      </c>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5.1" customHeight="1">
      <c r="A6" s="358">
        <v>42948</v>
      </c>
      <c r="B6" s="259">
        <v>29</v>
      </c>
      <c r="C6" s="259">
        <f>B6*280</f>
        <v>8120</v>
      </c>
      <c r="D6" s="259">
        <f>B6</f>
        <v>29</v>
      </c>
      <c r="E6" s="259">
        <f>C6</f>
        <v>8120</v>
      </c>
      <c r="F6" s="259"/>
      <c r="G6" s="260">
        <f>E6</f>
        <v>8120</v>
      </c>
      <c r="H6" s="261"/>
      <c r="I6" s="259"/>
      <c r="J6" s="259"/>
      <c r="K6" s="259"/>
      <c r="L6" s="259"/>
      <c r="M6" s="646"/>
    </row>
    <row r="7" spans="1:13" ht="35.1" customHeight="1">
      <c r="A7" s="358"/>
      <c r="B7" s="259"/>
      <c r="C7" s="259"/>
      <c r="D7" s="259">
        <f>D6+B7</f>
        <v>29</v>
      </c>
      <c r="E7" s="259">
        <f>E6+C7</f>
        <v>8120</v>
      </c>
      <c r="F7" s="259"/>
      <c r="G7" s="260"/>
      <c r="H7" s="261"/>
      <c r="I7" s="259"/>
      <c r="J7" s="259"/>
      <c r="K7" s="259"/>
      <c r="L7" s="259"/>
      <c r="M7" s="646"/>
    </row>
    <row r="8" spans="1:13" ht="35.1" customHeight="1">
      <c r="A8" s="358"/>
      <c r="B8" s="259"/>
      <c r="C8" s="259"/>
      <c r="D8" s="259"/>
      <c r="E8" s="259"/>
      <c r="F8" s="259"/>
      <c r="G8" s="260"/>
      <c r="H8" s="261"/>
      <c r="I8" s="259"/>
      <c r="J8" s="259"/>
      <c r="K8" s="259"/>
      <c r="L8" s="259"/>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28" spans="6:6">
      <c r="F28" s="864"/>
    </row>
    <row r="29" spans="6:6">
      <c r="F29" s="864"/>
    </row>
    <row r="30" spans="6:6">
      <c r="F30" s="864"/>
    </row>
    <row r="31" spans="6:6">
      <c r="F31" s="864"/>
    </row>
    <row r="32" spans="6:6">
      <c r="F32" s="864"/>
    </row>
    <row r="33" spans="6:6">
      <c r="F33" s="864"/>
    </row>
    <row r="34" spans="6:6">
      <c r="F34" s="864"/>
    </row>
    <row r="35" spans="6:6">
      <c r="F35" s="864"/>
    </row>
    <row r="36" spans="6:6">
      <c r="F36" s="864"/>
    </row>
    <row r="37" spans="6:6">
      <c r="F37" s="864"/>
    </row>
    <row r="38" spans="6:6">
      <c r="F38" s="864"/>
    </row>
    <row r="39" spans="6:6">
      <c r="F39" s="864"/>
    </row>
    <row r="40" spans="6:6">
      <c r="F40" s="864"/>
    </row>
    <row r="41" spans="6:6">
      <c r="F41" s="864"/>
    </row>
    <row r="42" spans="6:6">
      <c r="F42" s="864"/>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7" zoomScaleSheetLayoutView="100" workbookViewId="0">
      <selection activeCell="A8" sqref="A8"/>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3191</v>
      </c>
      <c r="K1" s="2082"/>
      <c r="L1" s="1772"/>
      <c r="M1" s="1905"/>
    </row>
    <row r="2" spans="1:13" ht="45.95" customHeight="1">
      <c r="A2" s="133" t="s">
        <v>240</v>
      </c>
      <c r="B2" s="1682" t="s">
        <v>3197</v>
      </c>
      <c r="C2" s="1682"/>
      <c r="D2" s="134" t="s">
        <v>242</v>
      </c>
      <c r="E2" s="1706"/>
      <c r="F2" s="1706"/>
      <c r="G2" s="2057"/>
      <c r="H2" s="1706"/>
      <c r="I2" s="166" t="s">
        <v>425</v>
      </c>
      <c r="J2" s="1733" t="s">
        <v>1902</v>
      </c>
      <c r="K2" s="2093"/>
      <c r="L2" s="2093"/>
      <c r="M2" s="2094"/>
    </row>
    <row r="3" spans="1:13" ht="45.95" customHeight="1">
      <c r="A3" s="133" t="s">
        <v>247</v>
      </c>
      <c r="B3" s="2051" t="s">
        <v>3198</v>
      </c>
      <c r="C3" s="2051"/>
      <c r="D3" s="352" t="s">
        <v>249</v>
      </c>
      <c r="E3" s="353"/>
      <c r="F3" s="352" t="s">
        <v>251</v>
      </c>
      <c r="G3" s="134"/>
      <c r="H3" s="137"/>
      <c r="I3" s="166" t="s">
        <v>243</v>
      </c>
      <c r="J3" s="2058"/>
      <c r="K3" s="2029"/>
      <c r="L3" s="166" t="s">
        <v>245</v>
      </c>
      <c r="M3" s="241" t="s">
        <v>402</v>
      </c>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5.1" customHeight="1">
      <c r="A6" s="358">
        <v>42917</v>
      </c>
      <c r="B6" s="259">
        <v>102</v>
      </c>
      <c r="C6" s="259">
        <f>B6*280</f>
        <v>28560</v>
      </c>
      <c r="D6" s="259">
        <f>B6</f>
        <v>102</v>
      </c>
      <c r="E6" s="259">
        <f>C6</f>
        <v>28560</v>
      </c>
      <c r="F6" s="259"/>
      <c r="G6" s="260">
        <f>E6</f>
        <v>28560</v>
      </c>
      <c r="H6" s="261"/>
      <c r="I6" s="259"/>
      <c r="J6" s="259"/>
      <c r="K6" s="259"/>
      <c r="L6" s="259">
        <f>E6-J6</f>
        <v>28560</v>
      </c>
      <c r="M6" s="646"/>
    </row>
    <row r="7" spans="1:13" ht="35.1" customHeight="1">
      <c r="A7" s="358">
        <v>42948</v>
      </c>
      <c r="B7" s="259">
        <v>0</v>
      </c>
      <c r="C7" s="259">
        <v>0</v>
      </c>
      <c r="D7" s="259">
        <f>B7+D6</f>
        <v>102</v>
      </c>
      <c r="E7" s="259">
        <f>C7+E6</f>
        <v>28560</v>
      </c>
      <c r="F7" s="259"/>
      <c r="G7" s="260"/>
      <c r="H7" s="261"/>
      <c r="I7" s="259"/>
      <c r="J7" s="259"/>
      <c r="K7" s="259"/>
      <c r="L7" s="259">
        <f>E7-J7</f>
        <v>28560</v>
      </c>
      <c r="M7" s="646"/>
    </row>
    <row r="8" spans="1:13" ht="35.1" customHeight="1">
      <c r="A8" s="358"/>
      <c r="B8" s="259"/>
      <c r="C8" s="259"/>
      <c r="D8" s="259"/>
      <c r="E8" s="259"/>
      <c r="F8" s="259"/>
      <c r="G8" s="260"/>
      <c r="H8" s="261"/>
      <c r="I8" s="259"/>
      <c r="J8" s="259"/>
      <c r="K8" s="259">
        <f>E7</f>
        <v>28560</v>
      </c>
      <c r="L8" s="259"/>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28" spans="6:6">
      <c r="F28" s="864"/>
    </row>
    <row r="29" spans="6:6">
      <c r="F29" s="864"/>
    </row>
    <row r="30" spans="6:6">
      <c r="F30" s="864"/>
    </row>
    <row r="31" spans="6:6">
      <c r="F31" s="864"/>
    </row>
    <row r="32" spans="6:6">
      <c r="F32" s="864"/>
    </row>
    <row r="33" spans="6:6">
      <c r="F33" s="864"/>
    </row>
    <row r="34" spans="6:6">
      <c r="F34" s="864"/>
    </row>
    <row r="35" spans="6:6">
      <c r="F35" s="864"/>
    </row>
    <row r="36" spans="6:6">
      <c r="F36" s="864"/>
    </row>
    <row r="37" spans="6:6">
      <c r="F37" s="864"/>
    </row>
    <row r="38" spans="6:6">
      <c r="F38" s="864"/>
    </row>
    <row r="39" spans="6:6">
      <c r="F39" s="864"/>
    </row>
    <row r="40" spans="6:6">
      <c r="F40" s="864"/>
    </row>
    <row r="41" spans="6:6">
      <c r="F41" s="864"/>
    </row>
    <row r="42" spans="6:6">
      <c r="F42" s="864"/>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4" zoomScaleSheetLayoutView="100" workbookViewId="0">
      <selection activeCell="D9" sqref="D9"/>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4.2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497"/>
      <c r="C1" s="2090"/>
      <c r="D1" s="2091"/>
      <c r="E1" s="350" t="s">
        <v>236</v>
      </c>
      <c r="F1" s="853"/>
      <c r="G1" s="854"/>
      <c r="H1" s="855"/>
      <c r="I1" s="306" t="s">
        <v>237</v>
      </c>
      <c r="J1" s="2081" t="s">
        <v>3191</v>
      </c>
      <c r="K1" s="2082"/>
      <c r="L1" s="1772"/>
      <c r="M1" s="1905"/>
    </row>
    <row r="2" spans="1:13" ht="45.95" customHeight="1">
      <c r="A2" s="133" t="s">
        <v>240</v>
      </c>
      <c r="B2" s="1682"/>
      <c r="C2" s="1682"/>
      <c r="D2" s="134" t="s">
        <v>242</v>
      </c>
      <c r="E2" s="1706"/>
      <c r="F2" s="1706"/>
      <c r="G2" s="2057"/>
      <c r="H2" s="1706"/>
      <c r="I2" s="166" t="s">
        <v>425</v>
      </c>
      <c r="J2" s="1733" t="s">
        <v>1902</v>
      </c>
      <c r="K2" s="2093"/>
      <c r="L2" s="2093"/>
      <c r="M2" s="2094"/>
    </row>
    <row r="3" spans="1:13" ht="45.95" customHeight="1">
      <c r="A3" s="133" t="s">
        <v>247</v>
      </c>
      <c r="B3" s="2051" t="s">
        <v>3199</v>
      </c>
      <c r="C3" s="2051"/>
      <c r="D3" s="352" t="s">
        <v>249</v>
      </c>
      <c r="E3" s="353"/>
      <c r="F3" s="352" t="s">
        <v>251</v>
      </c>
      <c r="G3" s="134"/>
      <c r="H3" s="137"/>
      <c r="I3" s="166" t="s">
        <v>243</v>
      </c>
      <c r="J3" s="2058"/>
      <c r="K3" s="2029"/>
      <c r="L3" s="166" t="s">
        <v>245</v>
      </c>
      <c r="M3" s="241" t="s">
        <v>402</v>
      </c>
    </row>
    <row r="4" spans="1:13" ht="98.1" customHeight="1">
      <c r="A4" s="856" t="s">
        <v>260</v>
      </c>
      <c r="B4" s="1726"/>
      <c r="C4" s="1726"/>
      <c r="D4" s="1726"/>
      <c r="E4" s="1726"/>
      <c r="F4" s="1726"/>
      <c r="G4" s="2053"/>
      <c r="H4" s="2053"/>
      <c r="I4" s="2054"/>
      <c r="J4" s="41" t="s">
        <v>565</v>
      </c>
      <c r="K4" s="15"/>
      <c r="L4" s="15" t="s">
        <v>255</v>
      </c>
      <c r="M4" s="15"/>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42795</v>
      </c>
      <c r="B6" s="259">
        <v>126</v>
      </c>
      <c r="C6" s="259">
        <v>28330</v>
      </c>
      <c r="D6" s="259">
        <f>B6</f>
        <v>126</v>
      </c>
      <c r="E6" s="259">
        <f>C6</f>
        <v>28330</v>
      </c>
      <c r="F6" s="259"/>
      <c r="G6" s="260"/>
      <c r="H6" s="261"/>
      <c r="I6" s="259"/>
      <c r="J6" s="259"/>
      <c r="K6" s="259"/>
      <c r="L6" s="259">
        <f>E6-J6</f>
        <v>28330</v>
      </c>
      <c r="M6" s="646"/>
    </row>
    <row r="7" spans="1:13" ht="35.1" customHeight="1">
      <c r="A7" s="358"/>
      <c r="B7" s="259"/>
      <c r="C7" s="259"/>
      <c r="D7" s="259">
        <f>D6+B7</f>
        <v>126</v>
      </c>
      <c r="E7" s="259">
        <f>E6+C7</f>
        <v>28330</v>
      </c>
      <c r="F7" s="259"/>
      <c r="G7" s="260"/>
      <c r="H7" s="261">
        <f>C6</f>
        <v>28330</v>
      </c>
      <c r="I7" s="259"/>
      <c r="J7" s="259"/>
      <c r="K7" s="259">
        <f>K6+H7-I7</f>
        <v>28330</v>
      </c>
      <c r="L7" s="259">
        <f>E7-J7</f>
        <v>28330</v>
      </c>
      <c r="M7" s="647"/>
    </row>
    <row r="8" spans="1:13" ht="35.1" customHeight="1">
      <c r="A8" s="358"/>
      <c r="B8" s="259"/>
      <c r="C8" s="259"/>
      <c r="D8" s="259">
        <f>D7+B8</f>
        <v>126</v>
      </c>
      <c r="E8" s="259">
        <f>E7+C8</f>
        <v>28330</v>
      </c>
      <c r="F8" s="259"/>
      <c r="G8" s="260"/>
      <c r="H8" s="261">
        <f>C7</f>
        <v>0</v>
      </c>
      <c r="I8" s="259"/>
      <c r="J8" s="259"/>
      <c r="K8" s="259">
        <f>K7+H8-I8</f>
        <v>28330</v>
      </c>
      <c r="L8" s="259"/>
      <c r="M8" s="646"/>
    </row>
    <row r="9" spans="1:13" ht="35.1" customHeight="1">
      <c r="A9" s="358"/>
      <c r="B9" s="259"/>
      <c r="C9" s="259"/>
      <c r="D9" s="259"/>
      <c r="E9" s="259"/>
      <c r="F9" s="259"/>
      <c r="G9" s="260"/>
      <c r="H9" s="261"/>
      <c r="I9" s="259"/>
      <c r="J9" s="259"/>
      <c r="K9" s="259"/>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B4:F4"/>
    <mergeCell ref="G4:I4"/>
    <mergeCell ref="C1:D1"/>
    <mergeCell ref="J1:K1"/>
    <mergeCell ref="L1:M1"/>
    <mergeCell ref="B2:C2"/>
    <mergeCell ref="E2:H2"/>
    <mergeCell ref="J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6"/>
  <sheetViews>
    <sheetView topLeftCell="A7" zoomScaleSheetLayoutView="100" workbookViewId="0">
      <selection activeCell="A10" sqref="A10"/>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c r="C1" s="2043" t="s">
        <v>1388</v>
      </c>
      <c r="D1" s="2037"/>
      <c r="E1" s="350" t="s">
        <v>236</v>
      </c>
      <c r="F1" s="853"/>
      <c r="G1" s="854"/>
      <c r="H1" s="855"/>
      <c r="I1" s="306" t="s">
        <v>237</v>
      </c>
      <c r="J1" s="1772" t="s">
        <v>3200</v>
      </c>
      <c r="K1" s="1774"/>
      <c r="L1" s="1772"/>
      <c r="M1" s="1905"/>
    </row>
    <row r="2" spans="1:13" ht="45.95" customHeight="1">
      <c r="A2" s="133" t="s">
        <v>240</v>
      </c>
      <c r="B2" s="1682" t="s">
        <v>529</v>
      </c>
      <c r="C2" s="1682"/>
      <c r="D2" s="134" t="s">
        <v>242</v>
      </c>
      <c r="E2" s="1706"/>
      <c r="F2" s="1706"/>
      <c r="G2" s="2057"/>
      <c r="H2" s="1706"/>
      <c r="I2" s="166" t="s">
        <v>243</v>
      </c>
      <c r="J2" s="2058"/>
      <c r="K2" s="2029"/>
      <c r="L2" s="166" t="s">
        <v>245</v>
      </c>
      <c r="M2" s="205"/>
    </row>
    <row r="3" spans="1:13" ht="45.95" customHeight="1">
      <c r="A3" s="133" t="s">
        <v>247</v>
      </c>
      <c r="B3" s="2051" t="s">
        <v>3201</v>
      </c>
      <c r="C3" s="2051"/>
      <c r="D3" s="352" t="s">
        <v>249</v>
      </c>
      <c r="E3" s="353"/>
      <c r="F3" s="352" t="s">
        <v>251</v>
      </c>
      <c r="G3" s="134"/>
      <c r="H3" s="134" t="s">
        <v>252</v>
      </c>
      <c r="I3" s="206"/>
      <c r="J3" s="41" t="s">
        <v>565</v>
      </c>
      <c r="K3" s="15"/>
      <c r="L3" s="15" t="s">
        <v>255</v>
      </c>
      <c r="M3" s="92"/>
    </row>
    <row r="4" spans="1:13" ht="98.1" customHeight="1">
      <c r="A4" s="856" t="s">
        <v>260</v>
      </c>
      <c r="B4" s="1726"/>
      <c r="C4" s="1726"/>
      <c r="D4" s="1726"/>
      <c r="E4" s="1726"/>
      <c r="F4" s="1726"/>
      <c r="G4" s="2053"/>
      <c r="H4" s="2053"/>
      <c r="I4" s="2054"/>
      <c r="J4" s="2055"/>
      <c r="K4" s="2055"/>
      <c r="L4" s="862"/>
      <c r="M4" s="863"/>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42430</v>
      </c>
      <c r="B6" s="259">
        <v>1282</v>
      </c>
      <c r="C6" s="259">
        <v>392010</v>
      </c>
      <c r="D6" s="259">
        <f>B6</f>
        <v>1282</v>
      </c>
      <c r="E6" s="259">
        <f>C6</f>
        <v>392010</v>
      </c>
      <c r="F6" s="259"/>
      <c r="G6" s="260"/>
      <c r="H6" s="261"/>
      <c r="I6" s="259"/>
      <c r="J6" s="259"/>
      <c r="K6" s="259"/>
      <c r="L6" s="259">
        <f>E6-J6</f>
        <v>392010</v>
      </c>
      <c r="M6" s="646"/>
    </row>
    <row r="7" spans="1:13" ht="35.1" customHeight="1">
      <c r="A7" s="358">
        <v>42826</v>
      </c>
      <c r="B7" s="259">
        <v>208</v>
      </c>
      <c r="C7" s="259">
        <v>58330</v>
      </c>
      <c r="D7" s="259">
        <f t="shared" ref="D7:E9" si="0">B7+D6</f>
        <v>1490</v>
      </c>
      <c r="E7" s="259">
        <f t="shared" si="0"/>
        <v>450340</v>
      </c>
      <c r="F7" s="259"/>
      <c r="G7" s="260"/>
      <c r="H7" s="261">
        <f>C6</f>
        <v>392010</v>
      </c>
      <c r="I7" s="261"/>
      <c r="J7" s="259">
        <f>I7</f>
        <v>0</v>
      </c>
      <c r="K7" s="259">
        <f>K6+H7-I7</f>
        <v>392010</v>
      </c>
      <c r="L7" s="259">
        <f>E7-J7</f>
        <v>450340</v>
      </c>
      <c r="M7" s="646" t="s">
        <v>3202</v>
      </c>
    </row>
    <row r="8" spans="1:13" ht="35.1" customHeight="1">
      <c r="A8" s="358">
        <v>42856</v>
      </c>
      <c r="B8" s="259">
        <v>0</v>
      </c>
      <c r="C8" s="259">
        <v>0</v>
      </c>
      <c r="D8" s="259">
        <f t="shared" si="0"/>
        <v>1490</v>
      </c>
      <c r="E8" s="259">
        <f t="shared" si="0"/>
        <v>450340</v>
      </c>
      <c r="F8" s="259"/>
      <c r="G8" s="260"/>
      <c r="H8" s="261">
        <f>C7</f>
        <v>58330</v>
      </c>
      <c r="I8" s="261">
        <v>392010</v>
      </c>
      <c r="J8" s="259">
        <f>J7+I8</f>
        <v>392010</v>
      </c>
      <c r="K8" s="259">
        <f>K7+H8-I8</f>
        <v>58330</v>
      </c>
      <c r="L8" s="259">
        <f>E8-J8</f>
        <v>58330</v>
      </c>
      <c r="M8" s="646" t="s">
        <v>3203</v>
      </c>
    </row>
    <row r="9" spans="1:13" ht="35.1" customHeight="1">
      <c r="A9" s="358">
        <v>42887</v>
      </c>
      <c r="B9" s="259">
        <v>0</v>
      </c>
      <c r="C9" s="259">
        <v>0</v>
      </c>
      <c r="D9" s="259">
        <f t="shared" si="0"/>
        <v>1490</v>
      </c>
      <c r="E9" s="259">
        <f t="shared" si="0"/>
        <v>450340</v>
      </c>
      <c r="F9" s="259"/>
      <c r="G9" s="260"/>
      <c r="H9" s="261">
        <f>C8</f>
        <v>0</v>
      </c>
      <c r="I9" s="259">
        <v>58330</v>
      </c>
      <c r="J9" s="259">
        <f>J8+I9</f>
        <v>450340</v>
      </c>
      <c r="K9" s="259">
        <f>K8+H9-I9</f>
        <v>0</v>
      </c>
      <c r="L9" s="259">
        <f>E9-J9</f>
        <v>0</v>
      </c>
      <c r="M9" s="646"/>
    </row>
    <row r="10" spans="1:13" ht="35.1" customHeight="1">
      <c r="A10" s="358"/>
      <c r="B10" s="259"/>
      <c r="C10" s="259"/>
      <c r="D10" s="259"/>
      <c r="E10" s="259"/>
      <c r="F10" s="259"/>
      <c r="G10" s="260"/>
      <c r="H10" s="261"/>
      <c r="I10" s="259"/>
      <c r="J10" s="259"/>
      <c r="K10" s="259">
        <f>K9+H10-I10</f>
        <v>0</v>
      </c>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L1:M1"/>
    <mergeCell ref="B2:C2"/>
    <mergeCell ref="E2:H2"/>
    <mergeCell ref="J2:K2"/>
    <mergeCell ref="B3:C3"/>
    <mergeCell ref="B4:F4"/>
    <mergeCell ref="G4:I4"/>
    <mergeCell ref="J4:K4"/>
    <mergeCell ref="C1:D1"/>
    <mergeCell ref="J1:K1"/>
  </mergeCells>
  <phoneticPr fontId="84" type="noConversion"/>
  <pageMargins left="0.75" right="0.75" top="1" bottom="1" header="0.51" footer="0.51"/>
  <pageSetup paperSize="9" orientation="portrait" horizontalDpi="200" verticalDpi="200"/>
  <headerFooter scaleWithDoc="0" alignWithMargins="0"/>
</worksheet>
</file>

<file path=xl/worksheets/sheet1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6"/>
  <sheetViews>
    <sheetView topLeftCell="A4" zoomScaleSheetLayoutView="100" workbookViewId="0">
      <selection activeCell="A9" sqref="A9"/>
    </sheetView>
  </sheetViews>
  <sheetFormatPr defaultColWidth="9" defaultRowHeight="14.25"/>
  <cols>
    <col min="1" max="1" width="13.875" customWidth="1"/>
    <col min="2" max="2" width="16.625" customWidth="1"/>
    <col min="3" max="3" width="14.5" customWidth="1"/>
    <col min="4" max="4" width="12.625" customWidth="1"/>
    <col min="5" max="5" width="14" customWidth="1"/>
    <col min="6" max="6" width="11.5" customWidth="1"/>
    <col min="7" max="7" width="14.125" customWidth="1"/>
    <col min="8" max="8" width="14.375" customWidth="1"/>
    <col min="9" max="9" width="13" customWidth="1"/>
    <col min="10" max="10" width="13.75" customWidth="1"/>
    <col min="11" max="12" width="12.875" customWidth="1"/>
    <col min="13" max="13" width="30.75" customWidth="1"/>
  </cols>
  <sheetData>
    <row r="1" spans="1:13" ht="111.95" customHeight="1">
      <c r="A1" s="349" t="s">
        <v>556</v>
      </c>
      <c r="B1" s="852"/>
      <c r="C1" s="2043" t="s">
        <v>1388</v>
      </c>
      <c r="D1" s="2037"/>
      <c r="E1" s="350" t="s">
        <v>236</v>
      </c>
      <c r="F1" s="853"/>
      <c r="G1" s="854"/>
      <c r="H1" s="855"/>
      <c r="I1" s="306" t="s">
        <v>237</v>
      </c>
      <c r="J1" s="1772" t="s">
        <v>3204</v>
      </c>
      <c r="K1" s="1774"/>
      <c r="L1" s="1772"/>
      <c r="M1" s="1905"/>
    </row>
    <row r="2" spans="1:13" ht="45.95" customHeight="1">
      <c r="A2" s="133" t="s">
        <v>240</v>
      </c>
      <c r="B2" s="1682"/>
      <c r="C2" s="1682"/>
      <c r="D2" s="134" t="s">
        <v>242</v>
      </c>
      <c r="E2" s="1706"/>
      <c r="F2" s="1706"/>
      <c r="G2" s="2057"/>
      <c r="H2" s="1706"/>
      <c r="I2" s="166" t="s">
        <v>243</v>
      </c>
      <c r="J2" s="2058"/>
      <c r="K2" s="2029"/>
      <c r="L2" s="166" t="s">
        <v>245</v>
      </c>
      <c r="M2" s="205"/>
    </row>
    <row r="3" spans="1:13" ht="45.95" customHeight="1">
      <c r="A3" s="133" t="s">
        <v>247</v>
      </c>
      <c r="B3" s="2051" t="s">
        <v>3205</v>
      </c>
      <c r="C3" s="2051"/>
      <c r="D3" s="352" t="s">
        <v>249</v>
      </c>
      <c r="E3" s="353"/>
      <c r="F3" s="352" t="s">
        <v>251</v>
      </c>
      <c r="G3" s="134"/>
      <c r="H3" s="134" t="s">
        <v>252</v>
      </c>
      <c r="I3" s="206"/>
      <c r="J3" s="41" t="s">
        <v>565</v>
      </c>
      <c r="K3" s="15"/>
      <c r="L3" s="15" t="s">
        <v>255</v>
      </c>
      <c r="M3" s="92"/>
    </row>
    <row r="4" spans="1:13" ht="98.1" customHeight="1">
      <c r="A4" s="856" t="s">
        <v>260</v>
      </c>
      <c r="B4" s="1726"/>
      <c r="C4" s="1726"/>
      <c r="D4" s="1726"/>
      <c r="E4" s="1726"/>
      <c r="F4" s="1726"/>
      <c r="G4" s="2053"/>
      <c r="H4" s="2053"/>
      <c r="I4" s="2054"/>
      <c r="J4" s="2055"/>
      <c r="K4" s="2055"/>
      <c r="L4" s="862"/>
      <c r="M4" s="863"/>
    </row>
    <row r="5" spans="1:13" ht="42.75">
      <c r="A5" s="858" t="s">
        <v>266</v>
      </c>
      <c r="B5" s="859" t="s">
        <v>267</v>
      </c>
      <c r="C5" s="859" t="s">
        <v>268</v>
      </c>
      <c r="D5" s="859" t="s">
        <v>269</v>
      </c>
      <c r="E5" s="859" t="s">
        <v>270</v>
      </c>
      <c r="F5" s="859" t="s">
        <v>271</v>
      </c>
      <c r="G5" s="21" t="s">
        <v>272</v>
      </c>
      <c r="H5" s="22" t="s">
        <v>273</v>
      </c>
      <c r="I5" s="20" t="s">
        <v>274</v>
      </c>
      <c r="J5" s="70" t="s">
        <v>275</v>
      </c>
      <c r="K5" s="70" t="s">
        <v>276</v>
      </c>
      <c r="L5" s="20" t="s">
        <v>277</v>
      </c>
      <c r="M5" s="417" t="s">
        <v>278</v>
      </c>
    </row>
    <row r="6" spans="1:13" ht="33.950000000000003" customHeight="1">
      <c r="A6" s="358">
        <v>42795</v>
      </c>
      <c r="B6" s="259">
        <v>56.5</v>
      </c>
      <c r="C6" s="259">
        <v>16060</v>
      </c>
      <c r="D6" s="259">
        <f>B6</f>
        <v>56.5</v>
      </c>
      <c r="E6" s="259">
        <f>C6</f>
        <v>16060</v>
      </c>
      <c r="F6" s="259"/>
      <c r="G6" s="260"/>
      <c r="H6" s="261"/>
      <c r="I6" s="259"/>
      <c r="J6" s="259"/>
      <c r="K6" s="259">
        <f>E6</f>
        <v>16060</v>
      </c>
      <c r="L6" s="259">
        <f>E6-J6</f>
        <v>16060</v>
      </c>
      <c r="M6" s="646"/>
    </row>
    <row r="7" spans="1:13" ht="35.1" customHeight="1">
      <c r="A7" s="358">
        <v>42826</v>
      </c>
      <c r="B7" s="259">
        <v>0</v>
      </c>
      <c r="C7" s="259">
        <v>0</v>
      </c>
      <c r="D7" s="259">
        <f>B7+D6</f>
        <v>56.5</v>
      </c>
      <c r="E7" s="259">
        <f>C7+E6</f>
        <v>16060</v>
      </c>
      <c r="F7" s="259"/>
      <c r="G7" s="260"/>
      <c r="H7" s="261"/>
      <c r="I7" s="261"/>
      <c r="J7" s="259"/>
      <c r="K7" s="259">
        <f>E7</f>
        <v>16060</v>
      </c>
      <c r="L7" s="259">
        <f>E7-J7</f>
        <v>16060</v>
      </c>
      <c r="M7" s="646"/>
    </row>
    <row r="8" spans="1:13" ht="35.1" customHeight="1">
      <c r="A8" s="358">
        <v>42948</v>
      </c>
      <c r="B8" s="259">
        <v>0</v>
      </c>
      <c r="C8" s="259">
        <v>0</v>
      </c>
      <c r="D8" s="259">
        <f>B8+D7</f>
        <v>56.5</v>
      </c>
      <c r="E8" s="259">
        <f>C8+E7</f>
        <v>16060</v>
      </c>
      <c r="F8" s="259"/>
      <c r="G8" s="260"/>
      <c r="H8" s="261"/>
      <c r="I8" s="261">
        <v>16060</v>
      </c>
      <c r="J8" s="259">
        <f>I8</f>
        <v>16060</v>
      </c>
      <c r="K8" s="259">
        <f>E8</f>
        <v>16060</v>
      </c>
      <c r="L8" s="259">
        <f>E8-J8</f>
        <v>0</v>
      </c>
      <c r="M8" s="646" t="s">
        <v>3206</v>
      </c>
    </row>
    <row r="9" spans="1:13" ht="35.1" customHeight="1">
      <c r="A9" s="358"/>
      <c r="B9" s="259"/>
      <c r="C9" s="259"/>
      <c r="D9" s="259"/>
      <c r="E9" s="259"/>
      <c r="F9" s="259"/>
      <c r="G9" s="260"/>
      <c r="H9" s="261"/>
      <c r="I9" s="259"/>
      <c r="J9" s="259"/>
      <c r="K9" s="259">
        <f>E8</f>
        <v>16060</v>
      </c>
      <c r="L9" s="259"/>
      <c r="M9" s="646"/>
    </row>
    <row r="10" spans="1:13" ht="35.1" customHeight="1">
      <c r="A10" s="358"/>
      <c r="B10" s="259"/>
      <c r="C10" s="259"/>
      <c r="D10" s="259"/>
      <c r="E10" s="259"/>
      <c r="F10" s="259"/>
      <c r="G10" s="260"/>
      <c r="H10" s="261"/>
      <c r="I10" s="259"/>
      <c r="J10" s="259"/>
      <c r="K10" s="259"/>
      <c r="L10" s="259"/>
      <c r="M10" s="646"/>
    </row>
    <row r="11" spans="1:13" ht="35.1" customHeight="1">
      <c r="A11" s="358"/>
      <c r="B11" s="259"/>
      <c r="C11" s="259"/>
      <c r="D11" s="259"/>
      <c r="E11" s="259"/>
      <c r="F11" s="259"/>
      <c r="G11" s="260"/>
      <c r="H11" s="261"/>
      <c r="I11" s="259"/>
      <c r="J11" s="259"/>
      <c r="K11" s="259"/>
      <c r="L11" s="259"/>
      <c r="M11" s="646"/>
    </row>
    <row r="12" spans="1:13" ht="35.1" customHeight="1">
      <c r="A12" s="358"/>
      <c r="B12" s="259"/>
      <c r="C12" s="259"/>
      <c r="D12" s="259"/>
      <c r="E12" s="259"/>
      <c r="F12" s="259"/>
      <c r="G12" s="260"/>
      <c r="H12" s="261"/>
      <c r="I12" s="259"/>
      <c r="J12" s="259"/>
      <c r="K12" s="259"/>
      <c r="L12" s="259"/>
      <c r="M12" s="646"/>
    </row>
    <row r="13" spans="1:13" ht="35.1" customHeight="1">
      <c r="A13" s="358"/>
      <c r="B13" s="259"/>
      <c r="C13" s="259"/>
      <c r="D13" s="259"/>
      <c r="E13" s="259"/>
      <c r="F13" s="259"/>
      <c r="G13" s="260"/>
      <c r="H13" s="261"/>
      <c r="I13" s="259"/>
      <c r="J13" s="259"/>
      <c r="K13" s="259"/>
      <c r="L13" s="259"/>
      <c r="M13" s="646"/>
    </row>
    <row r="14" spans="1:13" ht="35.1" customHeight="1">
      <c r="A14" s="358"/>
      <c r="B14" s="259"/>
      <c r="C14" s="259"/>
      <c r="D14" s="259"/>
      <c r="E14" s="259"/>
      <c r="F14" s="259"/>
      <c r="G14" s="260"/>
      <c r="H14" s="261"/>
      <c r="I14" s="259"/>
      <c r="J14" s="259"/>
      <c r="K14" s="259"/>
      <c r="L14" s="259"/>
      <c r="M14" s="646"/>
    </row>
    <row r="15" spans="1:13" ht="35.1" customHeight="1">
      <c r="A15" s="358"/>
      <c r="B15" s="259"/>
      <c r="C15" s="259"/>
      <c r="D15" s="259"/>
      <c r="E15" s="259"/>
      <c r="F15" s="259"/>
      <c r="G15" s="260"/>
      <c r="H15" s="261"/>
      <c r="I15" s="259"/>
      <c r="J15" s="259"/>
      <c r="K15" s="259"/>
      <c r="L15" s="259"/>
      <c r="M15" s="646"/>
    </row>
    <row r="16" spans="1:13" ht="35.1" customHeight="1">
      <c r="A16" s="358"/>
      <c r="B16" s="259"/>
      <c r="C16" s="259"/>
      <c r="D16" s="259"/>
      <c r="E16" s="259"/>
      <c r="F16" s="259"/>
      <c r="G16" s="260"/>
      <c r="H16" s="261"/>
      <c r="I16" s="259"/>
      <c r="J16" s="259"/>
      <c r="K16" s="259"/>
      <c r="L16" s="259"/>
      <c r="M16" s="646"/>
    </row>
  </sheetData>
  <mergeCells count="10">
    <mergeCell ref="L1:M1"/>
    <mergeCell ref="B2:C2"/>
    <mergeCell ref="E2:H2"/>
    <mergeCell ref="J2:K2"/>
    <mergeCell ref="B3:C3"/>
    <mergeCell ref="B4:F4"/>
    <mergeCell ref="G4:I4"/>
    <mergeCell ref="J4:K4"/>
    <mergeCell ref="C1:D1"/>
    <mergeCell ref="J1:K1"/>
  </mergeCells>
  <phoneticPr fontId="84" type="noConversion"/>
  <pageMargins left="0.75" right="0.75" top="1" bottom="1" header="0.51" footer="0.51"/>
  <pageSetup paperSize="9" orientation="portrait" horizontalDpi="200" verticalDpi="200"/>
  <headerFooter scaleWithDoc="0" alignWithMargins="0"/>
</worksheet>
</file>

<file path=xl/worksheets/sheet1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99"/>
  <sheetViews>
    <sheetView topLeftCell="A46" zoomScaleSheetLayoutView="100" workbookViewId="0">
      <selection activeCell="A57" sqref="A57:O99"/>
    </sheetView>
  </sheetViews>
  <sheetFormatPr defaultColWidth="9" defaultRowHeight="14.25"/>
  <cols>
    <col min="1" max="1" width="14.25" customWidth="1"/>
    <col min="2" max="2" width="15.625" customWidth="1"/>
    <col min="3" max="3" width="15.875" customWidth="1"/>
    <col min="4" max="4" width="16" customWidth="1"/>
    <col min="5" max="5" width="15.5" customWidth="1"/>
    <col min="6" max="6" width="12.25" customWidth="1"/>
    <col min="7" max="7" width="13.25" customWidth="1"/>
    <col min="8" max="8" width="17.375" customWidth="1"/>
    <col min="9" max="9" width="16.375" customWidth="1"/>
    <col min="10" max="10" width="17.75" customWidth="1"/>
    <col min="11" max="11" width="18.125" customWidth="1"/>
    <col min="12" max="12" width="16.75" customWidth="1"/>
    <col min="13" max="13" width="39.5" customWidth="1"/>
    <col min="14" max="14" width="15.25" customWidth="1"/>
    <col min="15" max="15" width="29.75" customWidth="1"/>
    <col min="17" max="17" width="31.5" customWidth="1"/>
    <col min="19" max="19" width="29.5" customWidth="1"/>
  </cols>
  <sheetData>
    <row r="1" spans="1:21" ht="78" customHeight="1">
      <c r="A1" s="130" t="s">
        <v>556</v>
      </c>
      <c r="B1" s="131"/>
      <c r="C1" s="132" t="s">
        <v>3207</v>
      </c>
      <c r="D1" s="131" t="s">
        <v>236</v>
      </c>
      <c r="E1" s="2095" t="s">
        <v>3208</v>
      </c>
      <c r="F1" s="2095"/>
      <c r="G1" s="2095"/>
      <c r="H1" s="2095"/>
      <c r="I1" s="164" t="s">
        <v>560</v>
      </c>
      <c r="J1" s="1701" t="s">
        <v>3209</v>
      </c>
      <c r="K1" s="1701"/>
      <c r="L1" s="1701"/>
      <c r="M1" s="165"/>
      <c r="N1" s="759"/>
      <c r="O1" s="759"/>
      <c r="P1" s="759"/>
      <c r="Q1" s="759"/>
      <c r="R1" s="759"/>
      <c r="S1" s="759"/>
      <c r="T1" s="759"/>
      <c r="U1" s="759"/>
    </row>
    <row r="2" spans="1:21" ht="36.950000000000003" customHeight="1">
      <c r="A2" s="133" t="s">
        <v>240</v>
      </c>
      <c r="B2" s="1682" t="s">
        <v>3210</v>
      </c>
      <c r="C2" s="1682"/>
      <c r="D2" s="134" t="s">
        <v>242</v>
      </c>
      <c r="E2" s="1689" t="s">
        <v>3211</v>
      </c>
      <c r="F2" s="1689"/>
      <c r="G2" s="1689"/>
      <c r="H2" s="1689"/>
      <c r="I2" s="166" t="s">
        <v>243</v>
      </c>
      <c r="J2" s="166" t="s">
        <v>321</v>
      </c>
      <c r="K2" s="310" t="s">
        <v>421</v>
      </c>
      <c r="L2" s="166" t="s">
        <v>245</v>
      </c>
      <c r="M2" s="167" t="s">
        <v>3212</v>
      </c>
      <c r="N2" s="759"/>
      <c r="O2" s="759"/>
      <c r="P2" s="759"/>
      <c r="Q2" s="759"/>
      <c r="R2" s="759"/>
      <c r="S2" s="759"/>
      <c r="T2" s="759"/>
      <c r="U2" s="759"/>
    </row>
    <row r="3" spans="1:21" ht="30.95" customHeight="1">
      <c r="A3" s="133" t="s">
        <v>247</v>
      </c>
      <c r="B3" s="1682" t="s">
        <v>3213</v>
      </c>
      <c r="C3" s="1682"/>
      <c r="D3" s="134" t="s">
        <v>249</v>
      </c>
      <c r="E3" s="136" t="s">
        <v>323</v>
      </c>
      <c r="F3" s="134" t="s">
        <v>251</v>
      </c>
      <c r="G3" s="134"/>
      <c r="H3" s="134" t="s">
        <v>252</v>
      </c>
      <c r="I3" s="134"/>
      <c r="J3" s="15" t="s">
        <v>565</v>
      </c>
      <c r="K3" s="15" t="s">
        <v>3214</v>
      </c>
      <c r="L3" s="15" t="s">
        <v>255</v>
      </c>
      <c r="M3" s="207"/>
      <c r="N3" s="760"/>
      <c r="O3" s="760"/>
      <c r="P3" s="760"/>
      <c r="Q3" s="760"/>
      <c r="R3" s="760"/>
      <c r="S3" s="760"/>
      <c r="T3" s="760"/>
      <c r="U3" s="760"/>
    </row>
    <row r="4" spans="1:21" ht="45.95" customHeight="1">
      <c r="A4" s="133" t="s">
        <v>260</v>
      </c>
      <c r="B4" s="1726" t="s">
        <v>3215</v>
      </c>
      <c r="C4" s="1726"/>
      <c r="D4" s="1726"/>
      <c r="E4" s="1726"/>
      <c r="F4" s="1726"/>
      <c r="G4" s="1726"/>
      <c r="H4" s="1726"/>
      <c r="I4" s="1726"/>
      <c r="J4" s="1697"/>
      <c r="K4" s="1697"/>
      <c r="L4" s="1697"/>
      <c r="M4" s="1846"/>
      <c r="N4" s="760"/>
      <c r="O4" s="760"/>
      <c r="P4" s="760"/>
      <c r="Q4" s="760"/>
      <c r="R4" s="760"/>
      <c r="S4" s="760"/>
      <c r="T4" s="760"/>
      <c r="U4" s="760"/>
    </row>
    <row r="5" spans="1:21" ht="33" customHeight="1">
      <c r="A5" s="1688" t="s">
        <v>660</v>
      </c>
      <c r="B5" s="1689"/>
      <c r="C5" s="1689"/>
      <c r="D5" s="1690"/>
      <c r="E5" s="1690"/>
      <c r="F5" s="1690"/>
      <c r="G5" s="1690"/>
      <c r="H5" s="1690"/>
      <c r="I5" s="1690"/>
      <c r="J5" s="169"/>
      <c r="K5" s="169"/>
      <c r="L5" s="169"/>
      <c r="M5" s="264"/>
      <c r="N5" s="760"/>
      <c r="O5" s="824"/>
      <c r="P5" s="824"/>
      <c r="Q5" s="824"/>
      <c r="R5" s="824"/>
      <c r="S5" s="824"/>
      <c r="T5" s="824"/>
      <c r="U5" s="824"/>
    </row>
    <row r="6" spans="1:21"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761"/>
      <c r="O6" s="825"/>
      <c r="P6" s="2096"/>
      <c r="Q6" s="2096"/>
      <c r="R6" s="2096"/>
      <c r="S6" s="2096"/>
      <c r="T6" s="2096"/>
      <c r="U6" s="2096"/>
    </row>
    <row r="7" spans="1:21" ht="27" customHeight="1">
      <c r="A7" s="816" t="s">
        <v>3216</v>
      </c>
      <c r="B7" s="817">
        <v>5846.5</v>
      </c>
      <c r="C7" s="817">
        <v>1875693.5</v>
      </c>
      <c r="D7" s="140">
        <f>B7</f>
        <v>5846.5</v>
      </c>
      <c r="E7" s="140">
        <f>C7</f>
        <v>1875693.5</v>
      </c>
      <c r="F7" s="140"/>
      <c r="G7" s="46">
        <f>C7</f>
        <v>1875693.5</v>
      </c>
      <c r="H7" s="141"/>
      <c r="I7" s="140"/>
      <c r="J7" s="140"/>
      <c r="K7" s="140"/>
      <c r="L7" s="140">
        <f t="shared" ref="L7:L53" si="0">E7-J7</f>
        <v>1875693.5</v>
      </c>
      <c r="M7" s="171"/>
      <c r="N7" s="762"/>
      <c r="O7" s="825"/>
      <c r="P7" s="762"/>
      <c r="Q7" s="762"/>
      <c r="R7" s="762"/>
      <c r="S7" s="762"/>
      <c r="T7" s="762"/>
      <c r="U7" s="282"/>
    </row>
    <row r="8" spans="1:21" ht="27" customHeight="1">
      <c r="A8" s="816" t="s">
        <v>3217</v>
      </c>
      <c r="B8" s="817">
        <v>8890</v>
      </c>
      <c r="C8" s="818">
        <v>3018729</v>
      </c>
      <c r="D8" s="140">
        <f t="shared" ref="D8:D53" si="1">D7+B8</f>
        <v>14736.5</v>
      </c>
      <c r="E8" s="140">
        <f t="shared" ref="E8:E53" si="2">E7+C8</f>
        <v>4894422.5</v>
      </c>
      <c r="F8" s="140"/>
      <c r="G8" s="46">
        <f t="shared" ref="G8:G34" si="3">C8+E7*0.15</f>
        <v>3300083.0249999999</v>
      </c>
      <c r="H8" s="141"/>
      <c r="I8" s="140"/>
      <c r="J8" s="140"/>
      <c r="K8" s="140">
        <f t="shared" ref="K8:K54" si="4">K7+H8-I8</f>
        <v>0</v>
      </c>
      <c r="L8" s="140">
        <f t="shared" si="0"/>
        <v>4894422.5</v>
      </c>
      <c r="M8" s="730"/>
      <c r="N8" s="762"/>
      <c r="O8" s="825"/>
      <c r="P8" s="762"/>
      <c r="Q8" s="762"/>
      <c r="R8" s="762"/>
      <c r="S8" s="762"/>
      <c r="T8" s="762"/>
      <c r="U8" s="282"/>
    </row>
    <row r="9" spans="1:21" ht="27" customHeight="1">
      <c r="A9" s="816" t="s">
        <v>3218</v>
      </c>
      <c r="B9" s="817">
        <v>9351</v>
      </c>
      <c r="C9" s="818">
        <v>2964459</v>
      </c>
      <c r="D9" s="140">
        <f t="shared" si="1"/>
        <v>24087.5</v>
      </c>
      <c r="E9" s="140">
        <f t="shared" si="2"/>
        <v>7858881.5</v>
      </c>
      <c r="F9" s="140"/>
      <c r="G9" s="46">
        <f t="shared" si="3"/>
        <v>3698622.375</v>
      </c>
      <c r="H9" s="141">
        <f t="shared" ref="H9:H35" si="5">C7*0.85</f>
        <v>1594339.4749999999</v>
      </c>
      <c r="I9" s="140"/>
      <c r="J9" s="140"/>
      <c r="K9" s="140">
        <f t="shared" si="4"/>
        <v>1594339.4749999999</v>
      </c>
      <c r="L9" s="140">
        <f t="shared" si="0"/>
        <v>7858881.5</v>
      </c>
      <c r="M9" s="730"/>
      <c r="N9" s="762"/>
      <c r="O9" s="826" t="s">
        <v>3219</v>
      </c>
      <c r="P9" s="762"/>
      <c r="Q9" s="838" t="s">
        <v>3220</v>
      </c>
      <c r="R9" s="762"/>
      <c r="S9" s="839" t="s">
        <v>3221</v>
      </c>
      <c r="T9" s="762"/>
      <c r="U9" s="282"/>
    </row>
    <row r="10" spans="1:21" ht="27" customHeight="1">
      <c r="A10" s="816" t="s">
        <v>3222</v>
      </c>
      <c r="B10" s="817">
        <v>7033.5</v>
      </c>
      <c r="C10" s="818">
        <v>2194083.5</v>
      </c>
      <c r="D10" s="140">
        <f t="shared" si="1"/>
        <v>31121</v>
      </c>
      <c r="E10" s="140">
        <f t="shared" si="2"/>
        <v>10052965</v>
      </c>
      <c r="F10" s="140"/>
      <c r="G10" s="46">
        <f t="shared" si="3"/>
        <v>3372915.7249999996</v>
      </c>
      <c r="H10" s="141">
        <f t="shared" si="5"/>
        <v>2565919.65</v>
      </c>
      <c r="I10" s="140"/>
      <c r="J10" s="140"/>
      <c r="K10" s="140">
        <f t="shared" si="4"/>
        <v>4160259.125</v>
      </c>
      <c r="L10" s="140">
        <f t="shared" si="0"/>
        <v>10052965</v>
      </c>
      <c r="M10" s="730" t="s">
        <v>3223</v>
      </c>
      <c r="N10" s="762"/>
      <c r="O10" s="826" t="s">
        <v>3224</v>
      </c>
      <c r="P10" s="762"/>
      <c r="Q10" s="838" t="s">
        <v>3225</v>
      </c>
      <c r="R10" s="762"/>
      <c r="S10" s="839" t="s">
        <v>3226</v>
      </c>
      <c r="T10" s="762"/>
      <c r="U10" s="282"/>
    </row>
    <row r="11" spans="1:21" ht="27" customHeight="1">
      <c r="A11" s="816" t="s">
        <v>3227</v>
      </c>
      <c r="B11" s="817">
        <v>4077</v>
      </c>
      <c r="C11" s="817">
        <v>1393859.5</v>
      </c>
      <c r="D11" s="140">
        <f t="shared" si="1"/>
        <v>35198</v>
      </c>
      <c r="E11" s="140">
        <f t="shared" si="2"/>
        <v>11446824.5</v>
      </c>
      <c r="F11" s="140"/>
      <c r="G11" s="46">
        <f t="shared" si="3"/>
        <v>2901804.25</v>
      </c>
      <c r="H11" s="141">
        <f t="shared" si="5"/>
        <v>2519790.15</v>
      </c>
      <c r="I11" s="200">
        <v>4500000</v>
      </c>
      <c r="J11" s="140">
        <f t="shared" ref="J11:J53" si="6">J10+I11</f>
        <v>4500000</v>
      </c>
      <c r="K11" s="140">
        <f t="shared" si="4"/>
        <v>2180049.2750000004</v>
      </c>
      <c r="L11" s="140">
        <f t="shared" si="0"/>
        <v>6946824.5</v>
      </c>
      <c r="M11" s="827" t="s">
        <v>3228</v>
      </c>
      <c r="N11" s="762"/>
      <c r="O11" s="826" t="s">
        <v>3229</v>
      </c>
      <c r="P11" s="762"/>
      <c r="Q11" s="840"/>
      <c r="R11" s="762"/>
      <c r="S11" s="829"/>
      <c r="T11" s="762"/>
      <c r="U11" s="282"/>
    </row>
    <row r="12" spans="1:21" ht="27" customHeight="1">
      <c r="A12" s="816" t="s">
        <v>3230</v>
      </c>
      <c r="B12" s="817">
        <v>3670</v>
      </c>
      <c r="C12" s="817">
        <v>1183228</v>
      </c>
      <c r="D12" s="140">
        <f t="shared" si="1"/>
        <v>38868</v>
      </c>
      <c r="E12" s="140">
        <f t="shared" si="2"/>
        <v>12630052.5</v>
      </c>
      <c r="F12" s="140"/>
      <c r="G12" s="46">
        <f t="shared" si="3"/>
        <v>2900251.6749999998</v>
      </c>
      <c r="H12" s="141">
        <f t="shared" si="5"/>
        <v>1864970.9749999999</v>
      </c>
      <c r="I12" s="200">
        <v>693702.5</v>
      </c>
      <c r="J12" s="140">
        <f t="shared" si="6"/>
        <v>5193702.5</v>
      </c>
      <c r="K12" s="140">
        <f t="shared" si="4"/>
        <v>3351317.75</v>
      </c>
      <c r="L12" s="140">
        <f t="shared" si="0"/>
        <v>7436350</v>
      </c>
      <c r="M12" s="730" t="s">
        <v>3231</v>
      </c>
      <c r="N12" s="762"/>
      <c r="O12" s="828" t="s">
        <v>3232</v>
      </c>
      <c r="P12" s="762"/>
      <c r="Q12" s="840" t="s">
        <v>3233</v>
      </c>
      <c r="R12" s="762"/>
      <c r="S12" s="829" t="s">
        <v>3234</v>
      </c>
      <c r="T12" s="762"/>
      <c r="U12" s="282"/>
    </row>
    <row r="13" spans="1:21" ht="27" customHeight="1">
      <c r="A13" s="448" t="s">
        <v>3235</v>
      </c>
      <c r="B13" s="817">
        <v>10519</v>
      </c>
      <c r="C13" s="817">
        <v>3814866</v>
      </c>
      <c r="D13" s="140">
        <f t="shared" si="1"/>
        <v>49387</v>
      </c>
      <c r="E13" s="140">
        <f t="shared" si="2"/>
        <v>16444918.5</v>
      </c>
      <c r="F13" s="140"/>
      <c r="G13" s="46">
        <f t="shared" si="3"/>
        <v>5709373.875</v>
      </c>
      <c r="H13" s="141">
        <f t="shared" si="5"/>
        <v>1184780.575</v>
      </c>
      <c r="I13" s="200">
        <f>4820000</f>
        <v>4820000</v>
      </c>
      <c r="J13" s="140">
        <f t="shared" si="6"/>
        <v>10013702.5</v>
      </c>
      <c r="K13" s="140">
        <f t="shared" si="4"/>
        <v>-283901.67499999981</v>
      </c>
      <c r="L13" s="140">
        <f t="shared" si="0"/>
        <v>6431216</v>
      </c>
      <c r="M13" s="730" t="s">
        <v>3236</v>
      </c>
      <c r="N13" s="762"/>
      <c r="O13" s="762"/>
      <c r="P13" s="762"/>
      <c r="Q13" s="762"/>
      <c r="R13" s="762"/>
      <c r="S13" s="762"/>
      <c r="T13" s="762"/>
      <c r="U13" s="282"/>
    </row>
    <row r="14" spans="1:21" ht="27" customHeight="1">
      <c r="A14" s="816" t="s">
        <v>3237</v>
      </c>
      <c r="B14" s="817">
        <v>7701</v>
      </c>
      <c r="C14" s="818">
        <v>3151469</v>
      </c>
      <c r="D14" s="140">
        <f t="shared" si="1"/>
        <v>57088</v>
      </c>
      <c r="E14" s="140">
        <f t="shared" si="2"/>
        <v>19596387.5</v>
      </c>
      <c r="F14" s="140"/>
      <c r="G14" s="46">
        <f t="shared" si="3"/>
        <v>5618206.7750000004</v>
      </c>
      <c r="H14" s="141">
        <f t="shared" si="5"/>
        <v>1005743.7999999999</v>
      </c>
      <c r="I14" s="200">
        <v>6500000</v>
      </c>
      <c r="J14" s="140">
        <f t="shared" si="6"/>
        <v>16513702.5</v>
      </c>
      <c r="K14" s="140">
        <f t="shared" si="4"/>
        <v>-5778157.875</v>
      </c>
      <c r="L14" s="140">
        <f t="shared" si="0"/>
        <v>3082685</v>
      </c>
      <c r="M14" s="730"/>
      <c r="N14" s="762"/>
      <c r="O14" s="828" t="s">
        <v>3238</v>
      </c>
      <c r="P14" s="282"/>
      <c r="Q14" s="828" t="s">
        <v>3239</v>
      </c>
      <c r="R14" s="762"/>
      <c r="S14" s="841" t="s">
        <v>3240</v>
      </c>
      <c r="T14" s="762"/>
      <c r="U14" s="282"/>
    </row>
    <row r="15" spans="1:21" ht="27" customHeight="1">
      <c r="A15" s="448" t="s">
        <v>3241</v>
      </c>
      <c r="B15" s="47">
        <v>11683.5</v>
      </c>
      <c r="C15" s="819">
        <v>4662604</v>
      </c>
      <c r="D15" s="140">
        <f t="shared" si="1"/>
        <v>68771.5</v>
      </c>
      <c r="E15" s="140">
        <f t="shared" si="2"/>
        <v>24258991.5</v>
      </c>
      <c r="F15" s="140"/>
      <c r="G15" s="46">
        <f t="shared" si="3"/>
        <v>7602062.125</v>
      </c>
      <c r="H15" s="141">
        <f t="shared" si="5"/>
        <v>3242636.1</v>
      </c>
      <c r="I15" s="140">
        <v>0</v>
      </c>
      <c r="J15" s="140">
        <f t="shared" si="6"/>
        <v>16513702.5</v>
      </c>
      <c r="K15" s="140">
        <f t="shared" si="4"/>
        <v>-2535521.7749999999</v>
      </c>
      <c r="L15" s="140">
        <f t="shared" si="0"/>
        <v>7745289</v>
      </c>
      <c r="M15" s="730"/>
      <c r="N15" s="762"/>
      <c r="O15" s="829" t="s">
        <v>3242</v>
      </c>
      <c r="P15" s="282"/>
      <c r="Q15" s="829" t="s">
        <v>3243</v>
      </c>
      <c r="R15" s="762"/>
      <c r="S15" s="842" t="s">
        <v>3244</v>
      </c>
      <c r="T15" s="762"/>
      <c r="U15" s="282"/>
    </row>
    <row r="16" spans="1:21" ht="27" customHeight="1">
      <c r="A16" s="448" t="s">
        <v>3245</v>
      </c>
      <c r="B16" s="817">
        <v>2351</v>
      </c>
      <c r="C16" s="820">
        <v>948384</v>
      </c>
      <c r="D16" s="140">
        <f t="shared" si="1"/>
        <v>71122.5</v>
      </c>
      <c r="E16" s="140">
        <f t="shared" si="2"/>
        <v>25207375.5</v>
      </c>
      <c r="F16" s="140"/>
      <c r="G16" s="46">
        <f t="shared" si="3"/>
        <v>4587232.7249999996</v>
      </c>
      <c r="H16" s="141">
        <f t="shared" si="5"/>
        <v>2678748.65</v>
      </c>
      <c r="I16" s="140">
        <v>0</v>
      </c>
      <c r="J16" s="140">
        <f t="shared" si="6"/>
        <v>16513702.5</v>
      </c>
      <c r="K16" s="140">
        <f t="shared" si="4"/>
        <v>143226.875</v>
      </c>
      <c r="L16" s="140">
        <f t="shared" si="0"/>
        <v>8693673</v>
      </c>
      <c r="M16" s="730"/>
      <c r="N16" s="762"/>
      <c r="O16" s="830" t="s">
        <v>3246</v>
      </c>
      <c r="P16" s="282"/>
      <c r="Q16" s="830" t="s">
        <v>3246</v>
      </c>
      <c r="R16" s="762"/>
      <c r="S16" s="843" t="s">
        <v>3246</v>
      </c>
      <c r="T16" s="762"/>
      <c r="U16" s="282"/>
    </row>
    <row r="17" spans="1:21" ht="27" customHeight="1">
      <c r="A17" s="448" t="s">
        <v>3247</v>
      </c>
      <c r="B17" s="817">
        <v>10613</v>
      </c>
      <c r="C17" s="820">
        <v>4270687</v>
      </c>
      <c r="D17" s="140">
        <f t="shared" si="1"/>
        <v>81735.5</v>
      </c>
      <c r="E17" s="140">
        <f t="shared" si="2"/>
        <v>29478062.5</v>
      </c>
      <c r="F17" s="140"/>
      <c r="G17" s="46">
        <f t="shared" si="3"/>
        <v>8051793.3249999993</v>
      </c>
      <c r="H17" s="141">
        <f t="shared" si="5"/>
        <v>3963213.4</v>
      </c>
      <c r="I17" s="140">
        <v>0</v>
      </c>
      <c r="J17" s="140">
        <f t="shared" si="6"/>
        <v>16513702.5</v>
      </c>
      <c r="K17" s="140">
        <f t="shared" si="4"/>
        <v>4106440.2749999999</v>
      </c>
      <c r="L17" s="140">
        <f t="shared" si="0"/>
        <v>12964360</v>
      </c>
      <c r="M17" s="730"/>
      <c r="N17" s="762"/>
      <c r="O17" s="762"/>
      <c r="P17" s="282"/>
      <c r="Q17" s="762"/>
      <c r="R17" s="762"/>
      <c r="S17" s="762"/>
      <c r="T17" s="762"/>
      <c r="U17" s="282"/>
    </row>
    <row r="18" spans="1:21" ht="27" customHeight="1">
      <c r="A18" s="448" t="s">
        <v>3248</v>
      </c>
      <c r="B18" s="47">
        <v>1314</v>
      </c>
      <c r="C18" s="819">
        <v>196019</v>
      </c>
      <c r="D18" s="140">
        <f t="shared" si="1"/>
        <v>83049.5</v>
      </c>
      <c r="E18" s="140">
        <f t="shared" si="2"/>
        <v>29674081.5</v>
      </c>
      <c r="F18" s="140"/>
      <c r="G18" s="46">
        <f t="shared" si="3"/>
        <v>4617728.375</v>
      </c>
      <c r="H18" s="141">
        <f t="shared" si="5"/>
        <v>806126.4</v>
      </c>
      <c r="I18" s="140">
        <v>0</v>
      </c>
      <c r="J18" s="140">
        <f t="shared" si="6"/>
        <v>16513702.5</v>
      </c>
      <c r="K18" s="140">
        <f t="shared" si="4"/>
        <v>4912566.6749999998</v>
      </c>
      <c r="L18" s="140">
        <f t="shared" si="0"/>
        <v>13160379</v>
      </c>
      <c r="M18" s="730"/>
      <c r="N18" s="762"/>
      <c r="O18" s="829" t="s">
        <v>3249</v>
      </c>
      <c r="P18" s="282"/>
      <c r="Q18" s="828" t="s">
        <v>3250</v>
      </c>
      <c r="R18" s="762"/>
      <c r="S18" s="837" t="s">
        <v>3251</v>
      </c>
      <c r="T18" s="762"/>
      <c r="U18" s="282"/>
    </row>
    <row r="19" spans="1:21" ht="27" customHeight="1">
      <c r="A19" s="336">
        <v>41671</v>
      </c>
      <c r="B19" s="140">
        <v>1653</v>
      </c>
      <c r="C19" s="140">
        <v>922007</v>
      </c>
      <c r="D19" s="140">
        <f t="shared" si="1"/>
        <v>84702.5</v>
      </c>
      <c r="E19" s="140">
        <f t="shared" si="2"/>
        <v>30596088.5</v>
      </c>
      <c r="F19" s="140"/>
      <c r="G19" s="46">
        <f t="shared" si="3"/>
        <v>5373119.2249999996</v>
      </c>
      <c r="H19" s="141">
        <f t="shared" si="5"/>
        <v>3630083.9499999997</v>
      </c>
      <c r="I19" s="140">
        <v>0</v>
      </c>
      <c r="J19" s="140">
        <f t="shared" si="6"/>
        <v>16513702.5</v>
      </c>
      <c r="K19" s="140">
        <f t="shared" si="4"/>
        <v>8542650.625</v>
      </c>
      <c r="L19" s="140">
        <f t="shared" si="0"/>
        <v>14082386</v>
      </c>
      <c r="M19" s="730" t="s">
        <v>3252</v>
      </c>
      <c r="N19" s="762"/>
      <c r="O19" s="829" t="s">
        <v>3253</v>
      </c>
      <c r="P19" s="282"/>
      <c r="Q19" s="829"/>
      <c r="R19" s="762"/>
      <c r="S19" s="762"/>
      <c r="T19" s="762"/>
      <c r="U19" s="282"/>
    </row>
    <row r="20" spans="1:21" ht="27" customHeight="1">
      <c r="A20" s="336">
        <v>41699</v>
      </c>
      <c r="B20" s="140">
        <v>11047</v>
      </c>
      <c r="C20" s="140">
        <v>5089904</v>
      </c>
      <c r="D20" s="140">
        <f t="shared" si="1"/>
        <v>95749.5</v>
      </c>
      <c r="E20" s="140">
        <f t="shared" si="2"/>
        <v>35685992.5</v>
      </c>
      <c r="F20" s="140"/>
      <c r="G20" s="46">
        <f t="shared" si="3"/>
        <v>9679317.2749999985</v>
      </c>
      <c r="H20" s="141">
        <f t="shared" si="5"/>
        <v>166616.15</v>
      </c>
      <c r="I20" s="140">
        <v>4351853.3899999997</v>
      </c>
      <c r="J20" s="140">
        <f t="shared" si="6"/>
        <v>20865555.890000001</v>
      </c>
      <c r="K20" s="140">
        <f t="shared" si="4"/>
        <v>4357413.3850000007</v>
      </c>
      <c r="L20" s="140">
        <f t="shared" si="0"/>
        <v>14820436.609999999</v>
      </c>
      <c r="M20" s="730"/>
      <c r="N20" s="762"/>
      <c r="O20" s="829" t="s">
        <v>3254</v>
      </c>
      <c r="P20" s="282"/>
      <c r="Q20" s="829" t="s">
        <v>3255</v>
      </c>
      <c r="R20" s="762"/>
      <c r="S20" s="762"/>
      <c r="T20" s="762"/>
      <c r="U20" s="282"/>
    </row>
    <row r="21" spans="1:21" ht="27" customHeight="1">
      <c r="A21" s="199">
        <v>41730</v>
      </c>
      <c r="B21" s="200">
        <v>15120</v>
      </c>
      <c r="C21" s="200">
        <v>7327485</v>
      </c>
      <c r="D21" s="200">
        <f t="shared" si="1"/>
        <v>110869.5</v>
      </c>
      <c r="E21" s="200">
        <f t="shared" si="2"/>
        <v>43013477.5</v>
      </c>
      <c r="F21" s="331"/>
      <c r="G21" s="180">
        <f t="shared" si="3"/>
        <v>12680383.875</v>
      </c>
      <c r="H21" s="201">
        <f t="shared" si="5"/>
        <v>783705.95</v>
      </c>
      <c r="I21" s="200">
        <v>0</v>
      </c>
      <c r="J21" s="200">
        <f t="shared" si="6"/>
        <v>20865555.890000001</v>
      </c>
      <c r="K21" s="200">
        <f t="shared" si="4"/>
        <v>5141119.3350000009</v>
      </c>
      <c r="L21" s="200">
        <f t="shared" si="0"/>
        <v>22147921.609999999</v>
      </c>
      <c r="M21" s="827"/>
      <c r="N21" s="763"/>
      <c r="O21" s="763"/>
      <c r="P21" s="831"/>
      <c r="Q21" s="763"/>
      <c r="R21" s="763"/>
      <c r="S21" s="763"/>
      <c r="T21" s="763"/>
      <c r="U21" s="831"/>
    </row>
    <row r="22" spans="1:21" ht="27" customHeight="1">
      <c r="A22" s="202">
        <v>41760</v>
      </c>
      <c r="B22" s="200">
        <v>12331</v>
      </c>
      <c r="C22" s="200">
        <v>5079191.5</v>
      </c>
      <c r="D22" s="200">
        <f t="shared" si="1"/>
        <v>123200.5</v>
      </c>
      <c r="E22" s="200">
        <f t="shared" si="2"/>
        <v>48092669</v>
      </c>
      <c r="F22" s="331"/>
      <c r="G22" s="180">
        <f t="shared" si="3"/>
        <v>11531213.125</v>
      </c>
      <c r="H22" s="201">
        <f t="shared" si="5"/>
        <v>4326418.3999999994</v>
      </c>
      <c r="I22" s="200">
        <f>261790.7+8100000+8243023.7+395185.6</f>
        <v>17000000</v>
      </c>
      <c r="J22" s="200">
        <f t="shared" si="6"/>
        <v>37865555.890000001</v>
      </c>
      <c r="K22" s="200">
        <f t="shared" si="4"/>
        <v>-7532462.2650000006</v>
      </c>
      <c r="L22" s="200">
        <f t="shared" si="0"/>
        <v>10227113.109999999</v>
      </c>
      <c r="M22" s="832" t="s">
        <v>3256</v>
      </c>
      <c r="N22" s="763"/>
      <c r="O22" s="763"/>
      <c r="P22" s="831"/>
      <c r="Q22" s="763"/>
      <c r="R22" s="763"/>
      <c r="S22" s="763"/>
      <c r="T22" s="763"/>
      <c r="U22" s="831"/>
    </row>
    <row r="23" spans="1:21" ht="27" customHeight="1">
      <c r="A23" s="202">
        <v>41791</v>
      </c>
      <c r="B23" s="200">
        <v>14707</v>
      </c>
      <c r="C23" s="200">
        <v>6135763</v>
      </c>
      <c r="D23" s="200">
        <f t="shared" si="1"/>
        <v>137907.5</v>
      </c>
      <c r="E23" s="200">
        <f t="shared" si="2"/>
        <v>54228432</v>
      </c>
      <c r="F23" s="331"/>
      <c r="G23" s="180">
        <f t="shared" si="3"/>
        <v>13349663.35</v>
      </c>
      <c r="H23" s="201">
        <f t="shared" si="5"/>
        <v>6228362.25</v>
      </c>
      <c r="I23" s="200">
        <v>0</v>
      </c>
      <c r="J23" s="200">
        <f t="shared" si="6"/>
        <v>37865555.890000001</v>
      </c>
      <c r="K23" s="200">
        <f t="shared" si="4"/>
        <v>-1304100.0150000006</v>
      </c>
      <c r="L23" s="200">
        <f t="shared" si="0"/>
        <v>16362876.109999999</v>
      </c>
      <c r="M23" s="827"/>
      <c r="N23" s="763"/>
      <c r="O23" s="763"/>
      <c r="P23" s="831"/>
      <c r="Q23" s="763"/>
      <c r="R23" s="763"/>
      <c r="S23" s="763"/>
      <c r="T23" s="763"/>
      <c r="U23" s="831"/>
    </row>
    <row r="24" spans="1:21" ht="27" customHeight="1">
      <c r="A24" s="202">
        <v>41821</v>
      </c>
      <c r="B24" s="200">
        <f>13091</f>
        <v>13091</v>
      </c>
      <c r="C24" s="200">
        <f>5393826.5</f>
        <v>5393826.5</v>
      </c>
      <c r="D24" s="200">
        <f t="shared" si="1"/>
        <v>150998.5</v>
      </c>
      <c r="E24" s="200">
        <f t="shared" si="2"/>
        <v>59622258.5</v>
      </c>
      <c r="F24" s="331"/>
      <c r="G24" s="180">
        <f t="shared" si="3"/>
        <v>13528091.300000001</v>
      </c>
      <c r="H24" s="201">
        <f t="shared" si="5"/>
        <v>4317312.7749999994</v>
      </c>
      <c r="I24" s="200">
        <v>0</v>
      </c>
      <c r="J24" s="200">
        <f t="shared" si="6"/>
        <v>37865555.890000001</v>
      </c>
      <c r="K24" s="200">
        <f t="shared" si="4"/>
        <v>3013212.7599999988</v>
      </c>
      <c r="L24" s="200">
        <f t="shared" si="0"/>
        <v>21756702.609999999</v>
      </c>
      <c r="M24" s="827"/>
      <c r="N24" s="763"/>
      <c r="O24" s="763"/>
      <c r="P24" s="831"/>
      <c r="Q24" s="763"/>
      <c r="R24" s="763"/>
      <c r="S24" s="763"/>
      <c r="T24" s="763"/>
      <c r="U24" s="831"/>
    </row>
    <row r="25" spans="1:21" ht="27" customHeight="1">
      <c r="A25" s="202">
        <v>41852</v>
      </c>
      <c r="B25" s="338">
        <v>13508.5</v>
      </c>
      <c r="C25" s="338">
        <v>5351222</v>
      </c>
      <c r="D25" s="200">
        <f t="shared" si="1"/>
        <v>164507</v>
      </c>
      <c r="E25" s="200">
        <f t="shared" si="2"/>
        <v>64973480.5</v>
      </c>
      <c r="F25" s="331"/>
      <c r="G25" s="180">
        <f t="shared" si="3"/>
        <v>14294560.775</v>
      </c>
      <c r="H25" s="201">
        <f t="shared" si="5"/>
        <v>5215398.55</v>
      </c>
      <c r="I25" s="338"/>
      <c r="J25" s="200">
        <f t="shared" si="6"/>
        <v>37865555.890000001</v>
      </c>
      <c r="K25" s="200">
        <f t="shared" si="4"/>
        <v>8228611.3099999987</v>
      </c>
      <c r="L25" s="200">
        <f t="shared" si="0"/>
        <v>27107924.609999999</v>
      </c>
      <c r="M25" s="833"/>
      <c r="N25" s="763"/>
      <c r="O25" s="763"/>
      <c r="P25" s="831"/>
      <c r="Q25" s="763"/>
      <c r="R25" s="763"/>
      <c r="S25" s="763"/>
      <c r="T25" s="763"/>
      <c r="U25" s="831"/>
    </row>
    <row r="26" spans="1:21" ht="27" customHeight="1">
      <c r="A26" s="202">
        <v>41883</v>
      </c>
      <c r="B26" s="338">
        <v>13074</v>
      </c>
      <c r="C26" s="338">
        <v>5038701</v>
      </c>
      <c r="D26" s="200">
        <f t="shared" si="1"/>
        <v>177581</v>
      </c>
      <c r="E26" s="200">
        <f t="shared" si="2"/>
        <v>70012181.5</v>
      </c>
      <c r="F26" s="331"/>
      <c r="G26" s="180">
        <f t="shared" si="3"/>
        <v>14784723.074999999</v>
      </c>
      <c r="H26" s="201">
        <f t="shared" si="5"/>
        <v>4584752.5249999994</v>
      </c>
      <c r="I26" s="338">
        <f>3500000+2500000+4000000</f>
        <v>10000000</v>
      </c>
      <c r="J26" s="200">
        <f t="shared" si="6"/>
        <v>47865555.890000001</v>
      </c>
      <c r="K26" s="200">
        <f t="shared" si="4"/>
        <v>2813363.8349999972</v>
      </c>
      <c r="L26" s="213">
        <f t="shared" si="0"/>
        <v>22146625.609999999</v>
      </c>
      <c r="M26" s="733" t="s">
        <v>3257</v>
      </c>
      <c r="N26" s="834"/>
      <c r="O26" s="763"/>
      <c r="P26" s="831"/>
      <c r="Q26" s="763"/>
      <c r="R26" s="763"/>
      <c r="S26" s="763"/>
      <c r="T26" s="763"/>
      <c r="U26" s="831"/>
    </row>
    <row r="27" spans="1:21" ht="27" customHeight="1">
      <c r="A27" s="202">
        <v>41913</v>
      </c>
      <c r="B27" s="338">
        <v>15724</v>
      </c>
      <c r="C27" s="338">
        <v>6072934</v>
      </c>
      <c r="D27" s="200">
        <f t="shared" si="1"/>
        <v>193305</v>
      </c>
      <c r="E27" s="200">
        <f t="shared" si="2"/>
        <v>76085115.5</v>
      </c>
      <c r="F27" s="331"/>
      <c r="G27" s="180">
        <f t="shared" si="3"/>
        <v>16574761.225</v>
      </c>
      <c r="H27" s="201">
        <f t="shared" si="5"/>
        <v>4548538.7</v>
      </c>
      <c r="I27" s="835">
        <v>7576590</v>
      </c>
      <c r="J27" s="200">
        <f t="shared" si="6"/>
        <v>55442145.890000001</v>
      </c>
      <c r="K27" s="200">
        <f t="shared" si="4"/>
        <v>-214687.46500000264</v>
      </c>
      <c r="L27" s="213">
        <f t="shared" si="0"/>
        <v>20642969.609999999</v>
      </c>
      <c r="M27" s="836" t="s">
        <v>3258</v>
      </c>
      <c r="N27" s="763"/>
      <c r="O27" s="763"/>
      <c r="P27" s="831"/>
      <c r="Q27" s="763"/>
      <c r="R27" s="763"/>
      <c r="S27" s="763"/>
      <c r="T27" s="763"/>
      <c r="U27" s="831"/>
    </row>
    <row r="28" spans="1:21" ht="27" customHeight="1">
      <c r="A28" s="202">
        <v>41944</v>
      </c>
      <c r="B28" s="338">
        <v>12631</v>
      </c>
      <c r="C28" s="338">
        <v>4699542.5</v>
      </c>
      <c r="D28" s="200">
        <f t="shared" si="1"/>
        <v>205936</v>
      </c>
      <c r="E28" s="200">
        <f t="shared" si="2"/>
        <v>80784658</v>
      </c>
      <c r="F28" s="331"/>
      <c r="G28" s="180">
        <f t="shared" si="3"/>
        <v>16112309.824999999</v>
      </c>
      <c r="H28" s="201">
        <f t="shared" si="5"/>
        <v>4282895.8499999996</v>
      </c>
      <c r="I28" s="835"/>
      <c r="J28" s="200">
        <f t="shared" si="6"/>
        <v>55442145.890000001</v>
      </c>
      <c r="K28" s="200">
        <f t="shared" si="4"/>
        <v>4068208.384999997</v>
      </c>
      <c r="L28" s="213">
        <f t="shared" si="0"/>
        <v>25342512.109999999</v>
      </c>
      <c r="M28" s="836"/>
      <c r="N28" s="763"/>
      <c r="O28" s="763"/>
      <c r="P28" s="831"/>
      <c r="Q28" s="763"/>
      <c r="R28" s="763"/>
      <c r="S28" s="763"/>
      <c r="T28" s="763"/>
      <c r="U28" s="831"/>
    </row>
    <row r="29" spans="1:21" ht="27" customHeight="1">
      <c r="A29" s="202">
        <v>41974</v>
      </c>
      <c r="B29" s="338">
        <v>12616.5</v>
      </c>
      <c r="C29" s="338">
        <v>4646320</v>
      </c>
      <c r="D29" s="200">
        <f t="shared" si="1"/>
        <v>218552.5</v>
      </c>
      <c r="E29" s="200">
        <f t="shared" si="2"/>
        <v>85430978</v>
      </c>
      <c r="F29" s="331"/>
      <c r="G29" s="180">
        <f t="shared" si="3"/>
        <v>16764018.699999999</v>
      </c>
      <c r="H29" s="201">
        <f t="shared" si="5"/>
        <v>5161993.8999999994</v>
      </c>
      <c r="I29" s="835">
        <f>1022344+3605933.5+423410</f>
        <v>5051687.5</v>
      </c>
      <c r="J29" s="200">
        <f t="shared" si="6"/>
        <v>60493833.390000001</v>
      </c>
      <c r="K29" s="200">
        <f t="shared" si="4"/>
        <v>4178514.7849999964</v>
      </c>
      <c r="L29" s="213">
        <f t="shared" si="0"/>
        <v>24937144.609999999</v>
      </c>
      <c r="M29" s="836" t="s">
        <v>3259</v>
      </c>
      <c r="N29" s="762"/>
      <c r="O29" s="763"/>
      <c r="P29" s="831"/>
      <c r="Q29" s="763"/>
      <c r="R29" s="763"/>
      <c r="S29" s="763"/>
      <c r="T29" s="763"/>
      <c r="U29" s="831"/>
    </row>
    <row r="30" spans="1:21" ht="27" customHeight="1">
      <c r="A30" s="339">
        <v>42005</v>
      </c>
      <c r="B30" s="338">
        <v>10252.5</v>
      </c>
      <c r="C30" s="338">
        <v>3703765.5</v>
      </c>
      <c r="D30" s="200">
        <f t="shared" si="1"/>
        <v>228805</v>
      </c>
      <c r="E30" s="200">
        <f t="shared" si="2"/>
        <v>89134743.5</v>
      </c>
      <c r="F30" s="338"/>
      <c r="G30" s="180">
        <f t="shared" si="3"/>
        <v>16518412.199999999</v>
      </c>
      <c r="H30" s="201">
        <f t="shared" si="5"/>
        <v>3994611.125</v>
      </c>
      <c r="I30" s="338">
        <v>5800000</v>
      </c>
      <c r="J30" s="200">
        <f t="shared" si="6"/>
        <v>66293833.390000001</v>
      </c>
      <c r="K30" s="200">
        <f t="shared" si="4"/>
        <v>2373125.9099999964</v>
      </c>
      <c r="L30" s="213">
        <f t="shared" si="0"/>
        <v>22840910.109999999</v>
      </c>
      <c r="M30" s="836" t="s">
        <v>3260</v>
      </c>
      <c r="N30" s="837"/>
      <c r="O30" s="763"/>
      <c r="P30" s="831"/>
      <c r="Q30" s="763"/>
      <c r="R30" s="763"/>
      <c r="S30" s="763"/>
      <c r="T30" s="763"/>
      <c r="U30" s="831"/>
    </row>
    <row r="31" spans="1:21" ht="27" customHeight="1">
      <c r="A31" s="339">
        <v>42037</v>
      </c>
      <c r="B31" s="338">
        <v>2707</v>
      </c>
      <c r="C31" s="338">
        <v>895447</v>
      </c>
      <c r="D31" s="200">
        <f t="shared" si="1"/>
        <v>231512</v>
      </c>
      <c r="E31" s="200">
        <f t="shared" si="2"/>
        <v>90030190.5</v>
      </c>
      <c r="F31" s="338"/>
      <c r="G31" s="180">
        <f t="shared" si="3"/>
        <v>14265658.525</v>
      </c>
      <c r="H31" s="201">
        <f t="shared" si="5"/>
        <v>3949372</v>
      </c>
      <c r="I31" s="338">
        <v>3000000</v>
      </c>
      <c r="J31" s="200">
        <f t="shared" si="6"/>
        <v>69293833.390000001</v>
      </c>
      <c r="K31" s="200">
        <f t="shared" si="4"/>
        <v>3322497.9099999964</v>
      </c>
      <c r="L31" s="213">
        <f t="shared" si="0"/>
        <v>20736357.109999999</v>
      </c>
      <c r="M31" s="836" t="s">
        <v>3261</v>
      </c>
      <c r="N31" s="762"/>
      <c r="O31" s="763"/>
      <c r="P31" s="831"/>
      <c r="Q31" s="763"/>
      <c r="R31" s="763"/>
      <c r="S31" s="763"/>
      <c r="T31" s="763"/>
      <c r="U31" s="831"/>
    </row>
    <row r="32" spans="1:21" ht="27" customHeight="1">
      <c r="A32" s="339">
        <v>42069</v>
      </c>
      <c r="B32" s="338">
        <v>5090.5</v>
      </c>
      <c r="C32" s="338">
        <v>1807683</v>
      </c>
      <c r="D32" s="200">
        <f t="shared" si="1"/>
        <v>236602.5</v>
      </c>
      <c r="E32" s="200">
        <f t="shared" si="2"/>
        <v>91837873.5</v>
      </c>
      <c r="F32" s="338"/>
      <c r="G32" s="180">
        <f t="shared" si="3"/>
        <v>15312211.574999999</v>
      </c>
      <c r="H32" s="201">
        <f t="shared" si="5"/>
        <v>3148200.6749999998</v>
      </c>
      <c r="I32" s="338"/>
      <c r="J32" s="200">
        <f t="shared" si="6"/>
        <v>69293833.390000001</v>
      </c>
      <c r="K32" s="200">
        <f t="shared" si="4"/>
        <v>6470698.5849999962</v>
      </c>
      <c r="L32" s="213">
        <f t="shared" si="0"/>
        <v>22544040.109999999</v>
      </c>
      <c r="M32" s="836"/>
      <c r="N32" s="763"/>
      <c r="O32" s="763"/>
      <c r="P32" s="375"/>
      <c r="Q32" s="844"/>
      <c r="R32" s="844"/>
      <c r="S32" s="844"/>
      <c r="T32" s="844"/>
      <c r="U32" s="375"/>
    </row>
    <row r="33" spans="1:21" ht="27" customHeight="1">
      <c r="A33" s="341">
        <v>42095</v>
      </c>
      <c r="B33" s="338">
        <v>6269.5</v>
      </c>
      <c r="C33" s="338">
        <v>2225434.5</v>
      </c>
      <c r="D33" s="200">
        <f t="shared" si="1"/>
        <v>242872</v>
      </c>
      <c r="E33" s="200">
        <f t="shared" si="2"/>
        <v>94063308</v>
      </c>
      <c r="F33" s="338"/>
      <c r="G33" s="180">
        <f t="shared" si="3"/>
        <v>16001115.525</v>
      </c>
      <c r="H33" s="201">
        <f t="shared" si="5"/>
        <v>761129.95</v>
      </c>
      <c r="I33" s="338">
        <f>2000000+999997</f>
        <v>2999997</v>
      </c>
      <c r="J33" s="200">
        <f t="shared" si="6"/>
        <v>72293830.390000001</v>
      </c>
      <c r="K33" s="200">
        <f t="shared" si="4"/>
        <v>4231831.5349999964</v>
      </c>
      <c r="L33" s="213">
        <f t="shared" si="0"/>
        <v>21769477.609999999</v>
      </c>
      <c r="M33" s="836" t="s">
        <v>3262</v>
      </c>
      <c r="N33" s="763"/>
      <c r="O33" s="763"/>
      <c r="P33" s="375"/>
      <c r="Q33" s="844"/>
      <c r="R33" s="844"/>
      <c r="S33" s="844"/>
      <c r="T33" s="844"/>
      <c r="U33" s="375"/>
    </row>
    <row r="34" spans="1:21" ht="30" customHeight="1">
      <c r="A34" s="341">
        <v>42125</v>
      </c>
      <c r="B34" s="821">
        <v>3369.5</v>
      </c>
      <c r="C34" s="821">
        <v>1069313</v>
      </c>
      <c r="D34" s="200">
        <f t="shared" si="1"/>
        <v>246241.5</v>
      </c>
      <c r="E34" s="200">
        <f t="shared" si="2"/>
        <v>95132621</v>
      </c>
      <c r="F34" s="338"/>
      <c r="G34" s="180">
        <f t="shared" si="3"/>
        <v>15178809.199999999</v>
      </c>
      <c r="H34" s="201">
        <f t="shared" si="5"/>
        <v>1536530.55</v>
      </c>
      <c r="I34" s="835">
        <f>2982229.1+1271890.32+6321191.68</f>
        <v>10575311.1</v>
      </c>
      <c r="J34" s="200">
        <f t="shared" si="6"/>
        <v>82869141.489999995</v>
      </c>
      <c r="K34" s="200">
        <f t="shared" si="4"/>
        <v>-4806949.0150000034</v>
      </c>
      <c r="L34" s="200">
        <f t="shared" si="0"/>
        <v>12263479.510000005</v>
      </c>
      <c r="M34" s="346" t="s">
        <v>3263</v>
      </c>
      <c r="N34" s="763"/>
      <c r="O34" s="763"/>
      <c r="P34" s="375"/>
      <c r="Q34" s="844"/>
      <c r="R34" s="844"/>
      <c r="S34" s="844"/>
      <c r="T34" s="844"/>
      <c r="U34" s="375"/>
    </row>
    <row r="35" spans="1:21" ht="36" customHeight="1">
      <c r="A35" s="341">
        <v>42156</v>
      </c>
      <c r="B35" s="338">
        <v>927</v>
      </c>
      <c r="C35" s="338">
        <v>331517</v>
      </c>
      <c r="D35" s="200">
        <f t="shared" si="1"/>
        <v>247168.5</v>
      </c>
      <c r="E35" s="200">
        <f t="shared" si="2"/>
        <v>95464138</v>
      </c>
      <c r="F35" s="338"/>
      <c r="G35" s="180">
        <f>E34*0.15*2/3</f>
        <v>9513262.0999999996</v>
      </c>
      <c r="H35" s="201">
        <f t="shared" si="5"/>
        <v>1891619.325</v>
      </c>
      <c r="I35" s="338">
        <v>5318265</v>
      </c>
      <c r="J35" s="200">
        <f t="shared" si="6"/>
        <v>88187406.489999995</v>
      </c>
      <c r="K35" s="200">
        <f t="shared" si="4"/>
        <v>-8233594.6900000032</v>
      </c>
      <c r="L35" s="200">
        <f t="shared" si="0"/>
        <v>7276731.5100000054</v>
      </c>
      <c r="M35" s="732" t="s">
        <v>3264</v>
      </c>
      <c r="N35" s="763"/>
      <c r="O35" s="763"/>
      <c r="P35" s="375"/>
      <c r="Q35" s="844"/>
      <c r="R35" s="844"/>
      <c r="S35" s="844"/>
      <c r="T35" s="844"/>
      <c r="U35" s="375"/>
    </row>
    <row r="36" spans="1:21" ht="27" customHeight="1">
      <c r="A36" s="341">
        <v>42186</v>
      </c>
      <c r="B36" s="338">
        <v>920</v>
      </c>
      <c r="C36" s="338">
        <v>322490</v>
      </c>
      <c r="D36" s="200">
        <f t="shared" si="1"/>
        <v>248088.5</v>
      </c>
      <c r="E36" s="200">
        <f t="shared" si="2"/>
        <v>95786628</v>
      </c>
      <c r="F36" s="338"/>
      <c r="G36" s="180">
        <f>E35*0.15*2/3</f>
        <v>9546413.7999999989</v>
      </c>
      <c r="H36" s="201">
        <f>E34*0.15*1/3+C34</f>
        <v>5825944.0499999998</v>
      </c>
      <c r="I36" s="338">
        <v>806172.5</v>
      </c>
      <c r="J36" s="200">
        <f t="shared" si="6"/>
        <v>88993578.989999995</v>
      </c>
      <c r="K36" s="200">
        <f t="shared" si="4"/>
        <v>-3213823.1400000034</v>
      </c>
      <c r="L36" s="200">
        <f t="shared" si="0"/>
        <v>6793049.0100000054</v>
      </c>
      <c r="M36" s="732" t="s">
        <v>3265</v>
      </c>
      <c r="N36" s="763"/>
      <c r="O36" s="763"/>
      <c r="P36" s="375"/>
      <c r="Q36" s="844"/>
      <c r="R36" s="844"/>
      <c r="S36" s="844"/>
      <c r="T36" s="844"/>
      <c r="U36" s="375"/>
    </row>
    <row r="37" spans="1:21" ht="27" customHeight="1">
      <c r="A37" s="341">
        <v>42217</v>
      </c>
      <c r="B37" s="338">
        <v>454</v>
      </c>
      <c r="C37" s="338">
        <v>159364</v>
      </c>
      <c r="D37" s="200">
        <f t="shared" si="1"/>
        <v>248542.5</v>
      </c>
      <c r="E37" s="200">
        <f t="shared" si="2"/>
        <v>95945992</v>
      </c>
      <c r="F37" s="338"/>
      <c r="G37" s="180">
        <f>E35*0.15*1/3</f>
        <v>4773206.8999999994</v>
      </c>
      <c r="H37" s="201">
        <f>E34*0.15*1/3+C35</f>
        <v>5088148.05</v>
      </c>
      <c r="I37" s="338">
        <f>713905+4000000</f>
        <v>4713905</v>
      </c>
      <c r="J37" s="200">
        <f t="shared" si="6"/>
        <v>93707483.989999995</v>
      </c>
      <c r="K37" s="200">
        <f t="shared" si="4"/>
        <v>-2839580.0900000036</v>
      </c>
      <c r="L37" s="200">
        <f t="shared" si="0"/>
        <v>2238508.0100000054</v>
      </c>
      <c r="M37" s="732" t="s">
        <v>3266</v>
      </c>
      <c r="N37" s="763"/>
      <c r="O37" s="763"/>
      <c r="P37" s="375"/>
      <c r="Q37" s="844"/>
      <c r="R37" s="844"/>
      <c r="S37" s="844"/>
      <c r="T37" s="844"/>
      <c r="U37" s="375"/>
    </row>
    <row r="38" spans="1:21" ht="27" customHeight="1">
      <c r="A38" s="341">
        <v>42248</v>
      </c>
      <c r="B38" s="338">
        <v>571.5</v>
      </c>
      <c r="C38" s="338">
        <v>188227</v>
      </c>
      <c r="D38" s="200">
        <f t="shared" si="1"/>
        <v>249114</v>
      </c>
      <c r="E38" s="200">
        <f t="shared" si="2"/>
        <v>96134219</v>
      </c>
      <c r="F38" s="338"/>
      <c r="G38" s="180"/>
      <c r="H38" s="201">
        <f>E34*0.15*1/3+C36</f>
        <v>5079121.05</v>
      </c>
      <c r="I38" s="338"/>
      <c r="J38" s="200">
        <f t="shared" si="6"/>
        <v>93707483.989999995</v>
      </c>
      <c r="K38" s="200">
        <f t="shared" si="4"/>
        <v>2239540.9599999962</v>
      </c>
      <c r="L38" s="200">
        <f t="shared" si="0"/>
        <v>2426735.0100000054</v>
      </c>
      <c r="M38" s="732"/>
      <c r="N38" s="763"/>
      <c r="O38" s="763"/>
      <c r="P38" s="375"/>
      <c r="Q38" s="844"/>
      <c r="R38" s="844"/>
      <c r="S38" s="844"/>
      <c r="T38" s="844"/>
      <c r="U38" s="375"/>
    </row>
    <row r="39" spans="1:21" ht="27" customHeight="1">
      <c r="A39" s="341">
        <v>42279</v>
      </c>
      <c r="B39" s="200">
        <v>845</v>
      </c>
      <c r="C39" s="200">
        <v>279739</v>
      </c>
      <c r="D39" s="200">
        <f t="shared" si="1"/>
        <v>249959</v>
      </c>
      <c r="E39" s="200">
        <f t="shared" si="2"/>
        <v>96413958</v>
      </c>
      <c r="F39" s="338"/>
      <c r="G39" s="340"/>
      <c r="H39" s="776">
        <f t="shared" ref="H39:H54" si="7">C38</f>
        <v>188227</v>
      </c>
      <c r="I39" s="338">
        <v>1010050</v>
      </c>
      <c r="J39" s="200">
        <f t="shared" si="6"/>
        <v>94717533.989999995</v>
      </c>
      <c r="K39" s="200">
        <f t="shared" si="4"/>
        <v>1417717.9599999962</v>
      </c>
      <c r="L39" s="200">
        <f t="shared" si="0"/>
        <v>1696424.0100000054</v>
      </c>
      <c r="M39" s="732" t="s">
        <v>3267</v>
      </c>
      <c r="N39" s="763"/>
      <c r="O39" s="763"/>
      <c r="P39" s="375"/>
      <c r="Q39" s="844"/>
      <c r="R39" s="844"/>
      <c r="S39" s="844"/>
      <c r="T39" s="844"/>
      <c r="U39" s="375"/>
    </row>
    <row r="40" spans="1:21" ht="27" customHeight="1">
      <c r="A40" s="822">
        <v>42309</v>
      </c>
      <c r="B40" s="480">
        <v>3511</v>
      </c>
      <c r="C40" s="480">
        <v>1167389</v>
      </c>
      <c r="D40" s="200">
        <f t="shared" si="1"/>
        <v>253470</v>
      </c>
      <c r="E40" s="200">
        <f t="shared" si="2"/>
        <v>97581347</v>
      </c>
      <c r="F40" s="338"/>
      <c r="G40" s="340"/>
      <c r="H40" s="776">
        <f t="shared" si="7"/>
        <v>279739</v>
      </c>
      <c r="I40" s="338">
        <v>999999</v>
      </c>
      <c r="J40" s="200">
        <f t="shared" si="6"/>
        <v>95717532.989999995</v>
      </c>
      <c r="K40" s="200">
        <f t="shared" si="4"/>
        <v>697457.95999999624</v>
      </c>
      <c r="L40" s="200">
        <f t="shared" si="0"/>
        <v>1863814.0100000054</v>
      </c>
      <c r="M40" s="732" t="s">
        <v>3268</v>
      </c>
      <c r="N40" s="763"/>
      <c r="O40" s="763"/>
      <c r="P40" s="375"/>
      <c r="Q40" s="844"/>
      <c r="R40" s="844"/>
      <c r="S40" s="844"/>
      <c r="T40" s="844"/>
      <c r="U40" s="375"/>
    </row>
    <row r="41" spans="1:21" ht="27" customHeight="1">
      <c r="A41" s="219">
        <v>42339</v>
      </c>
      <c r="B41" s="523">
        <v>2538.5</v>
      </c>
      <c r="C41" s="823">
        <v>811368</v>
      </c>
      <c r="D41" s="200">
        <f t="shared" si="1"/>
        <v>256008.5</v>
      </c>
      <c r="E41" s="200">
        <f t="shared" si="2"/>
        <v>98392715</v>
      </c>
      <c r="F41" s="338"/>
      <c r="G41" s="340"/>
      <c r="H41" s="776">
        <f t="shared" si="7"/>
        <v>1167389</v>
      </c>
      <c r="I41" s="338"/>
      <c r="J41" s="200">
        <f t="shared" si="6"/>
        <v>95717532.989999995</v>
      </c>
      <c r="K41" s="200">
        <f t="shared" si="4"/>
        <v>1864846.9599999962</v>
      </c>
      <c r="L41" s="200">
        <f t="shared" si="0"/>
        <v>2675182.0100000054</v>
      </c>
      <c r="M41" s="732" t="s">
        <v>3269</v>
      </c>
      <c r="N41" s="763"/>
      <c r="O41" s="763"/>
      <c r="P41" s="375"/>
      <c r="Q41" s="844"/>
      <c r="R41" s="844"/>
      <c r="S41" s="844"/>
      <c r="T41" s="844"/>
      <c r="U41" s="375"/>
    </row>
    <row r="42" spans="1:21" ht="27" customHeight="1">
      <c r="A42" s="341">
        <v>42370</v>
      </c>
      <c r="B42" s="338">
        <v>541</v>
      </c>
      <c r="C42" s="338">
        <v>160055</v>
      </c>
      <c r="D42" s="200">
        <f t="shared" si="1"/>
        <v>256549.5</v>
      </c>
      <c r="E42" s="200">
        <f t="shared" si="2"/>
        <v>98552770</v>
      </c>
      <c r="F42" s="338"/>
      <c r="G42" s="340"/>
      <c r="H42" s="776">
        <f t="shared" si="7"/>
        <v>811368</v>
      </c>
      <c r="I42" s="338"/>
      <c r="J42" s="200">
        <f t="shared" si="6"/>
        <v>95717532.989999995</v>
      </c>
      <c r="K42" s="200">
        <f t="shared" si="4"/>
        <v>2676214.9599999962</v>
      </c>
      <c r="L42" s="200">
        <f t="shared" si="0"/>
        <v>2835237.0100000054</v>
      </c>
      <c r="M42" s="732"/>
      <c r="N42" s="763"/>
      <c r="O42" s="763"/>
      <c r="P42" s="375"/>
      <c r="Q42" s="844"/>
      <c r="R42" s="844"/>
      <c r="S42" s="844"/>
      <c r="T42" s="844"/>
      <c r="U42" s="375"/>
    </row>
    <row r="43" spans="1:21" ht="27" customHeight="1">
      <c r="A43" s="341">
        <v>42401</v>
      </c>
      <c r="B43" s="338">
        <v>39.5</v>
      </c>
      <c r="C43" s="338">
        <v>12117.5</v>
      </c>
      <c r="D43" s="200">
        <f t="shared" si="1"/>
        <v>256589</v>
      </c>
      <c r="E43" s="200">
        <f t="shared" si="2"/>
        <v>98564887.5</v>
      </c>
      <c r="F43" s="338"/>
      <c r="G43" s="340"/>
      <c r="H43" s="776">
        <f t="shared" si="7"/>
        <v>160055</v>
      </c>
      <c r="I43" s="338">
        <v>1661059.51</v>
      </c>
      <c r="J43" s="200">
        <f t="shared" si="6"/>
        <v>97378592.5</v>
      </c>
      <c r="K43" s="200">
        <f t="shared" si="4"/>
        <v>1175210.4499999962</v>
      </c>
      <c r="L43" s="200">
        <f t="shared" si="0"/>
        <v>1186295</v>
      </c>
      <c r="M43" s="732"/>
      <c r="N43" s="763"/>
      <c r="O43" s="763"/>
      <c r="P43" s="375"/>
      <c r="Q43" s="844"/>
      <c r="R43" s="844"/>
      <c r="S43" s="844"/>
      <c r="T43" s="844"/>
      <c r="U43" s="375"/>
    </row>
    <row r="44" spans="1:21" ht="27" customHeight="1">
      <c r="A44" s="341">
        <v>42430</v>
      </c>
      <c r="B44" s="338">
        <v>172</v>
      </c>
      <c r="C44" s="338">
        <v>52025</v>
      </c>
      <c r="D44" s="200">
        <f t="shared" si="1"/>
        <v>256761</v>
      </c>
      <c r="E44" s="200">
        <f t="shared" si="2"/>
        <v>98616912.5</v>
      </c>
      <c r="F44" s="338"/>
      <c r="G44" s="340"/>
      <c r="H44" s="776">
        <f t="shared" si="7"/>
        <v>12117.5</v>
      </c>
      <c r="I44" s="338"/>
      <c r="J44" s="200">
        <f t="shared" si="6"/>
        <v>97378592.5</v>
      </c>
      <c r="K44" s="200">
        <f t="shared" si="4"/>
        <v>1187327.9499999962</v>
      </c>
      <c r="L44" s="200">
        <f t="shared" si="0"/>
        <v>1238320</v>
      </c>
      <c r="M44" s="732"/>
      <c r="N44" s="763"/>
      <c r="O44" s="763"/>
      <c r="P44" s="375"/>
      <c r="Q44" s="844"/>
      <c r="R44" s="844"/>
      <c r="S44" s="844"/>
      <c r="T44" s="844"/>
      <c r="U44" s="375"/>
    </row>
    <row r="45" spans="1:21" ht="27" customHeight="1">
      <c r="A45" s="341">
        <v>42461</v>
      </c>
      <c r="B45" s="338">
        <v>499.5</v>
      </c>
      <c r="C45" s="338">
        <v>148292.5</v>
      </c>
      <c r="D45" s="200">
        <f t="shared" si="1"/>
        <v>257260.5</v>
      </c>
      <c r="E45" s="200">
        <f t="shared" si="2"/>
        <v>98765205</v>
      </c>
      <c r="F45" s="338"/>
      <c r="G45" s="340"/>
      <c r="H45" s="776">
        <f t="shared" si="7"/>
        <v>52025</v>
      </c>
      <c r="I45" s="338"/>
      <c r="J45" s="200">
        <f t="shared" si="6"/>
        <v>97378592.5</v>
      </c>
      <c r="K45" s="200">
        <f t="shared" si="4"/>
        <v>1239352.9499999962</v>
      </c>
      <c r="L45" s="200">
        <f t="shared" si="0"/>
        <v>1386612.5</v>
      </c>
      <c r="M45" s="732"/>
      <c r="N45" s="763"/>
      <c r="O45" s="763"/>
      <c r="P45" s="375"/>
      <c r="Q45" s="844"/>
      <c r="R45" s="844"/>
      <c r="S45" s="844"/>
      <c r="T45" s="844"/>
      <c r="U45" s="375"/>
    </row>
    <row r="46" spans="1:21" ht="27" customHeight="1">
      <c r="A46" s="341">
        <v>42491</v>
      </c>
      <c r="B46" s="338">
        <v>939</v>
      </c>
      <c r="C46" s="338">
        <v>276821</v>
      </c>
      <c r="D46" s="200">
        <f t="shared" si="1"/>
        <v>258199.5</v>
      </c>
      <c r="E46" s="200">
        <f t="shared" si="2"/>
        <v>99042026</v>
      </c>
      <c r="F46" s="338"/>
      <c r="G46" s="340"/>
      <c r="H46" s="776">
        <f t="shared" si="7"/>
        <v>148292.5</v>
      </c>
      <c r="I46" s="338"/>
      <c r="J46" s="200">
        <f t="shared" si="6"/>
        <v>97378592.5</v>
      </c>
      <c r="K46" s="200">
        <f t="shared" si="4"/>
        <v>1387645.4499999962</v>
      </c>
      <c r="L46" s="200">
        <f t="shared" si="0"/>
        <v>1663433.5</v>
      </c>
      <c r="M46" s="732"/>
      <c r="N46" s="763"/>
      <c r="O46" s="763"/>
      <c r="P46" s="375"/>
      <c r="Q46" s="844"/>
      <c r="R46" s="844"/>
      <c r="S46" s="844"/>
      <c r="T46" s="844"/>
      <c r="U46" s="375"/>
    </row>
    <row r="47" spans="1:21" ht="27" customHeight="1">
      <c r="A47" s="341">
        <v>42522</v>
      </c>
      <c r="B47" s="338">
        <v>134</v>
      </c>
      <c r="C47" s="338">
        <v>40480</v>
      </c>
      <c r="D47" s="200">
        <f t="shared" si="1"/>
        <v>258333.5</v>
      </c>
      <c r="E47" s="200">
        <f t="shared" si="2"/>
        <v>99082506</v>
      </c>
      <c r="F47" s="338"/>
      <c r="G47" s="340"/>
      <c r="H47" s="776">
        <f t="shared" si="7"/>
        <v>276821</v>
      </c>
      <c r="I47" s="338"/>
      <c r="J47" s="200">
        <f t="shared" si="6"/>
        <v>97378592.5</v>
      </c>
      <c r="K47" s="200">
        <f t="shared" si="4"/>
        <v>1664466.4499999962</v>
      </c>
      <c r="L47" s="200">
        <f t="shared" si="0"/>
        <v>1703913.5</v>
      </c>
      <c r="M47" s="732"/>
      <c r="N47" s="763"/>
      <c r="O47" s="763"/>
      <c r="P47" s="375"/>
      <c r="Q47" s="844"/>
      <c r="R47" s="844"/>
      <c r="S47" s="844"/>
      <c r="T47" s="844"/>
      <c r="U47" s="375"/>
    </row>
    <row r="48" spans="1:21" ht="27" customHeight="1">
      <c r="A48" s="341">
        <v>42552</v>
      </c>
      <c r="B48" s="338">
        <v>75</v>
      </c>
      <c r="C48" s="338">
        <v>23574</v>
      </c>
      <c r="D48" s="200">
        <f t="shared" si="1"/>
        <v>258408.5</v>
      </c>
      <c r="E48" s="200">
        <f t="shared" si="2"/>
        <v>99106080</v>
      </c>
      <c r="F48" s="338"/>
      <c r="G48" s="340"/>
      <c r="H48" s="776">
        <f t="shared" si="7"/>
        <v>40480</v>
      </c>
      <c r="I48" s="338"/>
      <c r="J48" s="200">
        <f t="shared" si="6"/>
        <v>97378592.5</v>
      </c>
      <c r="K48" s="200">
        <f t="shared" si="4"/>
        <v>1704946.4499999962</v>
      </c>
      <c r="L48" s="200">
        <f t="shared" si="0"/>
        <v>1727487.5</v>
      </c>
      <c r="M48" s="732"/>
      <c r="N48" s="763"/>
      <c r="O48" s="763"/>
      <c r="P48" s="375"/>
      <c r="Q48" s="844"/>
      <c r="R48" s="844"/>
      <c r="S48" s="844"/>
      <c r="T48" s="844"/>
      <c r="U48" s="375"/>
    </row>
    <row r="49" spans="1:21" ht="27" customHeight="1">
      <c r="A49" s="341">
        <v>42583</v>
      </c>
      <c r="B49" s="338">
        <v>300</v>
      </c>
      <c r="C49" s="338">
        <v>89580</v>
      </c>
      <c r="D49" s="200">
        <f t="shared" si="1"/>
        <v>258708.5</v>
      </c>
      <c r="E49" s="200">
        <f t="shared" si="2"/>
        <v>99195660</v>
      </c>
      <c r="F49" s="338"/>
      <c r="G49" s="340"/>
      <c r="H49" s="776">
        <f t="shared" si="7"/>
        <v>23574</v>
      </c>
      <c r="I49" s="338"/>
      <c r="J49" s="200">
        <f t="shared" si="6"/>
        <v>97378592.5</v>
      </c>
      <c r="K49" s="200">
        <f t="shared" si="4"/>
        <v>1728520.4499999962</v>
      </c>
      <c r="L49" s="200">
        <f t="shared" si="0"/>
        <v>1817067.5</v>
      </c>
      <c r="M49" s="732"/>
      <c r="N49" s="763"/>
      <c r="O49" s="763"/>
      <c r="P49" s="375"/>
      <c r="Q49" s="844"/>
      <c r="R49" s="844"/>
      <c r="S49" s="844"/>
      <c r="T49" s="844"/>
      <c r="U49" s="375"/>
    </row>
    <row r="50" spans="1:21" ht="27" customHeight="1">
      <c r="A50" s="341">
        <v>42614</v>
      </c>
      <c r="B50" s="338">
        <v>14</v>
      </c>
      <c r="C50" s="338">
        <v>43190</v>
      </c>
      <c r="D50" s="200">
        <f t="shared" si="1"/>
        <v>258722.5</v>
      </c>
      <c r="E50" s="200">
        <f t="shared" si="2"/>
        <v>99238850</v>
      </c>
      <c r="F50" s="338"/>
      <c r="G50" s="340"/>
      <c r="H50" s="776">
        <f t="shared" si="7"/>
        <v>89580</v>
      </c>
      <c r="I50" s="338">
        <v>103360.9</v>
      </c>
      <c r="J50" s="200">
        <f t="shared" si="6"/>
        <v>97481953.400000006</v>
      </c>
      <c r="K50" s="200">
        <f t="shared" si="4"/>
        <v>1714739.5499999963</v>
      </c>
      <c r="L50" s="200">
        <f t="shared" si="0"/>
        <v>1756896.599999994</v>
      </c>
      <c r="M50" s="732" t="s">
        <v>3270</v>
      </c>
      <c r="N50" s="763"/>
      <c r="O50" s="763"/>
      <c r="P50" s="375"/>
      <c r="Q50" s="844"/>
      <c r="R50" s="844"/>
      <c r="S50" s="844"/>
      <c r="T50" s="844"/>
      <c r="U50" s="375"/>
    </row>
    <row r="51" spans="1:21" ht="27" customHeight="1">
      <c r="A51" s="341">
        <v>42644</v>
      </c>
      <c r="B51" s="338">
        <v>54.5</v>
      </c>
      <c r="C51" s="338">
        <v>18045</v>
      </c>
      <c r="D51" s="200">
        <f t="shared" si="1"/>
        <v>258777</v>
      </c>
      <c r="E51" s="200">
        <f t="shared" si="2"/>
        <v>99256895</v>
      </c>
      <c r="F51" s="338"/>
      <c r="G51" s="340"/>
      <c r="H51" s="776">
        <f t="shared" si="7"/>
        <v>43190</v>
      </c>
      <c r="I51" s="338"/>
      <c r="J51" s="200">
        <f t="shared" si="6"/>
        <v>97481953.400000006</v>
      </c>
      <c r="K51" s="200">
        <f t="shared" si="4"/>
        <v>1757929.5499999963</v>
      </c>
      <c r="L51" s="200">
        <f t="shared" si="0"/>
        <v>1774941.599999994</v>
      </c>
      <c r="M51" s="732"/>
      <c r="N51" s="763"/>
      <c r="O51" s="763"/>
      <c r="P51" s="375"/>
      <c r="Q51" s="844"/>
      <c r="R51" s="844"/>
      <c r="S51" s="844"/>
      <c r="T51" s="844"/>
      <c r="U51" s="375"/>
    </row>
    <row r="52" spans="1:21" ht="27" customHeight="1">
      <c r="A52" s="341">
        <v>42675</v>
      </c>
      <c r="B52" s="338">
        <v>25</v>
      </c>
      <c r="C52" s="338">
        <v>7250</v>
      </c>
      <c r="D52" s="200">
        <f t="shared" si="1"/>
        <v>258802</v>
      </c>
      <c r="E52" s="200">
        <f t="shared" si="2"/>
        <v>99264145</v>
      </c>
      <c r="F52" s="338"/>
      <c r="G52" s="340"/>
      <c r="H52" s="776">
        <f t="shared" si="7"/>
        <v>18045</v>
      </c>
      <c r="I52" s="338"/>
      <c r="J52" s="200">
        <f t="shared" si="6"/>
        <v>97481953.400000006</v>
      </c>
      <c r="K52" s="200">
        <f t="shared" si="4"/>
        <v>1775974.5499999963</v>
      </c>
      <c r="L52" s="200">
        <f t="shared" si="0"/>
        <v>1782191.599999994</v>
      </c>
      <c r="M52" s="732"/>
      <c r="N52" s="763"/>
      <c r="O52" s="763"/>
      <c r="P52" s="375"/>
      <c r="Q52" s="844"/>
      <c r="R52" s="844"/>
      <c r="S52" s="844"/>
      <c r="T52" s="844"/>
      <c r="U52" s="375"/>
    </row>
    <row r="53" spans="1:21" ht="27" customHeight="1">
      <c r="A53" s="341">
        <v>42736</v>
      </c>
      <c r="B53" s="338">
        <v>0</v>
      </c>
      <c r="C53" s="338">
        <v>0</v>
      </c>
      <c r="D53" s="200">
        <f t="shared" si="1"/>
        <v>258802</v>
      </c>
      <c r="E53" s="200">
        <f t="shared" si="2"/>
        <v>99264145</v>
      </c>
      <c r="F53" s="338"/>
      <c r="G53" s="340"/>
      <c r="H53" s="776">
        <f t="shared" si="7"/>
        <v>7250</v>
      </c>
      <c r="I53" s="338">
        <v>1500000</v>
      </c>
      <c r="J53" s="200">
        <f t="shared" si="6"/>
        <v>98981953.400000006</v>
      </c>
      <c r="K53" s="200">
        <f t="shared" si="4"/>
        <v>283224.54999999632</v>
      </c>
      <c r="L53" s="200">
        <f t="shared" si="0"/>
        <v>282191.59999999404</v>
      </c>
      <c r="M53" s="732" t="s">
        <v>3271</v>
      </c>
      <c r="N53" s="763"/>
      <c r="O53" s="763"/>
      <c r="P53" s="375"/>
      <c r="Q53" s="844"/>
      <c r="R53" s="844"/>
      <c r="S53" s="844"/>
      <c r="T53" s="844"/>
      <c r="U53" s="375"/>
    </row>
    <row r="54" spans="1:21" ht="27" customHeight="1">
      <c r="A54" s="341"/>
      <c r="B54" s="338"/>
      <c r="C54" s="338"/>
      <c r="D54" s="338"/>
      <c r="E54" s="338"/>
      <c r="F54" s="338"/>
      <c r="G54" s="340"/>
      <c r="H54" s="776">
        <f t="shared" si="7"/>
        <v>0</v>
      </c>
      <c r="I54" s="338"/>
      <c r="J54" s="338"/>
      <c r="K54" s="200">
        <f t="shared" si="4"/>
        <v>283224.54999999632</v>
      </c>
      <c r="L54" s="338"/>
      <c r="M54" s="732"/>
      <c r="N54" s="763"/>
      <c r="O54" s="763"/>
      <c r="P54" s="375"/>
      <c r="Q54" s="844"/>
      <c r="R54" s="844"/>
      <c r="S54" s="844"/>
      <c r="T54" s="844"/>
      <c r="U54" s="375"/>
    </row>
    <row r="55" spans="1:21" ht="27" customHeight="1">
      <c r="A55" s="341"/>
      <c r="B55" s="338"/>
      <c r="C55" s="338"/>
      <c r="D55" s="338"/>
      <c r="E55" s="338"/>
      <c r="F55" s="338"/>
      <c r="G55" s="340"/>
      <c r="H55" s="776"/>
      <c r="I55" s="338"/>
      <c r="J55" s="338"/>
      <c r="K55" s="338"/>
      <c r="L55" s="338"/>
      <c r="M55" s="732"/>
      <c r="N55" s="763"/>
      <c r="O55" s="763"/>
      <c r="P55" s="375"/>
      <c r="Q55" s="844"/>
      <c r="R55" s="844"/>
      <c r="S55" s="844"/>
      <c r="T55" s="844"/>
      <c r="U55" s="375"/>
    </row>
    <row r="56" spans="1:21" ht="27" customHeight="1">
      <c r="A56" s="341"/>
      <c r="B56" s="338"/>
      <c r="C56" s="338"/>
      <c r="D56" s="338"/>
      <c r="E56" s="338"/>
      <c r="F56" s="338"/>
      <c r="G56" s="340"/>
      <c r="H56" s="776"/>
      <c r="I56" s="338"/>
      <c r="J56" s="338"/>
      <c r="K56" s="338"/>
      <c r="L56" s="338"/>
      <c r="M56" s="732"/>
      <c r="N56" s="763"/>
      <c r="O56" s="763"/>
      <c r="P56" s="375"/>
      <c r="Q56" s="844"/>
      <c r="R56" s="844"/>
      <c r="S56" s="844"/>
      <c r="T56" s="844"/>
      <c r="U56" s="375"/>
    </row>
    <row r="57" spans="1:21" ht="72" customHeight="1"/>
    <row r="58" spans="1:21" ht="39" customHeight="1"/>
    <row r="59" spans="1:21" ht="26.1" customHeight="1"/>
    <row r="60" spans="1:21" ht="39" customHeight="1"/>
    <row r="61" spans="1:21" ht="27" customHeight="1"/>
    <row r="63" spans="1:21" ht="26.1" customHeight="1"/>
    <row r="64" spans="1:21" ht="26.1" customHeight="1"/>
    <row r="65" ht="26.1" customHeight="1"/>
    <row r="66" ht="26.1" customHeight="1"/>
    <row r="67" ht="26.1" customHeight="1"/>
    <row r="68" ht="26.1" customHeight="1"/>
    <row r="69" ht="26.1" customHeight="1"/>
    <row r="70" ht="26.1" customHeight="1"/>
    <row r="71" ht="26.1" customHeight="1"/>
    <row r="72" ht="26.1" customHeight="1"/>
    <row r="73" ht="26.1" customHeight="1"/>
    <row r="74" ht="26.1" customHeight="1"/>
    <row r="75" ht="26.1" customHeight="1"/>
    <row r="76" ht="26.1" customHeight="1"/>
    <row r="77" ht="26.1" customHeight="1"/>
    <row r="78" ht="33" customHeight="1"/>
    <row r="79" ht="26.1" customHeight="1"/>
    <row r="80" ht="26.1" customHeight="1"/>
    <row r="81" ht="26.1" customHeight="1"/>
    <row r="82" ht="26.1" customHeight="1"/>
    <row r="83" ht="26.1" customHeight="1"/>
    <row r="84" ht="26.1" customHeight="1"/>
    <row r="85" ht="26.1" customHeight="1"/>
    <row r="86" ht="26.1" customHeight="1"/>
    <row r="87" ht="26.1" customHeight="1"/>
    <row r="88" ht="26.1" customHeight="1"/>
    <row r="89" ht="26.1" customHeight="1"/>
    <row r="90" ht="26.1" customHeight="1"/>
    <row r="91" ht="26.1" customHeight="1"/>
    <row r="92" ht="26.1" customHeight="1"/>
    <row r="93" ht="26.1" customHeight="1"/>
    <row r="94" ht="26.1" customHeight="1"/>
    <row r="95" ht="26.1" customHeight="1"/>
    <row r="96" ht="26.1" customHeight="1"/>
    <row r="97" ht="26.1" customHeight="1"/>
    <row r="98" ht="26.1" customHeight="1"/>
    <row r="99" ht="26.1" customHeight="1"/>
  </sheetData>
  <mergeCells count="11">
    <mergeCell ref="A5:C5"/>
    <mergeCell ref="D5:F5"/>
    <mergeCell ref="G5:I5"/>
    <mergeCell ref="P6:U6"/>
    <mergeCell ref="E1:H1"/>
    <mergeCell ref="J1:L1"/>
    <mergeCell ref="B2:C2"/>
    <mergeCell ref="E2:H2"/>
    <mergeCell ref="B3:C3"/>
    <mergeCell ref="B4:I4"/>
    <mergeCell ref="J4:M4"/>
  </mergeCells>
  <phoneticPr fontId="84" type="noConversion"/>
  <pageMargins left="0.75" right="0.75" top="1" bottom="1" header="0.51" footer="0.51"/>
  <pageSetup paperSize="9" scale="89" orientation="portrait" horizontalDpi="200" verticalDpi="200"/>
  <headerFooter scaleWithDoc="0" alignWithMargins="0"/>
  <rowBreaks count="2" manualBreakCount="2">
    <brk id="57" max="16383" man="1"/>
    <brk id="85" max="16383" man="1"/>
  </rowBreaks>
  <legacyDrawing r:id="rId1"/>
</worksheet>
</file>

<file path=xl/worksheets/sheet1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3"/>
  <sheetViews>
    <sheetView topLeftCell="A34" workbookViewId="0">
      <selection activeCell="Q16" sqref="Q16"/>
    </sheetView>
  </sheetViews>
  <sheetFormatPr defaultRowHeight="14.25"/>
  <cols>
    <col min="1" max="1" width="20.125" customWidth="1"/>
  </cols>
  <sheetData>
    <row r="1" spans="1:15" ht="15" thickTop="1">
      <c r="A1" s="130" t="s">
        <v>556</v>
      </c>
      <c r="B1" s="131"/>
      <c r="C1" s="132" t="s">
        <v>1525</v>
      </c>
      <c r="D1" s="131" t="s">
        <v>236</v>
      </c>
      <c r="E1" s="2095"/>
      <c r="F1" s="2095"/>
      <c r="G1" s="2095"/>
      <c r="H1" s="2095"/>
      <c r="I1" s="164" t="s">
        <v>560</v>
      </c>
      <c r="J1" s="1701" t="s">
        <v>3272</v>
      </c>
      <c r="K1" s="1701"/>
      <c r="L1" s="1701"/>
      <c r="M1" s="165"/>
      <c r="N1" s="759"/>
      <c r="O1" s="759"/>
    </row>
    <row r="2" spans="1:15">
      <c r="A2" s="133" t="s">
        <v>240</v>
      </c>
      <c r="B2" s="1682" t="s">
        <v>3210</v>
      </c>
      <c r="C2" s="1682"/>
      <c r="D2" s="134" t="s">
        <v>242</v>
      </c>
      <c r="E2" s="1689"/>
      <c r="F2" s="1689"/>
      <c r="G2" s="1689"/>
      <c r="H2" s="1689"/>
      <c r="I2" s="166" t="s">
        <v>243</v>
      </c>
      <c r="J2" s="166" t="s">
        <v>321</v>
      </c>
      <c r="K2" s="310" t="s">
        <v>421</v>
      </c>
      <c r="L2" s="166" t="s">
        <v>245</v>
      </c>
      <c r="M2" s="167" t="s">
        <v>3212</v>
      </c>
      <c r="N2" s="759"/>
      <c r="O2" s="759"/>
    </row>
    <row r="3" spans="1:15" ht="28.5">
      <c r="A3" s="133" t="s">
        <v>247</v>
      </c>
      <c r="B3" s="1682" t="s">
        <v>3273</v>
      </c>
      <c r="C3" s="1682"/>
      <c r="D3" s="134" t="s">
        <v>249</v>
      </c>
      <c r="E3" s="136" t="s">
        <v>323</v>
      </c>
      <c r="F3" s="134" t="s">
        <v>251</v>
      </c>
      <c r="G3" s="134"/>
      <c r="H3" s="134" t="s">
        <v>252</v>
      </c>
      <c r="I3" s="134"/>
      <c r="J3" s="15" t="s">
        <v>565</v>
      </c>
      <c r="K3" s="15" t="s">
        <v>3214</v>
      </c>
      <c r="L3" s="15" t="s">
        <v>255</v>
      </c>
      <c r="M3" s="207"/>
      <c r="N3" s="760"/>
      <c r="O3" s="760"/>
    </row>
    <row r="4" spans="1:15">
      <c r="A4" s="133" t="s">
        <v>260</v>
      </c>
      <c r="B4" s="1690" t="s">
        <v>3274</v>
      </c>
      <c r="C4" s="1690"/>
      <c r="D4" s="1690"/>
      <c r="E4" s="1690"/>
      <c r="F4" s="1690"/>
      <c r="G4" s="2045" t="s">
        <v>3275</v>
      </c>
      <c r="H4" s="2046"/>
      <c r="I4" s="2097"/>
      <c r="J4" s="1697"/>
      <c r="K4" s="1697"/>
      <c r="L4" s="1697"/>
      <c r="M4" s="1846"/>
      <c r="N4" s="760"/>
      <c r="O4" s="760"/>
    </row>
    <row r="5" spans="1:15">
      <c r="A5" s="1688" t="s">
        <v>660</v>
      </c>
      <c r="B5" s="1689"/>
      <c r="C5" s="1689"/>
      <c r="D5" s="1690"/>
      <c r="E5" s="1690"/>
      <c r="F5" s="1690"/>
      <c r="G5" s="1690"/>
      <c r="H5" s="1690"/>
      <c r="I5" s="1690"/>
      <c r="J5" s="169"/>
      <c r="K5" s="169"/>
      <c r="L5" s="169"/>
      <c r="M5" s="264"/>
      <c r="N5" s="760"/>
      <c r="O5" s="824"/>
    </row>
    <row r="6" spans="1:15" ht="57">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761"/>
      <c r="O6" s="825"/>
    </row>
    <row r="7" spans="1:15">
      <c r="A7" s="772">
        <v>41699</v>
      </c>
      <c r="B7" s="773">
        <v>1779</v>
      </c>
      <c r="C7" s="773">
        <v>665902</v>
      </c>
      <c r="D7" s="773">
        <f>B7</f>
        <v>1779</v>
      </c>
      <c r="E7" s="773">
        <f>C7</f>
        <v>665902</v>
      </c>
      <c r="F7" s="773"/>
      <c r="G7" s="128">
        <f>C7</f>
        <v>665902</v>
      </c>
      <c r="H7" s="774"/>
      <c r="I7" s="773"/>
      <c r="J7" s="612"/>
      <c r="K7" s="612"/>
      <c r="L7" s="773">
        <f t="shared" ref="L7:L41" si="0">E7-J7</f>
        <v>665902</v>
      </c>
      <c r="M7" s="781"/>
      <c r="N7" s="761"/>
      <c r="O7" s="825"/>
    </row>
    <row r="8" spans="1:15">
      <c r="A8" s="772">
        <v>41730</v>
      </c>
      <c r="B8" s="773">
        <v>3123</v>
      </c>
      <c r="C8" s="773">
        <v>1180755</v>
      </c>
      <c r="D8" s="773">
        <f t="shared" ref="D8:D41" si="1">D7+B8</f>
        <v>4902</v>
      </c>
      <c r="E8" s="773">
        <f t="shared" ref="E8:E41" si="2">E7+C8</f>
        <v>1846657</v>
      </c>
      <c r="F8" s="773"/>
      <c r="G8" s="128">
        <f t="shared" ref="G8:G25" si="3">C8+E7*0.15</f>
        <v>1280640.3</v>
      </c>
      <c r="H8" s="774"/>
      <c r="I8" s="773"/>
      <c r="J8" s="612"/>
      <c r="K8" s="612"/>
      <c r="L8" s="773">
        <f t="shared" si="0"/>
        <v>1846657</v>
      </c>
      <c r="M8" s="781"/>
      <c r="N8" s="761"/>
      <c r="O8" s="825"/>
    </row>
    <row r="9" spans="1:15">
      <c r="A9" s="772">
        <v>41760</v>
      </c>
      <c r="B9" s="773">
        <v>1014.5</v>
      </c>
      <c r="C9" s="773">
        <v>336405</v>
      </c>
      <c r="D9" s="773">
        <f t="shared" si="1"/>
        <v>5916.5</v>
      </c>
      <c r="E9" s="773">
        <f t="shared" si="2"/>
        <v>2183062</v>
      </c>
      <c r="F9" s="773"/>
      <c r="G9" s="128">
        <f t="shared" si="3"/>
        <v>613403.55000000005</v>
      </c>
      <c r="H9" s="774">
        <f t="shared" ref="H9:H26" si="4">C7*0.85</f>
        <v>566016.69999999995</v>
      </c>
      <c r="I9" s="773"/>
      <c r="J9" s="612"/>
      <c r="K9" s="612">
        <f t="shared" ref="K9:K42" si="5">K8+H9-I9</f>
        <v>566016.69999999995</v>
      </c>
      <c r="L9" s="773">
        <f t="shared" si="0"/>
        <v>2183062</v>
      </c>
      <c r="M9" s="781"/>
      <c r="N9" s="761"/>
      <c r="O9" s="825"/>
    </row>
    <row r="10" spans="1:15">
      <c r="A10" s="772">
        <v>41791</v>
      </c>
      <c r="B10" s="773">
        <v>2383</v>
      </c>
      <c r="C10" s="773">
        <v>908724</v>
      </c>
      <c r="D10" s="773">
        <f t="shared" si="1"/>
        <v>8299.5</v>
      </c>
      <c r="E10" s="773">
        <f t="shared" si="2"/>
        <v>3091786</v>
      </c>
      <c r="F10" s="773"/>
      <c r="G10" s="128">
        <f t="shared" si="3"/>
        <v>1236183.3</v>
      </c>
      <c r="H10" s="774">
        <f t="shared" si="4"/>
        <v>1003641.75</v>
      </c>
      <c r="I10" s="773"/>
      <c r="J10" s="612"/>
      <c r="K10" s="612">
        <f t="shared" si="5"/>
        <v>1569658.45</v>
      </c>
      <c r="L10" s="773">
        <f t="shared" si="0"/>
        <v>3091786</v>
      </c>
      <c r="M10" s="781"/>
      <c r="N10" s="761"/>
      <c r="O10" s="825"/>
    </row>
    <row r="11" spans="1:15">
      <c r="A11" s="772">
        <v>41821</v>
      </c>
      <c r="B11" s="773">
        <v>4590</v>
      </c>
      <c r="C11" s="773">
        <v>1883752</v>
      </c>
      <c r="D11" s="773">
        <f t="shared" si="1"/>
        <v>12889.5</v>
      </c>
      <c r="E11" s="773">
        <f t="shared" si="2"/>
        <v>4975538</v>
      </c>
      <c r="F11" s="773"/>
      <c r="G11" s="128">
        <f t="shared" si="3"/>
        <v>2347519.9</v>
      </c>
      <c r="H11" s="774">
        <f t="shared" si="4"/>
        <v>285944.25</v>
      </c>
      <c r="I11" s="773"/>
      <c r="J11" s="612"/>
      <c r="K11" s="612">
        <f t="shared" si="5"/>
        <v>1855602.7</v>
      </c>
      <c r="L11" s="773">
        <f t="shared" si="0"/>
        <v>4975538</v>
      </c>
      <c r="M11" s="781"/>
      <c r="N11" s="761"/>
      <c r="O11" s="825"/>
    </row>
    <row r="12" spans="1:15">
      <c r="A12" s="772">
        <v>41852</v>
      </c>
      <c r="B12" s="773">
        <v>4068</v>
      </c>
      <c r="C12" s="773">
        <v>1641948</v>
      </c>
      <c r="D12" s="773">
        <f t="shared" si="1"/>
        <v>16957.5</v>
      </c>
      <c r="E12" s="773">
        <f t="shared" si="2"/>
        <v>6617486</v>
      </c>
      <c r="F12" s="773"/>
      <c r="G12" s="128">
        <f t="shared" si="3"/>
        <v>2388278.7000000002</v>
      </c>
      <c r="H12" s="774">
        <f t="shared" si="4"/>
        <v>772415.4</v>
      </c>
      <c r="I12" s="773"/>
      <c r="J12" s="612"/>
      <c r="K12" s="612">
        <f t="shared" si="5"/>
        <v>2628018.1</v>
      </c>
      <c r="L12" s="773">
        <f t="shared" si="0"/>
        <v>6617486</v>
      </c>
      <c r="M12" s="781"/>
      <c r="N12" s="761"/>
      <c r="O12" s="825"/>
    </row>
    <row r="13" spans="1:15">
      <c r="A13" s="772">
        <v>41883</v>
      </c>
      <c r="B13" s="773">
        <v>4698</v>
      </c>
      <c r="C13" s="773">
        <v>1877743</v>
      </c>
      <c r="D13" s="773">
        <f t="shared" si="1"/>
        <v>21655.5</v>
      </c>
      <c r="E13" s="773">
        <f t="shared" si="2"/>
        <v>8495229</v>
      </c>
      <c r="F13" s="773"/>
      <c r="G13" s="128">
        <f t="shared" si="3"/>
        <v>2870365.9</v>
      </c>
      <c r="H13" s="774">
        <f t="shared" si="4"/>
        <v>1601189.2</v>
      </c>
      <c r="I13" s="773"/>
      <c r="J13" s="612"/>
      <c r="K13" s="612">
        <f t="shared" si="5"/>
        <v>4229207.3</v>
      </c>
      <c r="L13" s="773">
        <f t="shared" si="0"/>
        <v>8495229</v>
      </c>
      <c r="M13" s="781"/>
      <c r="N13" s="761"/>
      <c r="O13" s="825"/>
    </row>
    <row r="14" spans="1:15">
      <c r="A14" s="775">
        <v>41913</v>
      </c>
      <c r="B14" s="338">
        <v>4076</v>
      </c>
      <c r="C14" s="338">
        <v>1629460</v>
      </c>
      <c r="D14" s="338">
        <f t="shared" si="1"/>
        <v>25731.5</v>
      </c>
      <c r="E14" s="845">
        <f t="shared" si="2"/>
        <v>10124689</v>
      </c>
      <c r="F14" s="338"/>
      <c r="G14" s="340">
        <f t="shared" si="3"/>
        <v>2903744.3499999996</v>
      </c>
      <c r="H14" s="776">
        <f t="shared" si="4"/>
        <v>1395655.8</v>
      </c>
      <c r="I14" s="338"/>
      <c r="J14" s="338"/>
      <c r="K14" s="338">
        <f t="shared" si="5"/>
        <v>5624863.0999999996</v>
      </c>
      <c r="L14" s="338">
        <f t="shared" si="0"/>
        <v>10124689</v>
      </c>
      <c r="M14" s="782"/>
      <c r="N14" s="763"/>
      <c r="O14" s="848"/>
    </row>
    <row r="15" spans="1:15">
      <c r="A15" s="775">
        <v>41944</v>
      </c>
      <c r="B15" s="338">
        <v>4219.5</v>
      </c>
      <c r="C15" s="338">
        <v>1780146.5</v>
      </c>
      <c r="D15" s="338">
        <f t="shared" si="1"/>
        <v>29951</v>
      </c>
      <c r="E15" s="338">
        <f t="shared" si="2"/>
        <v>11904835.5</v>
      </c>
      <c r="F15" s="338"/>
      <c r="G15" s="340">
        <f t="shared" si="3"/>
        <v>3298849.8499999996</v>
      </c>
      <c r="H15" s="776">
        <f t="shared" si="4"/>
        <v>1596081.55</v>
      </c>
      <c r="I15" s="338"/>
      <c r="J15" s="338"/>
      <c r="K15" s="338">
        <f t="shared" si="5"/>
        <v>7220944.6499999994</v>
      </c>
      <c r="L15" s="338">
        <f t="shared" si="0"/>
        <v>11904835.5</v>
      </c>
      <c r="M15" s="782"/>
      <c r="N15" s="763"/>
      <c r="O15" s="848"/>
    </row>
    <row r="16" spans="1:15">
      <c r="A16" s="775">
        <v>41974</v>
      </c>
      <c r="B16" s="338">
        <v>4050</v>
      </c>
      <c r="C16" s="338">
        <v>1750111</v>
      </c>
      <c r="D16" s="338">
        <f t="shared" si="1"/>
        <v>34001</v>
      </c>
      <c r="E16" s="338">
        <f t="shared" si="2"/>
        <v>13654946.5</v>
      </c>
      <c r="F16" s="338"/>
      <c r="G16" s="340">
        <f t="shared" si="3"/>
        <v>3535836.3250000002</v>
      </c>
      <c r="H16" s="776">
        <f t="shared" si="4"/>
        <v>1385041</v>
      </c>
      <c r="I16" s="338"/>
      <c r="J16" s="338"/>
      <c r="K16" s="338">
        <f t="shared" si="5"/>
        <v>8605985.6499999985</v>
      </c>
      <c r="L16" s="338">
        <f t="shared" si="0"/>
        <v>13654946.5</v>
      </c>
      <c r="M16" s="782"/>
      <c r="N16" s="763"/>
      <c r="O16" s="848"/>
    </row>
    <row r="17" spans="1:15">
      <c r="A17" s="775">
        <v>42005</v>
      </c>
      <c r="B17" s="338">
        <f>3823+158</f>
        <v>3981</v>
      </c>
      <c r="C17" s="338">
        <f>1568665+67084</f>
        <v>1635749</v>
      </c>
      <c r="D17" s="338">
        <f t="shared" si="1"/>
        <v>37982</v>
      </c>
      <c r="E17" s="338">
        <f t="shared" si="2"/>
        <v>15290695.5</v>
      </c>
      <c r="F17" s="338"/>
      <c r="G17" s="340">
        <f t="shared" si="3"/>
        <v>3683990.9749999996</v>
      </c>
      <c r="H17" s="776">
        <f t="shared" si="4"/>
        <v>1513124.5249999999</v>
      </c>
      <c r="I17" s="200">
        <v>1003223.64</v>
      </c>
      <c r="J17" s="338">
        <f t="shared" ref="J17:J41" si="6">J16+I17</f>
        <v>1003223.64</v>
      </c>
      <c r="K17" s="338">
        <f t="shared" si="5"/>
        <v>9115886.5349999983</v>
      </c>
      <c r="L17" s="338">
        <f t="shared" si="0"/>
        <v>14287471.859999999</v>
      </c>
      <c r="M17" s="849" t="s">
        <v>3276</v>
      </c>
      <c r="N17" s="763"/>
      <c r="O17" s="848"/>
    </row>
    <row r="18" spans="1:15">
      <c r="A18" s="775">
        <v>42037</v>
      </c>
      <c r="B18" s="338">
        <f>792+392</f>
        <v>1184</v>
      </c>
      <c r="C18" s="338">
        <f>314506+160654</f>
        <v>475160</v>
      </c>
      <c r="D18" s="338">
        <f t="shared" si="1"/>
        <v>39166</v>
      </c>
      <c r="E18" s="338">
        <f t="shared" si="2"/>
        <v>15765855.5</v>
      </c>
      <c r="F18" s="338"/>
      <c r="G18" s="340">
        <f t="shared" si="3"/>
        <v>2768764.3249999997</v>
      </c>
      <c r="H18" s="776">
        <f t="shared" si="4"/>
        <v>1487594.3499999999</v>
      </c>
      <c r="I18" s="200">
        <v>2040215.5</v>
      </c>
      <c r="J18" s="338">
        <f t="shared" si="6"/>
        <v>3043439.14</v>
      </c>
      <c r="K18" s="338">
        <f t="shared" si="5"/>
        <v>8563265.3849999979</v>
      </c>
      <c r="L18" s="338">
        <f t="shared" si="0"/>
        <v>12722416.359999999</v>
      </c>
      <c r="M18" s="849" t="s">
        <v>3277</v>
      </c>
      <c r="N18" s="763"/>
      <c r="O18" s="848"/>
    </row>
    <row r="19" spans="1:15">
      <c r="A19" s="775">
        <v>42069</v>
      </c>
      <c r="B19" s="338">
        <f>3204.5+36</f>
        <v>3240.5</v>
      </c>
      <c r="C19" s="338">
        <f>1280179+14940</f>
        <v>1295119</v>
      </c>
      <c r="D19" s="338">
        <f t="shared" si="1"/>
        <v>42406.5</v>
      </c>
      <c r="E19" s="338">
        <f t="shared" si="2"/>
        <v>17060974.5</v>
      </c>
      <c r="F19" s="338"/>
      <c r="G19" s="340">
        <f t="shared" si="3"/>
        <v>3659997.3249999997</v>
      </c>
      <c r="H19" s="776">
        <f t="shared" si="4"/>
        <v>1390386.65</v>
      </c>
      <c r="I19" s="200"/>
      <c r="J19" s="338">
        <f t="shared" si="6"/>
        <v>3043439.14</v>
      </c>
      <c r="K19" s="338">
        <f t="shared" si="5"/>
        <v>9953652.0349999983</v>
      </c>
      <c r="L19" s="338">
        <f t="shared" si="0"/>
        <v>14017535.359999999</v>
      </c>
      <c r="M19" s="782"/>
      <c r="N19" s="763"/>
      <c r="O19" s="848"/>
    </row>
    <row r="20" spans="1:15">
      <c r="A20" s="775">
        <v>42100</v>
      </c>
      <c r="B20" s="200">
        <v>4793.5</v>
      </c>
      <c r="C20" s="200">
        <v>1845512</v>
      </c>
      <c r="D20" s="338">
        <f t="shared" si="1"/>
        <v>47200</v>
      </c>
      <c r="E20" s="338">
        <f t="shared" si="2"/>
        <v>18906486.5</v>
      </c>
      <c r="F20" s="200"/>
      <c r="G20" s="340">
        <f t="shared" si="3"/>
        <v>4404658.1749999998</v>
      </c>
      <c r="H20" s="776">
        <f t="shared" si="4"/>
        <v>403886</v>
      </c>
      <c r="I20" s="200"/>
      <c r="J20" s="338">
        <f t="shared" si="6"/>
        <v>3043439.14</v>
      </c>
      <c r="K20" s="338">
        <f t="shared" si="5"/>
        <v>10357538.034999998</v>
      </c>
      <c r="L20" s="338">
        <f t="shared" si="0"/>
        <v>15863047.359999999</v>
      </c>
      <c r="M20" s="768"/>
      <c r="N20" s="763"/>
      <c r="O20" s="848"/>
    </row>
    <row r="21" spans="1:15">
      <c r="A21" s="780">
        <v>42125</v>
      </c>
      <c r="B21" s="200">
        <v>4867</v>
      </c>
      <c r="C21" s="200">
        <v>1813935</v>
      </c>
      <c r="D21" s="338">
        <f t="shared" si="1"/>
        <v>52067</v>
      </c>
      <c r="E21" s="338">
        <f t="shared" si="2"/>
        <v>20720421.5</v>
      </c>
      <c r="F21" s="200"/>
      <c r="G21" s="340">
        <f t="shared" si="3"/>
        <v>4649907.9749999996</v>
      </c>
      <c r="H21" s="776">
        <f t="shared" si="4"/>
        <v>1100851.1499999999</v>
      </c>
      <c r="I21" s="200"/>
      <c r="J21" s="338">
        <f t="shared" si="6"/>
        <v>3043439.14</v>
      </c>
      <c r="K21" s="338">
        <f t="shared" si="5"/>
        <v>11458389.184999999</v>
      </c>
      <c r="L21" s="338">
        <f t="shared" si="0"/>
        <v>17676982.359999999</v>
      </c>
      <c r="M21" s="768"/>
      <c r="N21" s="763"/>
      <c r="O21" s="848"/>
    </row>
    <row r="22" spans="1:15" ht="142.5">
      <c r="A22" s="780">
        <v>42156</v>
      </c>
      <c r="B22" s="200">
        <v>3396</v>
      </c>
      <c r="C22" s="200">
        <v>1239457</v>
      </c>
      <c r="D22" s="338">
        <f t="shared" si="1"/>
        <v>55463</v>
      </c>
      <c r="E22" s="338">
        <f t="shared" si="2"/>
        <v>21959878.5</v>
      </c>
      <c r="F22" s="200"/>
      <c r="G22" s="340">
        <f t="shared" si="3"/>
        <v>4347520.2249999996</v>
      </c>
      <c r="H22" s="776">
        <f t="shared" si="4"/>
        <v>1568685.2</v>
      </c>
      <c r="I22" s="200">
        <f>2946530+949045</f>
        <v>3895575</v>
      </c>
      <c r="J22" s="338">
        <f t="shared" si="6"/>
        <v>6939014.1400000006</v>
      </c>
      <c r="K22" s="338">
        <f t="shared" si="5"/>
        <v>9131499.3849999979</v>
      </c>
      <c r="L22" s="338">
        <f t="shared" si="0"/>
        <v>15020864.359999999</v>
      </c>
      <c r="M22" s="850" t="s">
        <v>3278</v>
      </c>
      <c r="N22" s="763"/>
      <c r="O22" s="848"/>
    </row>
    <row r="23" spans="1:15">
      <c r="A23" s="780">
        <v>42186</v>
      </c>
      <c r="B23" s="200">
        <v>4400</v>
      </c>
      <c r="C23" s="200">
        <v>1578361</v>
      </c>
      <c r="D23" s="338">
        <f t="shared" si="1"/>
        <v>59863</v>
      </c>
      <c r="E23" s="338">
        <f t="shared" si="2"/>
        <v>23538239.5</v>
      </c>
      <c r="F23" s="200"/>
      <c r="G23" s="340">
        <f t="shared" si="3"/>
        <v>4872342.7750000004</v>
      </c>
      <c r="H23" s="776">
        <f t="shared" si="4"/>
        <v>1541844.75</v>
      </c>
      <c r="I23" s="200"/>
      <c r="J23" s="338">
        <f t="shared" si="6"/>
        <v>6939014.1400000006</v>
      </c>
      <c r="K23" s="338">
        <f t="shared" si="5"/>
        <v>10673344.134999998</v>
      </c>
      <c r="L23" s="338">
        <f t="shared" si="0"/>
        <v>16599225.359999999</v>
      </c>
      <c r="M23" s="768"/>
      <c r="N23" s="763"/>
      <c r="O23" s="848"/>
    </row>
    <row r="24" spans="1:15">
      <c r="A24" s="780">
        <v>42217</v>
      </c>
      <c r="B24" s="200">
        <v>3587</v>
      </c>
      <c r="C24" s="200">
        <v>1272419</v>
      </c>
      <c r="D24" s="338">
        <f t="shared" si="1"/>
        <v>63450</v>
      </c>
      <c r="E24" s="338">
        <f t="shared" si="2"/>
        <v>24810658.5</v>
      </c>
      <c r="F24" s="200"/>
      <c r="G24" s="340">
        <f t="shared" si="3"/>
        <v>4803154.9249999998</v>
      </c>
      <c r="H24" s="776">
        <f t="shared" si="4"/>
        <v>1053538.45</v>
      </c>
      <c r="I24" s="851">
        <v>1075760</v>
      </c>
      <c r="J24" s="338">
        <f t="shared" si="6"/>
        <v>8014774.1400000006</v>
      </c>
      <c r="K24" s="338">
        <f t="shared" si="5"/>
        <v>10651122.584999997</v>
      </c>
      <c r="L24" s="338">
        <f t="shared" si="0"/>
        <v>16795884.359999999</v>
      </c>
      <c r="M24" s="768" t="s">
        <v>3279</v>
      </c>
      <c r="N24" s="763"/>
      <c r="O24" s="848"/>
    </row>
    <row r="25" spans="1:15">
      <c r="A25" s="846">
        <v>42248</v>
      </c>
      <c r="B25" s="200">
        <v>1278</v>
      </c>
      <c r="C25" s="200">
        <v>458559</v>
      </c>
      <c r="D25" s="338">
        <f t="shared" si="1"/>
        <v>64728</v>
      </c>
      <c r="E25" s="847">
        <f t="shared" si="2"/>
        <v>25269217.5</v>
      </c>
      <c r="F25" s="200"/>
      <c r="G25" s="340">
        <f t="shared" si="3"/>
        <v>4180157.7749999999</v>
      </c>
      <c r="H25" s="776">
        <f t="shared" si="4"/>
        <v>1341606.8499999999</v>
      </c>
      <c r="I25" s="200"/>
      <c r="J25" s="338">
        <f t="shared" si="6"/>
        <v>8014774.1400000006</v>
      </c>
      <c r="K25" s="338">
        <f t="shared" si="5"/>
        <v>11992729.434999997</v>
      </c>
      <c r="L25" s="338">
        <f t="shared" si="0"/>
        <v>17254443.359999999</v>
      </c>
      <c r="M25" s="768"/>
      <c r="N25" s="763"/>
      <c r="O25" s="848"/>
    </row>
    <row r="26" spans="1:15">
      <c r="A26" s="780">
        <v>42278</v>
      </c>
      <c r="B26" s="200">
        <v>738</v>
      </c>
      <c r="C26" s="200">
        <v>238870</v>
      </c>
      <c r="D26" s="338">
        <f t="shared" si="1"/>
        <v>65466</v>
      </c>
      <c r="E26" s="338">
        <f t="shared" si="2"/>
        <v>25508087.5</v>
      </c>
      <c r="F26" s="200"/>
      <c r="G26" s="340">
        <f>C26+E24*0.15*2/3</f>
        <v>2719935.85</v>
      </c>
      <c r="H26" s="776">
        <f t="shared" si="4"/>
        <v>1081556.1499999999</v>
      </c>
      <c r="I26" s="200"/>
      <c r="J26" s="338">
        <f t="shared" si="6"/>
        <v>8014774.1400000006</v>
      </c>
      <c r="K26" s="338">
        <f t="shared" si="5"/>
        <v>13074285.584999997</v>
      </c>
      <c r="L26" s="338">
        <f t="shared" si="0"/>
        <v>17493313.359999999</v>
      </c>
      <c r="M26" s="768" t="s">
        <v>3280</v>
      </c>
      <c r="N26" s="763"/>
      <c r="O26" s="848"/>
    </row>
    <row r="27" spans="1:15">
      <c r="A27" s="780">
        <v>42309</v>
      </c>
      <c r="B27" s="200">
        <v>891</v>
      </c>
      <c r="C27" s="200">
        <v>290470</v>
      </c>
      <c r="D27" s="338">
        <f t="shared" si="1"/>
        <v>66357</v>
      </c>
      <c r="E27" s="338">
        <f t="shared" si="2"/>
        <v>25798557.5</v>
      </c>
      <c r="F27" s="200"/>
      <c r="G27" s="340">
        <f>C27+E24*0.15*1/3</f>
        <v>1531002.925</v>
      </c>
      <c r="H27" s="776">
        <f>C25+E24*0.15*1/3</f>
        <v>1699091.925</v>
      </c>
      <c r="I27" s="200"/>
      <c r="J27" s="338">
        <f t="shared" si="6"/>
        <v>8014774.1400000006</v>
      </c>
      <c r="K27" s="338">
        <f t="shared" si="5"/>
        <v>14773377.509999998</v>
      </c>
      <c r="L27" s="338">
        <f t="shared" si="0"/>
        <v>17783783.359999999</v>
      </c>
      <c r="M27" s="768"/>
      <c r="N27" s="763"/>
      <c r="O27" s="848"/>
    </row>
    <row r="28" spans="1:15">
      <c r="A28" s="780">
        <v>42339</v>
      </c>
      <c r="B28" s="200">
        <v>814.5</v>
      </c>
      <c r="C28" s="200">
        <v>272805</v>
      </c>
      <c r="D28" s="338">
        <f t="shared" si="1"/>
        <v>67171.5</v>
      </c>
      <c r="E28" s="338">
        <f t="shared" si="2"/>
        <v>26071362.5</v>
      </c>
      <c r="F28" s="200"/>
      <c r="G28" s="340">
        <f t="shared" ref="G28:G41" si="7">C28</f>
        <v>272805</v>
      </c>
      <c r="H28" s="776">
        <f>C26+E24*0.15*1/3</f>
        <v>1479402.925</v>
      </c>
      <c r="I28" s="200">
        <f>4572496+338940.49</f>
        <v>4911436.49</v>
      </c>
      <c r="J28" s="338">
        <f t="shared" si="6"/>
        <v>12926210.630000001</v>
      </c>
      <c r="K28" s="338">
        <f t="shared" si="5"/>
        <v>11341343.944999998</v>
      </c>
      <c r="L28" s="338">
        <f t="shared" si="0"/>
        <v>13145151.869999999</v>
      </c>
      <c r="M28" s="768"/>
      <c r="N28" s="763"/>
      <c r="O28" s="848"/>
    </row>
    <row r="29" spans="1:15" ht="156.75">
      <c r="A29" s="780">
        <v>42370</v>
      </c>
      <c r="B29" s="200">
        <v>392</v>
      </c>
      <c r="C29" s="200">
        <v>134405</v>
      </c>
      <c r="D29" s="338">
        <f t="shared" si="1"/>
        <v>67563.5</v>
      </c>
      <c r="E29" s="338">
        <f t="shared" si="2"/>
        <v>26205767.5</v>
      </c>
      <c r="F29" s="200"/>
      <c r="G29" s="340">
        <f t="shared" si="7"/>
        <v>134405</v>
      </c>
      <c r="H29" s="776">
        <f>C27+E24*0.15*1/3</f>
        <v>1531002.925</v>
      </c>
      <c r="I29" s="200"/>
      <c r="J29" s="338">
        <f t="shared" si="6"/>
        <v>12926210.630000001</v>
      </c>
      <c r="K29" s="338">
        <f t="shared" si="5"/>
        <v>12872346.869999999</v>
      </c>
      <c r="L29" s="338">
        <f t="shared" si="0"/>
        <v>13279556.869999999</v>
      </c>
      <c r="M29" s="214" t="s">
        <v>3281</v>
      </c>
      <c r="N29" s="763"/>
      <c r="O29" s="848"/>
    </row>
    <row r="30" spans="1:15">
      <c r="A30" s="780">
        <v>42401</v>
      </c>
      <c r="B30" s="200">
        <v>4</v>
      </c>
      <c r="C30" s="200">
        <v>1160</v>
      </c>
      <c r="D30" s="338">
        <f t="shared" si="1"/>
        <v>67567.5</v>
      </c>
      <c r="E30" s="338">
        <f t="shared" si="2"/>
        <v>26206927.5</v>
      </c>
      <c r="F30" s="200"/>
      <c r="G30" s="340">
        <f t="shared" si="7"/>
        <v>1160</v>
      </c>
      <c r="H30" s="776">
        <f t="shared" ref="H30:H42" si="8">C28</f>
        <v>272805</v>
      </c>
      <c r="I30" s="200"/>
      <c r="J30" s="338">
        <f t="shared" si="6"/>
        <v>12926210.630000001</v>
      </c>
      <c r="K30" s="338">
        <f t="shared" si="5"/>
        <v>13145151.869999999</v>
      </c>
      <c r="L30" s="338">
        <f t="shared" si="0"/>
        <v>13280716.869999999</v>
      </c>
      <c r="M30" s="768"/>
      <c r="N30" s="763"/>
      <c r="O30" s="848"/>
    </row>
    <row r="31" spans="1:15">
      <c r="A31" s="780">
        <v>42430</v>
      </c>
      <c r="B31" s="200">
        <v>715.5</v>
      </c>
      <c r="C31" s="200">
        <v>221705</v>
      </c>
      <c r="D31" s="338">
        <f t="shared" si="1"/>
        <v>68283</v>
      </c>
      <c r="E31" s="338">
        <f t="shared" si="2"/>
        <v>26428632.5</v>
      </c>
      <c r="F31" s="200"/>
      <c r="G31" s="340">
        <f t="shared" si="7"/>
        <v>221705</v>
      </c>
      <c r="H31" s="776">
        <f t="shared" si="8"/>
        <v>134405</v>
      </c>
      <c r="I31" s="200"/>
      <c r="J31" s="338">
        <f t="shared" si="6"/>
        <v>12926210.630000001</v>
      </c>
      <c r="K31" s="338">
        <f t="shared" si="5"/>
        <v>13279556.869999999</v>
      </c>
      <c r="L31" s="338">
        <f t="shared" si="0"/>
        <v>13502421.869999999</v>
      </c>
      <c r="M31" s="768"/>
      <c r="N31" s="763"/>
      <c r="O31" s="848"/>
    </row>
    <row r="32" spans="1:15">
      <c r="A32" s="780">
        <v>42461</v>
      </c>
      <c r="B32" s="200">
        <v>1160</v>
      </c>
      <c r="C32" s="200">
        <v>345510</v>
      </c>
      <c r="D32" s="338">
        <f t="shared" si="1"/>
        <v>69443</v>
      </c>
      <c r="E32" s="338">
        <f t="shared" si="2"/>
        <v>26774142.5</v>
      </c>
      <c r="F32" s="200"/>
      <c r="G32" s="340">
        <f t="shared" si="7"/>
        <v>345510</v>
      </c>
      <c r="H32" s="776">
        <f t="shared" si="8"/>
        <v>1160</v>
      </c>
      <c r="I32" s="200">
        <v>2000000</v>
      </c>
      <c r="J32" s="338">
        <f t="shared" si="6"/>
        <v>14926210.630000001</v>
      </c>
      <c r="K32" s="338">
        <f t="shared" si="5"/>
        <v>11280716.869999999</v>
      </c>
      <c r="L32" s="338">
        <f t="shared" si="0"/>
        <v>11847931.869999999</v>
      </c>
      <c r="M32" s="768" t="s">
        <v>3282</v>
      </c>
      <c r="N32" s="763"/>
      <c r="O32" s="848"/>
    </row>
    <row r="33" spans="1:15">
      <c r="A33" s="780">
        <v>42491</v>
      </c>
      <c r="B33" s="200">
        <v>198</v>
      </c>
      <c r="C33" s="200">
        <v>59885</v>
      </c>
      <c r="D33" s="338">
        <f t="shared" si="1"/>
        <v>69641</v>
      </c>
      <c r="E33" s="338">
        <f t="shared" si="2"/>
        <v>26834027.5</v>
      </c>
      <c r="F33" s="200"/>
      <c r="G33" s="340">
        <f t="shared" si="7"/>
        <v>59885</v>
      </c>
      <c r="H33" s="776">
        <f t="shared" si="8"/>
        <v>221705</v>
      </c>
      <c r="I33" s="200"/>
      <c r="J33" s="338">
        <f t="shared" si="6"/>
        <v>14926210.630000001</v>
      </c>
      <c r="K33" s="338">
        <f t="shared" si="5"/>
        <v>11502421.869999999</v>
      </c>
      <c r="L33" s="338">
        <f t="shared" si="0"/>
        <v>11907816.869999999</v>
      </c>
      <c r="M33" s="768"/>
      <c r="N33" s="763"/>
      <c r="O33" s="848"/>
    </row>
    <row r="34" spans="1:15">
      <c r="A34" s="780">
        <v>42522</v>
      </c>
      <c r="B34" s="200">
        <v>170.5</v>
      </c>
      <c r="C34" s="200">
        <v>50775</v>
      </c>
      <c r="D34" s="338">
        <f t="shared" si="1"/>
        <v>69811.5</v>
      </c>
      <c r="E34" s="338">
        <f t="shared" si="2"/>
        <v>26884802.5</v>
      </c>
      <c r="F34" s="200"/>
      <c r="G34" s="340">
        <f t="shared" si="7"/>
        <v>50775</v>
      </c>
      <c r="H34" s="776">
        <f t="shared" si="8"/>
        <v>345510</v>
      </c>
      <c r="I34" s="200">
        <v>999992</v>
      </c>
      <c r="J34" s="338">
        <f t="shared" si="6"/>
        <v>15926202.630000001</v>
      </c>
      <c r="K34" s="338">
        <f t="shared" si="5"/>
        <v>10847939.869999999</v>
      </c>
      <c r="L34" s="338">
        <f t="shared" si="0"/>
        <v>10958599.869999999</v>
      </c>
      <c r="M34" s="768" t="s">
        <v>3283</v>
      </c>
      <c r="N34" s="763"/>
      <c r="O34" s="848"/>
    </row>
    <row r="35" spans="1:15">
      <c r="A35" s="780">
        <v>42552</v>
      </c>
      <c r="B35" s="200">
        <v>323</v>
      </c>
      <c r="C35" s="200">
        <v>95687</v>
      </c>
      <c r="D35" s="338">
        <f t="shared" si="1"/>
        <v>70134.5</v>
      </c>
      <c r="E35" s="338">
        <f t="shared" si="2"/>
        <v>26980489.5</v>
      </c>
      <c r="F35" s="200"/>
      <c r="G35" s="340">
        <f t="shared" si="7"/>
        <v>95687</v>
      </c>
      <c r="H35" s="776">
        <f t="shared" si="8"/>
        <v>59885</v>
      </c>
      <c r="I35" s="200"/>
      <c r="J35" s="338">
        <f t="shared" si="6"/>
        <v>15926202.630000001</v>
      </c>
      <c r="K35" s="338">
        <f t="shared" si="5"/>
        <v>10907824.869999999</v>
      </c>
      <c r="L35" s="338">
        <f t="shared" si="0"/>
        <v>11054286.869999999</v>
      </c>
      <c r="M35" s="768"/>
      <c r="N35" s="763"/>
      <c r="O35" s="848"/>
    </row>
    <row r="36" spans="1:15" ht="42.75">
      <c r="A36" s="780">
        <v>42583</v>
      </c>
      <c r="B36" s="200">
        <v>101.5</v>
      </c>
      <c r="C36" s="200">
        <v>32072.5</v>
      </c>
      <c r="D36" s="338">
        <f t="shared" si="1"/>
        <v>70236</v>
      </c>
      <c r="E36" s="338">
        <f t="shared" si="2"/>
        <v>27012562</v>
      </c>
      <c r="F36" s="200"/>
      <c r="G36" s="340">
        <f t="shared" si="7"/>
        <v>32072.5</v>
      </c>
      <c r="H36" s="776">
        <f t="shared" si="8"/>
        <v>50775</v>
      </c>
      <c r="I36" s="200">
        <v>3500000</v>
      </c>
      <c r="J36" s="338">
        <f t="shared" si="6"/>
        <v>19426202.630000003</v>
      </c>
      <c r="K36" s="338">
        <f t="shared" si="5"/>
        <v>7458599.8699999992</v>
      </c>
      <c r="L36" s="338">
        <f t="shared" si="0"/>
        <v>7586359.3699999973</v>
      </c>
      <c r="M36" s="742" t="s">
        <v>3284</v>
      </c>
      <c r="N36" s="763"/>
      <c r="O36" s="848"/>
    </row>
    <row r="37" spans="1:15" ht="99.75">
      <c r="A37" s="780">
        <v>42614</v>
      </c>
      <c r="B37" s="200">
        <v>49.5</v>
      </c>
      <c r="C37" s="200">
        <v>15762.5</v>
      </c>
      <c r="D37" s="338">
        <f t="shared" si="1"/>
        <v>70285.5</v>
      </c>
      <c r="E37" s="338">
        <f t="shared" si="2"/>
        <v>27028324.5</v>
      </c>
      <c r="F37" s="200"/>
      <c r="G37" s="340">
        <f t="shared" si="7"/>
        <v>15762.5</v>
      </c>
      <c r="H37" s="776">
        <f t="shared" si="8"/>
        <v>95687</v>
      </c>
      <c r="I37" s="200">
        <v>869307.5</v>
      </c>
      <c r="J37" s="338">
        <f t="shared" si="6"/>
        <v>20295510.130000003</v>
      </c>
      <c r="K37" s="338">
        <f t="shared" si="5"/>
        <v>6684979.3699999992</v>
      </c>
      <c r="L37" s="338">
        <f t="shared" si="0"/>
        <v>6732814.3699999973</v>
      </c>
      <c r="M37" s="214" t="s">
        <v>3285</v>
      </c>
      <c r="N37" s="763"/>
      <c r="O37" s="848"/>
    </row>
    <row r="38" spans="1:15">
      <c r="A38" s="780">
        <v>42644</v>
      </c>
      <c r="B38" s="200">
        <v>18.5</v>
      </c>
      <c r="C38" s="200">
        <v>5947.5</v>
      </c>
      <c r="D38" s="338">
        <f t="shared" si="1"/>
        <v>70304</v>
      </c>
      <c r="E38" s="338">
        <f t="shared" si="2"/>
        <v>27034272</v>
      </c>
      <c r="F38" s="200"/>
      <c r="G38" s="340">
        <f t="shared" si="7"/>
        <v>5947.5</v>
      </c>
      <c r="H38" s="776">
        <f t="shared" si="8"/>
        <v>32072.5</v>
      </c>
      <c r="I38" s="200"/>
      <c r="J38" s="338">
        <f t="shared" si="6"/>
        <v>20295510.130000003</v>
      </c>
      <c r="K38" s="338">
        <f t="shared" si="5"/>
        <v>6717051.8699999992</v>
      </c>
      <c r="L38" s="338">
        <f t="shared" si="0"/>
        <v>6738761.8699999973</v>
      </c>
      <c r="M38" s="768"/>
      <c r="N38" s="763"/>
      <c r="O38" s="848"/>
    </row>
    <row r="39" spans="1:15">
      <c r="A39" s="780">
        <v>42675</v>
      </c>
      <c r="B39" s="200">
        <v>146</v>
      </c>
      <c r="C39" s="200">
        <v>42820</v>
      </c>
      <c r="D39" s="338">
        <f t="shared" si="1"/>
        <v>70450</v>
      </c>
      <c r="E39" s="338">
        <f t="shared" si="2"/>
        <v>27077092</v>
      </c>
      <c r="F39" s="200"/>
      <c r="G39" s="340">
        <f t="shared" si="7"/>
        <v>42820</v>
      </c>
      <c r="H39" s="776">
        <f t="shared" si="8"/>
        <v>15762.5</v>
      </c>
      <c r="I39" s="200"/>
      <c r="J39" s="338">
        <f t="shared" si="6"/>
        <v>20295510.130000003</v>
      </c>
      <c r="K39" s="338">
        <f t="shared" si="5"/>
        <v>6732814.3699999992</v>
      </c>
      <c r="L39" s="338">
        <f t="shared" si="0"/>
        <v>6781581.8699999973</v>
      </c>
      <c r="M39" s="768"/>
      <c r="N39" s="763"/>
      <c r="O39" s="848"/>
    </row>
    <row r="40" spans="1:15">
      <c r="A40" s="780">
        <v>42705</v>
      </c>
      <c r="B40" s="200">
        <v>49</v>
      </c>
      <c r="C40" s="200">
        <v>14710</v>
      </c>
      <c r="D40" s="338">
        <f t="shared" si="1"/>
        <v>70499</v>
      </c>
      <c r="E40" s="338">
        <f t="shared" si="2"/>
        <v>27091802</v>
      </c>
      <c r="F40" s="200"/>
      <c r="G40" s="340">
        <f t="shared" si="7"/>
        <v>14710</v>
      </c>
      <c r="H40" s="776">
        <f t="shared" si="8"/>
        <v>5947.5</v>
      </c>
      <c r="I40" s="200"/>
      <c r="J40" s="338">
        <f t="shared" si="6"/>
        <v>20295510.130000003</v>
      </c>
      <c r="K40" s="338">
        <f t="shared" si="5"/>
        <v>6738761.8699999992</v>
      </c>
      <c r="L40" s="338">
        <f t="shared" si="0"/>
        <v>6796291.8699999973</v>
      </c>
      <c r="M40" s="768"/>
      <c r="N40" s="763"/>
      <c r="O40" s="848"/>
    </row>
    <row r="41" spans="1:15">
      <c r="A41" s="780">
        <v>42736</v>
      </c>
      <c r="B41" s="200">
        <v>22</v>
      </c>
      <c r="C41" s="200">
        <v>7150</v>
      </c>
      <c r="D41" s="338">
        <f t="shared" si="1"/>
        <v>70521</v>
      </c>
      <c r="E41" s="338">
        <f t="shared" si="2"/>
        <v>27098952</v>
      </c>
      <c r="F41" s="200"/>
      <c r="G41" s="340">
        <f t="shared" si="7"/>
        <v>7150</v>
      </c>
      <c r="H41" s="776">
        <f t="shared" si="8"/>
        <v>42820</v>
      </c>
      <c r="I41" s="200"/>
      <c r="J41" s="338">
        <f t="shared" si="6"/>
        <v>20295510.130000003</v>
      </c>
      <c r="K41" s="338">
        <f t="shared" si="5"/>
        <v>6781581.8699999992</v>
      </c>
      <c r="L41" s="338">
        <f t="shared" si="0"/>
        <v>6803441.8699999973</v>
      </c>
      <c r="M41" s="768"/>
      <c r="N41" s="763"/>
      <c r="O41" s="848"/>
    </row>
    <row r="42" spans="1:15">
      <c r="A42" s="780"/>
      <c r="B42" s="200"/>
      <c r="C42" s="200"/>
      <c r="D42" s="200"/>
      <c r="E42" s="200"/>
      <c r="F42" s="200"/>
      <c r="G42" s="180"/>
      <c r="H42" s="776">
        <f t="shared" si="8"/>
        <v>14710</v>
      </c>
      <c r="I42" s="200"/>
      <c r="J42" s="200"/>
      <c r="K42" s="338">
        <f t="shared" si="5"/>
        <v>6796291.8699999992</v>
      </c>
      <c r="L42" s="200"/>
      <c r="M42" s="768"/>
      <c r="N42" s="763"/>
      <c r="O42" s="848"/>
    </row>
    <row r="43" spans="1:15">
      <c r="A43" s="780"/>
      <c r="B43" s="200"/>
      <c r="C43" s="200"/>
      <c r="D43" s="200"/>
      <c r="E43" s="200"/>
      <c r="F43" s="200"/>
      <c r="G43" s="180"/>
      <c r="H43" s="201"/>
      <c r="I43" s="200"/>
      <c r="J43" s="200"/>
      <c r="K43" s="200"/>
      <c r="L43" s="200"/>
      <c r="M43" s="768"/>
      <c r="N43" s="763"/>
      <c r="O43" s="848"/>
    </row>
  </sheetData>
  <mergeCells count="11">
    <mergeCell ref="B4:F4"/>
    <mergeCell ref="G4:I4"/>
    <mergeCell ref="J4:M4"/>
    <mergeCell ref="E1:H1"/>
    <mergeCell ref="J1:L1"/>
    <mergeCell ref="A5:C5"/>
    <mergeCell ref="D5:F5"/>
    <mergeCell ref="G5:I5"/>
    <mergeCell ref="B2:C2"/>
    <mergeCell ref="E2:H2"/>
    <mergeCell ref="B3:C3"/>
  </mergeCells>
  <phoneticPr fontId="86" type="noConversion"/>
  <pageMargins left="0.7" right="0.7" top="0.75" bottom="0.75" header="0.3" footer="0.3"/>
  <legacyDrawing r:id="rId1"/>
</worksheet>
</file>

<file path=xl/worksheets/sheet1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6"/>
  <sheetViews>
    <sheetView topLeftCell="A25" zoomScaleSheetLayoutView="100" workbookViewId="0">
      <selection activeCell="L35" sqref="L35"/>
    </sheetView>
  </sheetViews>
  <sheetFormatPr defaultColWidth="9" defaultRowHeight="14.25"/>
  <cols>
    <col min="1" max="1" width="14" customWidth="1"/>
    <col min="2" max="2" width="13.875" customWidth="1"/>
    <col min="3" max="3" width="14.125" bestFit="1" customWidth="1"/>
    <col min="4" max="4" width="14.625" customWidth="1"/>
    <col min="5" max="5" width="14.5" customWidth="1"/>
    <col min="6" max="6" width="11.375" customWidth="1"/>
    <col min="7" max="8" width="14.125" bestFit="1" customWidth="1"/>
    <col min="9" max="9" width="13.875" customWidth="1"/>
    <col min="10" max="10" width="12.875" bestFit="1" customWidth="1"/>
    <col min="11" max="11" width="15.375" bestFit="1" customWidth="1"/>
    <col min="12" max="12" width="14.25" customWidth="1"/>
    <col min="13" max="13" width="21.125" customWidth="1"/>
    <col min="16" max="16" width="10.375" bestFit="1" customWidth="1"/>
    <col min="21" max="21" width="11.625" bestFit="1" customWidth="1"/>
  </cols>
  <sheetData>
    <row r="1" spans="1:21" ht="102.95" customHeight="1">
      <c r="A1" s="349" t="s">
        <v>3286</v>
      </c>
      <c r="B1" s="350"/>
      <c r="C1" s="377" t="s">
        <v>3287</v>
      </c>
      <c r="D1" s="350" t="s">
        <v>236</v>
      </c>
      <c r="E1" s="2098" t="s">
        <v>3288</v>
      </c>
      <c r="F1" s="2098"/>
      <c r="G1" s="2098"/>
      <c r="H1" s="306" t="s">
        <v>560</v>
      </c>
      <c r="I1" s="1645" t="s">
        <v>3289</v>
      </c>
      <c r="J1" s="1645"/>
      <c r="K1" s="1645"/>
      <c r="L1" s="1695" t="s">
        <v>3290</v>
      </c>
      <c r="M1" s="1696"/>
      <c r="N1" s="759"/>
      <c r="O1" s="804" t="s">
        <v>3290</v>
      </c>
      <c r="P1" s="805"/>
      <c r="Q1" s="759"/>
      <c r="R1" s="759"/>
      <c r="S1" s="759"/>
      <c r="T1" s="759"/>
      <c r="U1" s="759"/>
    </row>
    <row r="2" spans="1:21" ht="27.95" customHeight="1">
      <c r="A2" s="133" t="s">
        <v>240</v>
      </c>
      <c r="B2" s="1682" t="s">
        <v>3210</v>
      </c>
      <c r="C2" s="1682"/>
      <c r="D2" s="134" t="s">
        <v>242</v>
      </c>
      <c r="E2" s="2099" t="s">
        <v>3291</v>
      </c>
      <c r="F2" s="2099"/>
      <c r="G2" s="2099"/>
      <c r="H2" s="2099"/>
      <c r="I2" s="166" t="s">
        <v>243</v>
      </c>
      <c r="J2" s="166" t="s">
        <v>321</v>
      </c>
      <c r="K2" s="310"/>
      <c r="L2" s="166" t="s">
        <v>245</v>
      </c>
      <c r="M2" s="167"/>
      <c r="N2" s="759"/>
      <c r="O2" s="2101" t="s">
        <v>3292</v>
      </c>
      <c r="P2" s="759"/>
      <c r="Q2" s="759"/>
      <c r="R2" s="759"/>
      <c r="S2" s="759"/>
      <c r="T2" s="759"/>
      <c r="U2" s="759"/>
    </row>
    <row r="3" spans="1:21" ht="29.1" customHeight="1">
      <c r="A3" s="133" t="s">
        <v>247</v>
      </c>
      <c r="B3" s="1682" t="s">
        <v>144</v>
      </c>
      <c r="C3" s="1682"/>
      <c r="D3" s="134" t="s">
        <v>249</v>
      </c>
      <c r="E3" s="136" t="s">
        <v>323</v>
      </c>
      <c r="F3" s="134" t="s">
        <v>251</v>
      </c>
      <c r="G3" s="134"/>
      <c r="H3" s="134" t="s">
        <v>252</v>
      </c>
      <c r="I3" s="134"/>
      <c r="J3" s="15" t="s">
        <v>565</v>
      </c>
      <c r="K3" s="15"/>
      <c r="L3" s="15" t="s">
        <v>255</v>
      </c>
      <c r="M3" s="207"/>
      <c r="N3" s="760"/>
      <c r="O3" s="2101"/>
      <c r="P3" s="760"/>
      <c r="Q3" s="760"/>
      <c r="R3" s="760"/>
      <c r="S3" s="760"/>
      <c r="T3" s="760"/>
      <c r="U3" s="760"/>
    </row>
    <row r="4" spans="1:21" ht="57" customHeight="1">
      <c r="A4" s="133" t="s">
        <v>260</v>
      </c>
      <c r="B4" s="1726" t="s">
        <v>3215</v>
      </c>
      <c r="C4" s="1726"/>
      <c r="D4" s="1726"/>
      <c r="E4" s="1726"/>
      <c r="F4" s="1726"/>
      <c r="G4" s="1690" t="s">
        <v>3293</v>
      </c>
      <c r="H4" s="1690"/>
      <c r="I4" s="1690"/>
      <c r="J4" s="1690"/>
      <c r="K4" s="1690"/>
      <c r="L4" s="1847"/>
      <c r="M4" s="1848"/>
      <c r="N4" s="760"/>
      <c r="O4" s="2101"/>
      <c r="P4" s="760"/>
      <c r="Q4" s="760"/>
      <c r="R4" s="760"/>
      <c r="S4" s="760"/>
      <c r="T4" s="760"/>
      <c r="U4" s="760"/>
    </row>
    <row r="5" spans="1:21" ht="24" customHeight="1">
      <c r="A5" s="1688" t="s">
        <v>660</v>
      </c>
      <c r="B5" s="1689"/>
      <c r="C5" s="1689"/>
      <c r="D5" s="356" t="s">
        <v>570</v>
      </c>
      <c r="E5" s="1690" t="s">
        <v>3294</v>
      </c>
      <c r="F5" s="1690"/>
      <c r="G5" s="1690"/>
      <c r="H5" s="356"/>
      <c r="I5" s="356"/>
      <c r="J5" s="169"/>
      <c r="K5" s="169"/>
      <c r="L5" s="169"/>
      <c r="M5" s="264"/>
      <c r="N5" s="760"/>
      <c r="O5" s="2101"/>
      <c r="P5" s="760"/>
      <c r="Q5" s="760"/>
      <c r="R5" s="760"/>
      <c r="S5" s="760"/>
      <c r="T5" s="760"/>
      <c r="U5" s="760"/>
    </row>
    <row r="6" spans="1:21" ht="3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761"/>
      <c r="O6" s="761"/>
      <c r="P6" s="761"/>
      <c r="Q6" s="761"/>
      <c r="R6" s="761"/>
      <c r="S6" s="761"/>
      <c r="T6" s="761"/>
      <c r="U6" s="761"/>
    </row>
    <row r="7" spans="1:21" s="786" customFormat="1" ht="21" customHeight="1">
      <c r="A7" s="787">
        <v>41334</v>
      </c>
      <c r="B7" s="788">
        <v>3150.5</v>
      </c>
      <c r="C7" s="789">
        <v>946503.5</v>
      </c>
      <c r="D7" s="790">
        <f>B7</f>
        <v>3150.5</v>
      </c>
      <c r="E7" s="790">
        <f>C7</f>
        <v>946503.5</v>
      </c>
      <c r="F7" s="790"/>
      <c r="G7" s="791">
        <f>C7</f>
        <v>946503.5</v>
      </c>
      <c r="H7" s="792"/>
      <c r="I7" s="790"/>
      <c r="J7" s="790"/>
      <c r="K7" s="790"/>
      <c r="L7" s="790">
        <f t="shared" ref="L7:L27" si="0">E7-J7</f>
        <v>946503.5</v>
      </c>
      <c r="M7" s="806"/>
      <c r="N7" s="807"/>
      <c r="O7" s="808" t="s">
        <v>3295</v>
      </c>
      <c r="P7" s="2100" t="s">
        <v>3296</v>
      </c>
      <c r="Q7" s="2100"/>
      <c r="R7" s="2100"/>
      <c r="S7" s="2100"/>
      <c r="T7" s="2100"/>
      <c r="U7" s="809" t="s">
        <v>3297</v>
      </c>
    </row>
    <row r="8" spans="1:21" s="786" customFormat="1" ht="21" customHeight="1">
      <c r="A8" s="787">
        <v>41365</v>
      </c>
      <c r="B8" s="788">
        <v>5655</v>
      </c>
      <c r="C8" s="789">
        <v>1806578</v>
      </c>
      <c r="D8" s="790">
        <f t="shared" ref="D8:D35" si="1">D7+B8</f>
        <v>8805.5</v>
      </c>
      <c r="E8" s="790">
        <f t="shared" ref="E8:E35" si="2">E7+C8</f>
        <v>2753081.5</v>
      </c>
      <c r="F8" s="790"/>
      <c r="G8" s="791">
        <f t="shared" ref="G8:G26" si="3">C8+E7*0.15</f>
        <v>1948553.5249999999</v>
      </c>
      <c r="H8" s="792"/>
      <c r="I8" s="790"/>
      <c r="J8" s="790"/>
      <c r="K8" s="790">
        <f t="shared" ref="K8:K28" si="4">K7+H8-I8</f>
        <v>0</v>
      </c>
      <c r="L8" s="790">
        <f t="shared" si="0"/>
        <v>2753081.5</v>
      </c>
      <c r="M8" s="810"/>
      <c r="N8" s="807"/>
      <c r="O8" s="808">
        <v>41449</v>
      </c>
      <c r="P8" s="809">
        <v>790544.5</v>
      </c>
      <c r="Q8" s="809">
        <v>20280</v>
      </c>
      <c r="R8" s="809">
        <v>564962</v>
      </c>
      <c r="S8" s="809">
        <v>943645</v>
      </c>
      <c r="T8" s="809">
        <v>1650</v>
      </c>
      <c r="U8" s="809">
        <f>SUM(P8:T8)</f>
        <v>2321081.5</v>
      </c>
    </row>
    <row r="9" spans="1:21" s="786" customFormat="1" ht="21" customHeight="1">
      <c r="A9" s="787">
        <v>41395</v>
      </c>
      <c r="B9" s="788">
        <v>5527.5</v>
      </c>
      <c r="C9" s="789">
        <v>1749132</v>
      </c>
      <c r="D9" s="790">
        <f t="shared" si="1"/>
        <v>14333</v>
      </c>
      <c r="E9" s="790">
        <f t="shared" si="2"/>
        <v>4502213.5</v>
      </c>
      <c r="F9" s="790"/>
      <c r="G9" s="791">
        <f t="shared" si="3"/>
        <v>2162094.2250000001</v>
      </c>
      <c r="H9" s="792">
        <f>C7*0.85</f>
        <v>804527.97499999998</v>
      </c>
      <c r="I9" s="790"/>
      <c r="J9" s="790"/>
      <c r="K9" s="790">
        <f t="shared" si="4"/>
        <v>804527.97499999998</v>
      </c>
      <c r="L9" s="790">
        <f t="shared" si="0"/>
        <v>4502213.5</v>
      </c>
      <c r="M9" s="810" t="s">
        <v>3298</v>
      </c>
      <c r="N9" s="807"/>
      <c r="O9" s="808">
        <v>41477</v>
      </c>
      <c r="P9" s="809">
        <v>5100</v>
      </c>
      <c r="Q9" s="809">
        <v>985684</v>
      </c>
      <c r="R9" s="809">
        <v>830845</v>
      </c>
      <c r="S9" s="809"/>
      <c r="T9" s="809"/>
      <c r="U9" s="809">
        <f>SUM(P9:T9)</f>
        <v>1821629</v>
      </c>
    </row>
    <row r="10" spans="1:21" s="786" customFormat="1" ht="21" customHeight="1">
      <c r="A10" s="787">
        <v>41427</v>
      </c>
      <c r="B10" s="788">
        <v>4712.5</v>
      </c>
      <c r="C10" s="789">
        <v>1540357.5</v>
      </c>
      <c r="D10" s="790">
        <f t="shared" si="1"/>
        <v>19045.5</v>
      </c>
      <c r="E10" s="790">
        <f t="shared" si="2"/>
        <v>6042571</v>
      </c>
      <c r="F10" s="790"/>
      <c r="G10" s="791">
        <f t="shared" si="3"/>
        <v>2215689.5249999999</v>
      </c>
      <c r="H10" s="792">
        <f t="shared" ref="H10:H27" si="5">C8*0.85</f>
        <v>1535591.3</v>
      </c>
      <c r="I10" s="790">
        <v>2000000</v>
      </c>
      <c r="J10" s="790">
        <f t="shared" ref="J10:J27" si="6">J9+I10</f>
        <v>2000000</v>
      </c>
      <c r="K10" s="790">
        <f t="shared" si="4"/>
        <v>340119.27499999991</v>
      </c>
      <c r="L10" s="790">
        <f t="shared" si="0"/>
        <v>4042571</v>
      </c>
      <c r="M10" s="811"/>
      <c r="N10" s="807"/>
      <c r="O10" s="809"/>
      <c r="P10" s="809"/>
      <c r="Q10" s="809"/>
      <c r="R10" s="809"/>
      <c r="S10" s="809"/>
      <c r="T10" s="809"/>
      <c r="U10" s="809">
        <f>SUM(P10:T10)</f>
        <v>0</v>
      </c>
    </row>
    <row r="11" spans="1:21" s="786" customFormat="1" ht="21" customHeight="1">
      <c r="A11" s="787">
        <v>41458</v>
      </c>
      <c r="B11" s="788">
        <v>5008.5</v>
      </c>
      <c r="C11" s="789">
        <v>1626709</v>
      </c>
      <c r="D11" s="790">
        <f t="shared" si="1"/>
        <v>24054</v>
      </c>
      <c r="E11" s="790">
        <f t="shared" si="2"/>
        <v>7669280</v>
      </c>
      <c r="F11" s="790"/>
      <c r="G11" s="791">
        <f t="shared" si="3"/>
        <v>2533094.65</v>
      </c>
      <c r="H11" s="792">
        <f t="shared" si="5"/>
        <v>1486762.2</v>
      </c>
      <c r="I11" s="790">
        <v>0</v>
      </c>
      <c r="J11" s="790">
        <f t="shared" si="6"/>
        <v>2000000</v>
      </c>
      <c r="K11" s="790">
        <f t="shared" si="4"/>
        <v>1826881.4749999999</v>
      </c>
      <c r="L11" s="790">
        <f t="shared" si="0"/>
        <v>5669280</v>
      </c>
      <c r="M11" s="811" t="s">
        <v>3299</v>
      </c>
      <c r="N11" s="807"/>
      <c r="O11" s="809"/>
      <c r="P11" s="809"/>
      <c r="Q11" s="809"/>
      <c r="R11" s="809"/>
      <c r="S11" s="809"/>
      <c r="T11" s="809"/>
      <c r="U11" s="809"/>
    </row>
    <row r="12" spans="1:21" s="786" customFormat="1" ht="21" customHeight="1">
      <c r="A12" s="787">
        <v>41490</v>
      </c>
      <c r="B12" s="788">
        <v>3975</v>
      </c>
      <c r="C12" s="789">
        <v>1351592</v>
      </c>
      <c r="D12" s="790">
        <f t="shared" si="1"/>
        <v>28029</v>
      </c>
      <c r="E12" s="790">
        <f t="shared" si="2"/>
        <v>9020872</v>
      </c>
      <c r="F12" s="790"/>
      <c r="G12" s="791">
        <f t="shared" si="3"/>
        <v>2501984</v>
      </c>
      <c r="H12" s="792">
        <f t="shared" si="5"/>
        <v>1309303.875</v>
      </c>
      <c r="I12" s="790">
        <v>300801.5</v>
      </c>
      <c r="J12" s="790">
        <f t="shared" si="6"/>
        <v>2300801.5</v>
      </c>
      <c r="K12" s="790">
        <f t="shared" si="4"/>
        <v>2835383.8499999996</v>
      </c>
      <c r="L12" s="790">
        <f t="shared" si="0"/>
        <v>6720070.5</v>
      </c>
      <c r="M12" s="811" t="s">
        <v>3300</v>
      </c>
      <c r="N12" s="807"/>
      <c r="O12" s="807"/>
      <c r="P12" s="807"/>
      <c r="Q12" s="807"/>
      <c r="R12" s="807"/>
      <c r="S12" s="807"/>
      <c r="T12" s="807"/>
      <c r="U12" s="807"/>
    </row>
    <row r="13" spans="1:21" s="786" customFormat="1" ht="21" customHeight="1">
      <c r="A13" s="787">
        <v>41522</v>
      </c>
      <c r="B13" s="788">
        <v>4494.5</v>
      </c>
      <c r="C13" s="793">
        <v>1547633.5</v>
      </c>
      <c r="D13" s="790">
        <f t="shared" si="1"/>
        <v>32523.5</v>
      </c>
      <c r="E13" s="790">
        <f t="shared" si="2"/>
        <v>10568505.5</v>
      </c>
      <c r="F13" s="790"/>
      <c r="G13" s="791">
        <f t="shared" si="3"/>
        <v>2900764.3</v>
      </c>
      <c r="H13" s="792">
        <f t="shared" si="5"/>
        <v>1382702.65</v>
      </c>
      <c r="I13" s="790">
        <v>2500000</v>
      </c>
      <c r="J13" s="790">
        <f t="shared" si="6"/>
        <v>4800801.5</v>
      </c>
      <c r="K13" s="790">
        <f t="shared" si="4"/>
        <v>1718086.5</v>
      </c>
      <c r="L13" s="790">
        <f t="shared" si="0"/>
        <v>5767704</v>
      </c>
      <c r="M13" s="810" t="s">
        <v>3301</v>
      </c>
      <c r="N13" s="807"/>
      <c r="O13" s="807"/>
      <c r="P13" s="807"/>
      <c r="Q13" s="807"/>
      <c r="R13" s="807"/>
      <c r="S13" s="807"/>
      <c r="T13" s="807"/>
      <c r="U13" s="807"/>
    </row>
    <row r="14" spans="1:21" s="786" customFormat="1" ht="21" customHeight="1">
      <c r="A14" s="794">
        <v>41553</v>
      </c>
      <c r="B14" s="790">
        <v>4110</v>
      </c>
      <c r="C14" s="795">
        <v>1602074</v>
      </c>
      <c r="D14" s="790">
        <f t="shared" si="1"/>
        <v>36633.5</v>
      </c>
      <c r="E14" s="790">
        <f t="shared" si="2"/>
        <v>12170579.5</v>
      </c>
      <c r="F14" s="790"/>
      <c r="G14" s="791">
        <f t="shared" si="3"/>
        <v>3187349.8250000002</v>
      </c>
      <c r="H14" s="792">
        <f t="shared" si="5"/>
        <v>1148853.2</v>
      </c>
      <c r="I14" s="790">
        <v>1010449.5</v>
      </c>
      <c r="J14" s="790">
        <f t="shared" si="6"/>
        <v>5811251</v>
      </c>
      <c r="K14" s="790">
        <f t="shared" si="4"/>
        <v>1856490.2000000002</v>
      </c>
      <c r="L14" s="790">
        <f t="shared" si="0"/>
        <v>6359328.5</v>
      </c>
      <c r="M14" s="810" t="s">
        <v>3302</v>
      </c>
      <c r="N14" s="807"/>
      <c r="O14" s="807"/>
      <c r="P14" s="807"/>
      <c r="Q14" s="807"/>
      <c r="R14" s="807"/>
      <c r="S14" s="807"/>
      <c r="T14" s="807"/>
      <c r="U14" s="807"/>
    </row>
    <row r="15" spans="1:21" s="786" customFormat="1" ht="21" customHeight="1">
      <c r="A15" s="794">
        <v>41585</v>
      </c>
      <c r="B15" s="790">
        <v>4607</v>
      </c>
      <c r="C15" s="790">
        <v>1833980</v>
      </c>
      <c r="D15" s="790">
        <f t="shared" si="1"/>
        <v>41240.5</v>
      </c>
      <c r="E15" s="790">
        <f t="shared" si="2"/>
        <v>14004559.5</v>
      </c>
      <c r="F15" s="790"/>
      <c r="G15" s="791">
        <f t="shared" si="3"/>
        <v>3659566.9249999998</v>
      </c>
      <c r="H15" s="792">
        <f t="shared" si="5"/>
        <v>1315488.4749999999</v>
      </c>
      <c r="I15" s="790">
        <v>3200000</v>
      </c>
      <c r="J15" s="790">
        <f t="shared" si="6"/>
        <v>9011251</v>
      </c>
      <c r="K15" s="790">
        <f t="shared" si="4"/>
        <v>-28021.325000000186</v>
      </c>
      <c r="L15" s="790">
        <f t="shared" si="0"/>
        <v>4993308.5</v>
      </c>
      <c r="M15" s="810"/>
      <c r="N15" s="807"/>
      <c r="O15" s="807"/>
      <c r="P15" s="807"/>
      <c r="Q15" s="807"/>
      <c r="R15" s="807"/>
      <c r="S15" s="807"/>
      <c r="T15" s="807"/>
      <c r="U15" s="807"/>
    </row>
    <row r="16" spans="1:21" s="786" customFormat="1" ht="21" customHeight="1">
      <c r="A16" s="794">
        <v>41616</v>
      </c>
      <c r="B16" s="790">
        <v>3485</v>
      </c>
      <c r="C16" s="790">
        <v>1357699</v>
      </c>
      <c r="D16" s="790">
        <f t="shared" si="1"/>
        <v>44725.5</v>
      </c>
      <c r="E16" s="790">
        <f t="shared" si="2"/>
        <v>15362258.5</v>
      </c>
      <c r="F16" s="790"/>
      <c r="G16" s="791">
        <f t="shared" si="3"/>
        <v>3458382.9249999998</v>
      </c>
      <c r="H16" s="792">
        <f t="shared" si="5"/>
        <v>1361762.9</v>
      </c>
      <c r="I16" s="790">
        <v>3000000</v>
      </c>
      <c r="J16" s="790">
        <f t="shared" si="6"/>
        <v>12011251</v>
      </c>
      <c r="K16" s="790">
        <f t="shared" si="4"/>
        <v>-1666258.4250000003</v>
      </c>
      <c r="L16" s="790">
        <f t="shared" si="0"/>
        <v>3351007.5</v>
      </c>
      <c r="M16" s="810" t="s">
        <v>3303</v>
      </c>
      <c r="N16" s="807"/>
      <c r="O16" s="807"/>
      <c r="P16" s="807"/>
      <c r="Q16" s="807"/>
      <c r="R16" s="807"/>
      <c r="S16" s="807"/>
      <c r="T16" s="807"/>
      <c r="U16" s="807"/>
    </row>
    <row r="17" spans="1:21" s="786" customFormat="1" ht="21" customHeight="1">
      <c r="A17" s="794">
        <v>41640</v>
      </c>
      <c r="B17" s="790">
        <v>2937</v>
      </c>
      <c r="C17" s="790">
        <v>1122880</v>
      </c>
      <c r="D17" s="790">
        <f t="shared" si="1"/>
        <v>47662.5</v>
      </c>
      <c r="E17" s="790">
        <f t="shared" si="2"/>
        <v>16485138.5</v>
      </c>
      <c r="F17" s="790"/>
      <c r="G17" s="791">
        <f t="shared" si="3"/>
        <v>3427218.7749999999</v>
      </c>
      <c r="H17" s="792">
        <f t="shared" si="5"/>
        <v>1558883</v>
      </c>
      <c r="I17" s="790">
        <v>0</v>
      </c>
      <c r="J17" s="790">
        <f t="shared" si="6"/>
        <v>12011251</v>
      </c>
      <c r="K17" s="790">
        <f t="shared" si="4"/>
        <v>-107375.42500000028</v>
      </c>
      <c r="L17" s="790">
        <f t="shared" si="0"/>
        <v>4473887.5</v>
      </c>
      <c r="M17" s="810"/>
      <c r="N17" s="807"/>
      <c r="O17" s="807"/>
      <c r="P17" s="807"/>
      <c r="Q17" s="807"/>
      <c r="R17" s="807"/>
      <c r="S17" s="807"/>
      <c r="T17" s="807"/>
      <c r="U17" s="807"/>
    </row>
    <row r="18" spans="1:21" s="786" customFormat="1" ht="21" customHeight="1">
      <c r="A18" s="794">
        <v>41671</v>
      </c>
      <c r="B18" s="790">
        <v>993</v>
      </c>
      <c r="C18" s="790">
        <v>372540</v>
      </c>
      <c r="D18" s="790">
        <f t="shared" si="1"/>
        <v>48655.5</v>
      </c>
      <c r="E18" s="790">
        <f t="shared" si="2"/>
        <v>16857678.5</v>
      </c>
      <c r="F18" s="790"/>
      <c r="G18" s="791">
        <f t="shared" si="3"/>
        <v>2845310.7749999999</v>
      </c>
      <c r="H18" s="792">
        <f t="shared" si="5"/>
        <v>1154044.1499999999</v>
      </c>
      <c r="I18" s="790">
        <v>0</v>
      </c>
      <c r="J18" s="790">
        <f t="shared" si="6"/>
        <v>12011251</v>
      </c>
      <c r="K18" s="790">
        <f t="shared" si="4"/>
        <v>1046668.7249999996</v>
      </c>
      <c r="L18" s="790">
        <f t="shared" si="0"/>
        <v>4846427.5</v>
      </c>
      <c r="M18" s="810" t="s">
        <v>3304</v>
      </c>
      <c r="N18" s="807"/>
      <c r="O18" s="807"/>
      <c r="P18" s="807"/>
      <c r="Q18" s="807"/>
      <c r="R18" s="807"/>
      <c r="S18" s="807"/>
      <c r="T18" s="807"/>
      <c r="U18" s="807"/>
    </row>
    <row r="19" spans="1:21" s="786" customFormat="1" ht="21" customHeight="1">
      <c r="A19" s="796">
        <v>41699</v>
      </c>
      <c r="B19" s="797">
        <v>4176.5</v>
      </c>
      <c r="C19" s="797">
        <v>1558052.5</v>
      </c>
      <c r="D19" s="797">
        <f t="shared" si="1"/>
        <v>52832</v>
      </c>
      <c r="E19" s="797">
        <f t="shared" si="2"/>
        <v>18415731</v>
      </c>
      <c r="F19" s="797"/>
      <c r="G19" s="798">
        <f t="shared" si="3"/>
        <v>4086704.2749999999</v>
      </c>
      <c r="H19" s="799">
        <f t="shared" si="5"/>
        <v>954448</v>
      </c>
      <c r="I19" s="797">
        <v>1750000</v>
      </c>
      <c r="J19" s="797">
        <f t="shared" si="6"/>
        <v>13761251</v>
      </c>
      <c r="K19" s="797">
        <f t="shared" si="4"/>
        <v>251116.72499999963</v>
      </c>
      <c r="L19" s="797">
        <f t="shared" si="0"/>
        <v>4654480</v>
      </c>
      <c r="M19" s="812"/>
      <c r="N19" s="813"/>
      <c r="O19" s="813"/>
      <c r="P19" s="813"/>
      <c r="Q19" s="813"/>
      <c r="R19" s="813"/>
      <c r="S19" s="813"/>
      <c r="T19" s="813"/>
      <c r="U19" s="813"/>
    </row>
    <row r="20" spans="1:21" s="786" customFormat="1" ht="21" customHeight="1">
      <c r="A20" s="800">
        <v>41730</v>
      </c>
      <c r="B20" s="797">
        <v>3193.5</v>
      </c>
      <c r="C20" s="797">
        <v>1222891.5</v>
      </c>
      <c r="D20" s="797">
        <f t="shared" si="1"/>
        <v>56025.5</v>
      </c>
      <c r="E20" s="797">
        <f t="shared" si="2"/>
        <v>19638622.5</v>
      </c>
      <c r="F20" s="797"/>
      <c r="G20" s="798">
        <f t="shared" si="3"/>
        <v>3985251.15</v>
      </c>
      <c r="H20" s="799">
        <f t="shared" si="5"/>
        <v>316659</v>
      </c>
      <c r="I20" s="797">
        <v>1500000</v>
      </c>
      <c r="J20" s="797">
        <f t="shared" si="6"/>
        <v>15261251</v>
      </c>
      <c r="K20" s="797">
        <f t="shared" si="4"/>
        <v>-932224.27500000037</v>
      </c>
      <c r="L20" s="797">
        <f t="shared" si="0"/>
        <v>4377371.5</v>
      </c>
      <c r="M20" s="812" t="s">
        <v>3305</v>
      </c>
      <c r="N20" s="813"/>
      <c r="O20" s="813"/>
      <c r="P20" s="813"/>
      <c r="Q20" s="813"/>
      <c r="R20" s="813"/>
      <c r="S20" s="813"/>
      <c r="T20" s="813"/>
      <c r="U20" s="813"/>
    </row>
    <row r="21" spans="1:21" s="786" customFormat="1" ht="21" customHeight="1">
      <c r="A21" s="800">
        <v>41760</v>
      </c>
      <c r="B21" s="797">
        <v>2565</v>
      </c>
      <c r="C21" s="797">
        <v>963789</v>
      </c>
      <c r="D21" s="797">
        <f t="shared" si="1"/>
        <v>58590.5</v>
      </c>
      <c r="E21" s="797">
        <f t="shared" si="2"/>
        <v>20602411.5</v>
      </c>
      <c r="F21" s="797"/>
      <c r="G21" s="798">
        <f t="shared" si="3"/>
        <v>3909582.375</v>
      </c>
      <c r="H21" s="799">
        <f t="shared" si="5"/>
        <v>1324344.625</v>
      </c>
      <c r="I21" s="797"/>
      <c r="J21" s="797">
        <f t="shared" si="6"/>
        <v>15261251</v>
      </c>
      <c r="K21" s="797">
        <f t="shared" si="4"/>
        <v>392120.34999999963</v>
      </c>
      <c r="L21" s="797">
        <f t="shared" si="0"/>
        <v>5341160.5</v>
      </c>
      <c r="M21" s="812"/>
      <c r="N21" s="813"/>
      <c r="O21" s="813"/>
      <c r="P21" s="813"/>
      <c r="Q21" s="813"/>
      <c r="R21" s="813"/>
      <c r="S21" s="813"/>
      <c r="T21" s="813"/>
      <c r="U21" s="813"/>
    </row>
    <row r="22" spans="1:21" s="786" customFormat="1" ht="21" customHeight="1">
      <c r="A22" s="800">
        <v>41791</v>
      </c>
      <c r="B22" s="797">
        <v>2139</v>
      </c>
      <c r="C22" s="797">
        <v>792985.5</v>
      </c>
      <c r="D22" s="797">
        <f t="shared" si="1"/>
        <v>60729.5</v>
      </c>
      <c r="E22" s="797">
        <f t="shared" si="2"/>
        <v>21395397</v>
      </c>
      <c r="F22" s="797"/>
      <c r="G22" s="798">
        <f t="shared" si="3"/>
        <v>3883347.2250000001</v>
      </c>
      <c r="H22" s="799">
        <f t="shared" si="5"/>
        <v>1039457.775</v>
      </c>
      <c r="I22" s="797">
        <v>2500000</v>
      </c>
      <c r="J22" s="797">
        <f t="shared" si="6"/>
        <v>17761251</v>
      </c>
      <c r="K22" s="797">
        <f t="shared" si="4"/>
        <v>-1068421.8750000005</v>
      </c>
      <c r="L22" s="797">
        <f t="shared" si="0"/>
        <v>3634146</v>
      </c>
      <c r="M22" s="812" t="s">
        <v>3306</v>
      </c>
      <c r="N22" s="813"/>
      <c r="O22" s="813"/>
      <c r="P22" s="813"/>
      <c r="Q22" s="813"/>
      <c r="R22" s="813"/>
      <c r="S22" s="813"/>
      <c r="T22" s="813"/>
      <c r="U22" s="813"/>
    </row>
    <row r="23" spans="1:21" s="786" customFormat="1" ht="21" customHeight="1">
      <c r="A23" s="800">
        <v>41821</v>
      </c>
      <c r="B23" s="801">
        <v>1369</v>
      </c>
      <c r="C23" s="801">
        <v>509693.5</v>
      </c>
      <c r="D23" s="797">
        <f t="shared" si="1"/>
        <v>62098.5</v>
      </c>
      <c r="E23" s="797">
        <f t="shared" si="2"/>
        <v>21905090.5</v>
      </c>
      <c r="F23" s="801"/>
      <c r="G23" s="798">
        <f t="shared" si="3"/>
        <v>3719003.05</v>
      </c>
      <c r="H23" s="799">
        <f t="shared" si="5"/>
        <v>819220.65</v>
      </c>
      <c r="I23" s="801">
        <v>2000000</v>
      </c>
      <c r="J23" s="797">
        <f t="shared" si="6"/>
        <v>19761251</v>
      </c>
      <c r="K23" s="797">
        <f t="shared" si="4"/>
        <v>-2249201.2250000006</v>
      </c>
      <c r="L23" s="797">
        <f t="shared" si="0"/>
        <v>2143839.5</v>
      </c>
      <c r="M23" s="812" t="s">
        <v>3307</v>
      </c>
      <c r="N23" s="813"/>
      <c r="O23" s="813"/>
      <c r="P23" s="813"/>
      <c r="Q23" s="813"/>
      <c r="R23" s="813"/>
      <c r="S23" s="813"/>
      <c r="T23" s="813"/>
      <c r="U23" s="813"/>
    </row>
    <row r="24" spans="1:21" s="786" customFormat="1" ht="21" customHeight="1">
      <c r="A24" s="800">
        <v>41852</v>
      </c>
      <c r="B24" s="801">
        <v>1124</v>
      </c>
      <c r="C24" s="801">
        <v>409057</v>
      </c>
      <c r="D24" s="797">
        <f t="shared" si="1"/>
        <v>63222.5</v>
      </c>
      <c r="E24" s="797">
        <f t="shared" si="2"/>
        <v>22314147.5</v>
      </c>
      <c r="F24" s="801"/>
      <c r="G24" s="798">
        <f t="shared" si="3"/>
        <v>3694820.5749999997</v>
      </c>
      <c r="H24" s="799">
        <f t="shared" si="5"/>
        <v>674037.67499999993</v>
      </c>
      <c r="I24" s="801"/>
      <c r="J24" s="797">
        <f t="shared" si="6"/>
        <v>19761251</v>
      </c>
      <c r="K24" s="797">
        <f t="shared" si="4"/>
        <v>-1575163.5500000007</v>
      </c>
      <c r="L24" s="797">
        <f t="shared" si="0"/>
        <v>2552896.5</v>
      </c>
      <c r="M24" s="814"/>
      <c r="N24" s="813"/>
      <c r="O24" s="813"/>
      <c r="P24" s="813"/>
      <c r="Q24" s="813"/>
      <c r="R24" s="813"/>
      <c r="S24" s="813"/>
      <c r="T24" s="813"/>
      <c r="U24" s="813"/>
    </row>
    <row r="25" spans="1:21" s="786" customFormat="1" ht="21" customHeight="1">
      <c r="A25" s="800">
        <v>41883</v>
      </c>
      <c r="B25" s="801">
        <v>1136.5</v>
      </c>
      <c r="C25" s="801">
        <v>408874.5</v>
      </c>
      <c r="D25" s="797">
        <f t="shared" si="1"/>
        <v>64359</v>
      </c>
      <c r="E25" s="797">
        <f t="shared" si="2"/>
        <v>22723022</v>
      </c>
      <c r="F25" s="801"/>
      <c r="G25" s="798">
        <f t="shared" si="3"/>
        <v>3755996.625</v>
      </c>
      <c r="H25" s="799">
        <f t="shared" si="5"/>
        <v>433239.47499999998</v>
      </c>
      <c r="I25" s="801">
        <v>146947.5</v>
      </c>
      <c r="J25" s="797">
        <f t="shared" si="6"/>
        <v>19908198.5</v>
      </c>
      <c r="K25" s="797">
        <f t="shared" si="4"/>
        <v>-1288871.5750000007</v>
      </c>
      <c r="L25" s="797">
        <f t="shared" si="0"/>
        <v>2814823.5</v>
      </c>
      <c r="M25" s="815" t="s">
        <v>3308</v>
      </c>
      <c r="N25" s="813"/>
      <c r="O25" s="813"/>
      <c r="P25" s="813"/>
      <c r="Q25" s="813"/>
      <c r="R25" s="813"/>
      <c r="S25" s="813"/>
      <c r="T25" s="813"/>
      <c r="U25" s="813"/>
    </row>
    <row r="26" spans="1:21" s="786" customFormat="1" ht="21" customHeight="1">
      <c r="A26" s="800">
        <v>41913</v>
      </c>
      <c r="B26" s="801">
        <v>273</v>
      </c>
      <c r="C26" s="801">
        <v>98582</v>
      </c>
      <c r="D26" s="797">
        <f t="shared" si="1"/>
        <v>64632</v>
      </c>
      <c r="E26" s="797">
        <f t="shared" si="2"/>
        <v>22821604</v>
      </c>
      <c r="F26" s="801"/>
      <c r="G26" s="798">
        <f t="shared" si="3"/>
        <v>3507035.3</v>
      </c>
      <c r="H26" s="799">
        <f t="shared" si="5"/>
        <v>347698.45</v>
      </c>
      <c r="I26" s="801"/>
      <c r="J26" s="797">
        <f t="shared" si="6"/>
        <v>19908198.5</v>
      </c>
      <c r="K26" s="797">
        <f t="shared" si="4"/>
        <v>-941173.1250000007</v>
      </c>
      <c r="L26" s="797">
        <f t="shared" si="0"/>
        <v>2913405.5</v>
      </c>
      <c r="M26" s="815"/>
      <c r="N26" s="813"/>
      <c r="O26" s="813"/>
      <c r="P26" s="813"/>
      <c r="Q26" s="813"/>
      <c r="R26" s="813"/>
      <c r="S26" s="813"/>
      <c r="T26" s="813"/>
      <c r="U26" s="813"/>
    </row>
    <row r="27" spans="1:21" s="786" customFormat="1" ht="21" customHeight="1">
      <c r="A27" s="800">
        <v>41944</v>
      </c>
      <c r="B27" s="801">
        <v>253.5</v>
      </c>
      <c r="C27" s="801">
        <v>87777.5</v>
      </c>
      <c r="D27" s="797">
        <f t="shared" si="1"/>
        <v>64885.5</v>
      </c>
      <c r="E27" s="797">
        <f t="shared" si="2"/>
        <v>22909381.5</v>
      </c>
      <c r="F27" s="801"/>
      <c r="G27" s="798">
        <f>E27*0.15*2/3</f>
        <v>2290938.15</v>
      </c>
      <c r="H27" s="799">
        <f t="shared" si="5"/>
        <v>347543.32500000001</v>
      </c>
      <c r="I27" s="801"/>
      <c r="J27" s="797">
        <f t="shared" si="6"/>
        <v>19908198.5</v>
      </c>
      <c r="K27" s="797">
        <f t="shared" si="4"/>
        <v>-593629.80000000075</v>
      </c>
      <c r="L27" s="797">
        <f t="shared" si="0"/>
        <v>3001183</v>
      </c>
      <c r="M27" s="815"/>
      <c r="N27" s="813"/>
      <c r="O27" s="813"/>
      <c r="P27" s="813"/>
      <c r="Q27" s="813"/>
      <c r="R27" s="813"/>
      <c r="S27" s="813"/>
      <c r="T27" s="813"/>
      <c r="U27" s="813"/>
    </row>
    <row r="28" spans="1:21" s="786" customFormat="1" ht="21" customHeight="1">
      <c r="A28" s="802">
        <v>41974</v>
      </c>
      <c r="B28" s="801">
        <v>548</v>
      </c>
      <c r="C28" s="801">
        <v>196204</v>
      </c>
      <c r="D28" s="797">
        <f t="shared" si="1"/>
        <v>65433.5</v>
      </c>
      <c r="E28" s="797">
        <f t="shared" si="2"/>
        <v>23105585.5</v>
      </c>
      <c r="F28" s="801"/>
      <c r="G28" s="798">
        <f>E27*0.15*1/3</f>
        <v>1145469.075</v>
      </c>
      <c r="H28" s="799">
        <f>C26+G27/3</f>
        <v>862228.04999999993</v>
      </c>
      <c r="I28" s="801"/>
      <c r="J28" s="797">
        <f t="shared" ref="J28:J35" si="7">J27+I28</f>
        <v>19908198.5</v>
      </c>
      <c r="K28" s="797">
        <f t="shared" si="4"/>
        <v>268598.24999999919</v>
      </c>
      <c r="L28" s="797">
        <f t="shared" ref="L28:L35" si="8">E28-J28</f>
        <v>3197387</v>
      </c>
      <c r="M28" s="815"/>
      <c r="N28" s="813"/>
      <c r="O28" s="813"/>
      <c r="P28" s="813"/>
      <c r="Q28" s="813"/>
      <c r="R28" s="813"/>
      <c r="S28" s="813"/>
      <c r="T28" s="813"/>
      <c r="U28" s="813"/>
    </row>
    <row r="29" spans="1:21" s="786" customFormat="1" ht="21" customHeight="1">
      <c r="A29" s="802">
        <v>42005</v>
      </c>
      <c r="B29" s="801">
        <v>549.5</v>
      </c>
      <c r="C29" s="801">
        <v>197612</v>
      </c>
      <c r="D29" s="797">
        <f t="shared" si="1"/>
        <v>65983</v>
      </c>
      <c r="E29" s="797">
        <f t="shared" si="2"/>
        <v>23303197.5</v>
      </c>
      <c r="F29" s="801"/>
      <c r="G29" s="798"/>
      <c r="H29" s="799">
        <f>C27+G27/3</f>
        <v>851423.54999999993</v>
      </c>
      <c r="I29" s="801"/>
      <c r="J29" s="797">
        <f t="shared" si="7"/>
        <v>19908198.5</v>
      </c>
      <c r="K29" s="797">
        <f t="shared" ref="K29:K36" si="9">K28+H29-I29</f>
        <v>1120021.7999999991</v>
      </c>
      <c r="L29" s="797">
        <f t="shared" si="8"/>
        <v>3394999</v>
      </c>
      <c r="M29" s="815"/>
      <c r="N29" s="813"/>
      <c r="O29" s="813"/>
      <c r="P29" s="813"/>
      <c r="Q29" s="813"/>
      <c r="R29" s="813"/>
      <c r="S29" s="813"/>
      <c r="T29" s="813"/>
      <c r="U29" s="813"/>
    </row>
    <row r="30" spans="1:21" s="786" customFormat="1" ht="21" customHeight="1">
      <c r="A30" s="802">
        <v>42036</v>
      </c>
      <c r="B30" s="801">
        <v>5</v>
      </c>
      <c r="C30" s="801">
        <v>1720</v>
      </c>
      <c r="D30" s="797">
        <f t="shared" si="1"/>
        <v>65988</v>
      </c>
      <c r="E30" s="797">
        <f t="shared" si="2"/>
        <v>23304917.5</v>
      </c>
      <c r="F30" s="801"/>
      <c r="G30" s="798"/>
      <c r="H30" s="799">
        <f>C28+G27/3</f>
        <v>959850.04999999993</v>
      </c>
      <c r="I30" s="801"/>
      <c r="J30" s="797">
        <f t="shared" si="7"/>
        <v>19908198.5</v>
      </c>
      <c r="K30" s="797">
        <f t="shared" si="9"/>
        <v>2079871.8499999992</v>
      </c>
      <c r="L30" s="797">
        <f t="shared" si="8"/>
        <v>3396719</v>
      </c>
      <c r="M30" s="815"/>
      <c r="N30" s="813"/>
      <c r="O30" s="813"/>
      <c r="P30" s="813"/>
      <c r="Q30" s="813"/>
      <c r="R30" s="813"/>
      <c r="S30" s="813"/>
      <c r="T30" s="813"/>
      <c r="U30" s="813"/>
    </row>
    <row r="31" spans="1:21" s="786" customFormat="1" ht="21" customHeight="1">
      <c r="A31" s="802">
        <v>42064</v>
      </c>
      <c r="B31" s="797">
        <v>41</v>
      </c>
      <c r="C31" s="797">
        <v>14965</v>
      </c>
      <c r="D31" s="797">
        <f t="shared" si="1"/>
        <v>66029</v>
      </c>
      <c r="E31" s="797">
        <f t="shared" si="2"/>
        <v>23319882.5</v>
      </c>
      <c r="F31" s="797"/>
      <c r="G31" s="798"/>
      <c r="H31" s="799">
        <f t="shared" ref="H31:H36" si="10">C29</f>
        <v>197612</v>
      </c>
      <c r="I31" s="797"/>
      <c r="J31" s="797">
        <f t="shared" si="7"/>
        <v>19908198.5</v>
      </c>
      <c r="K31" s="797">
        <f t="shared" si="9"/>
        <v>2277483.8499999992</v>
      </c>
      <c r="L31" s="797">
        <f t="shared" si="8"/>
        <v>3411684</v>
      </c>
      <c r="M31" s="815"/>
      <c r="N31" s="813"/>
      <c r="O31" s="813"/>
      <c r="P31" s="813"/>
      <c r="Q31" s="813"/>
      <c r="R31" s="813"/>
      <c r="S31" s="813"/>
      <c r="T31" s="813"/>
      <c r="U31" s="813"/>
    </row>
    <row r="32" spans="1:21" s="786" customFormat="1" ht="21" customHeight="1">
      <c r="A32" s="803">
        <v>42095</v>
      </c>
      <c r="B32" s="797">
        <v>28</v>
      </c>
      <c r="C32" s="797">
        <v>9495</v>
      </c>
      <c r="D32" s="797">
        <f t="shared" si="1"/>
        <v>66057</v>
      </c>
      <c r="E32" s="797">
        <f t="shared" si="2"/>
        <v>23329377.5</v>
      </c>
      <c r="F32" s="797"/>
      <c r="G32" s="798"/>
      <c r="H32" s="799">
        <f t="shared" si="10"/>
        <v>1720</v>
      </c>
      <c r="I32" s="797"/>
      <c r="J32" s="797">
        <f t="shared" si="7"/>
        <v>19908198.5</v>
      </c>
      <c r="K32" s="797">
        <f t="shared" si="9"/>
        <v>2279203.8499999992</v>
      </c>
      <c r="L32" s="797">
        <f t="shared" si="8"/>
        <v>3421179</v>
      </c>
      <c r="M32" s="815"/>
      <c r="N32" s="813"/>
      <c r="O32" s="813"/>
      <c r="P32" s="813"/>
      <c r="Q32" s="813"/>
      <c r="R32" s="813"/>
      <c r="S32" s="813"/>
      <c r="T32" s="813"/>
      <c r="U32" s="813"/>
    </row>
    <row r="33" spans="1:21" s="786" customFormat="1" ht="21" customHeight="1">
      <c r="A33" s="803">
        <v>42125</v>
      </c>
      <c r="B33" s="797">
        <v>27</v>
      </c>
      <c r="C33" s="797">
        <v>9450</v>
      </c>
      <c r="D33" s="797">
        <f t="shared" si="1"/>
        <v>66084</v>
      </c>
      <c r="E33" s="797">
        <f t="shared" si="2"/>
        <v>23338827.5</v>
      </c>
      <c r="F33" s="797"/>
      <c r="G33" s="798"/>
      <c r="H33" s="799">
        <f t="shared" si="10"/>
        <v>14965</v>
      </c>
      <c r="I33" s="797">
        <v>945715</v>
      </c>
      <c r="J33" s="797">
        <f t="shared" si="7"/>
        <v>20853913.5</v>
      </c>
      <c r="K33" s="797">
        <f t="shared" si="9"/>
        <v>1348453.8499999992</v>
      </c>
      <c r="L33" s="797">
        <f t="shared" si="8"/>
        <v>2484914</v>
      </c>
      <c r="M33" s="815" t="s">
        <v>3309</v>
      </c>
      <c r="N33" s="813"/>
      <c r="O33" s="813"/>
      <c r="P33" s="813"/>
      <c r="Q33" s="813"/>
      <c r="R33" s="813"/>
      <c r="S33" s="813"/>
      <c r="T33" s="813"/>
      <c r="U33" s="813"/>
    </row>
    <row r="34" spans="1:21" s="786" customFormat="1" ht="21" customHeight="1">
      <c r="A34" s="803">
        <v>42156</v>
      </c>
      <c r="B34" s="797">
        <v>37</v>
      </c>
      <c r="C34" s="797">
        <v>12595</v>
      </c>
      <c r="D34" s="797">
        <f t="shared" si="1"/>
        <v>66121</v>
      </c>
      <c r="E34" s="797">
        <f t="shared" si="2"/>
        <v>23351422.5</v>
      </c>
      <c r="F34" s="797"/>
      <c r="G34" s="798"/>
      <c r="H34" s="799">
        <f t="shared" si="10"/>
        <v>9495</v>
      </c>
      <c r="I34" s="797"/>
      <c r="J34" s="797">
        <f t="shared" si="7"/>
        <v>20853913.5</v>
      </c>
      <c r="K34" s="797">
        <f t="shared" si="9"/>
        <v>1357948.8499999992</v>
      </c>
      <c r="L34" s="797">
        <f t="shared" si="8"/>
        <v>2497509</v>
      </c>
      <c r="M34" s="815"/>
      <c r="N34" s="813"/>
      <c r="O34" s="813"/>
      <c r="P34" s="813"/>
      <c r="Q34" s="813"/>
      <c r="R34" s="813"/>
      <c r="S34" s="813"/>
      <c r="T34" s="813"/>
      <c r="U34" s="813"/>
    </row>
    <row r="35" spans="1:21" s="786" customFormat="1" ht="29.1" customHeight="1">
      <c r="A35" s="803">
        <v>42187</v>
      </c>
      <c r="B35" s="797">
        <v>6</v>
      </c>
      <c r="C35" s="797">
        <v>2085</v>
      </c>
      <c r="D35" s="797">
        <f t="shared" si="1"/>
        <v>66127</v>
      </c>
      <c r="E35" s="797">
        <f t="shared" si="2"/>
        <v>23353507.5</v>
      </c>
      <c r="F35" s="797"/>
      <c r="G35" s="798"/>
      <c r="H35" s="799">
        <f t="shared" si="10"/>
        <v>9450</v>
      </c>
      <c r="I35" s="797">
        <v>1000000</v>
      </c>
      <c r="J35" s="797">
        <f t="shared" si="7"/>
        <v>21853913.5</v>
      </c>
      <c r="K35" s="797">
        <f t="shared" si="9"/>
        <v>367398.84999999916</v>
      </c>
      <c r="L35" s="797">
        <f t="shared" si="8"/>
        <v>1499594</v>
      </c>
      <c r="M35" s="815" t="s">
        <v>3310</v>
      </c>
      <c r="N35" s="813"/>
      <c r="O35" s="813"/>
      <c r="P35" s="813"/>
      <c r="Q35" s="813"/>
      <c r="R35" s="813"/>
      <c r="S35" s="813"/>
      <c r="T35" s="813"/>
      <c r="U35" s="813"/>
    </row>
    <row r="36" spans="1:21" ht="29.1" customHeight="1">
      <c r="A36" s="341"/>
      <c r="B36" s="200"/>
      <c r="C36" s="200"/>
      <c r="D36" s="200"/>
      <c r="E36" s="200"/>
      <c r="F36" s="200"/>
      <c r="G36" s="180"/>
      <c r="H36" s="201">
        <f t="shared" si="10"/>
        <v>12595</v>
      </c>
      <c r="I36" s="200"/>
      <c r="J36" s="200"/>
      <c r="K36" s="200">
        <f t="shared" si="9"/>
        <v>379993.84999999916</v>
      </c>
      <c r="L36" s="200"/>
      <c r="M36" s="733"/>
      <c r="N36" s="763"/>
      <c r="O36" s="763"/>
      <c r="P36" s="763"/>
      <c r="Q36" s="763"/>
      <c r="R36" s="763"/>
      <c r="S36" s="763"/>
      <c r="T36" s="763"/>
      <c r="U36" s="763"/>
    </row>
    <row r="37" spans="1:21" ht="29.1" customHeight="1">
      <c r="A37" s="341"/>
      <c r="B37" s="200"/>
      <c r="C37" s="200"/>
      <c r="D37" s="200"/>
      <c r="E37" s="200"/>
      <c r="F37" s="200"/>
      <c r="G37" s="180"/>
      <c r="H37" s="201"/>
      <c r="I37" s="200"/>
      <c r="J37" s="200"/>
      <c r="K37" s="200"/>
      <c r="L37" s="200"/>
      <c r="M37" s="733"/>
      <c r="N37" s="763"/>
      <c r="O37" s="763"/>
      <c r="P37" s="763"/>
      <c r="Q37" s="763"/>
      <c r="R37" s="763"/>
      <c r="S37" s="763"/>
      <c r="T37" s="763"/>
      <c r="U37" s="763"/>
    </row>
    <row r="38" spans="1:21" ht="29.1" customHeight="1">
      <c r="A38" s="341"/>
      <c r="B38" s="200"/>
      <c r="C38" s="200"/>
      <c r="D38" s="200"/>
      <c r="E38" s="200"/>
      <c r="F38" s="200"/>
      <c r="G38" s="180"/>
      <c r="H38" s="201"/>
      <c r="I38" s="200"/>
      <c r="J38" s="200"/>
      <c r="K38" s="200"/>
      <c r="L38" s="200"/>
      <c r="M38" s="733"/>
      <c r="N38" s="763"/>
      <c r="O38" s="763"/>
      <c r="P38" s="763"/>
      <c r="Q38" s="763"/>
      <c r="R38" s="763"/>
      <c r="S38" s="763"/>
      <c r="T38" s="763"/>
      <c r="U38" s="763"/>
    </row>
    <row r="39" spans="1:21" ht="29.1" customHeight="1">
      <c r="A39" s="219"/>
      <c r="B39" s="200"/>
      <c r="C39" s="200"/>
      <c r="D39" s="200"/>
      <c r="E39" s="200"/>
      <c r="F39" s="200"/>
      <c r="G39" s="180"/>
      <c r="H39" s="201"/>
      <c r="I39" s="200"/>
      <c r="J39" s="200"/>
      <c r="K39" s="200"/>
      <c r="L39" s="200"/>
      <c r="M39" s="733"/>
      <c r="N39" s="763"/>
      <c r="O39" s="763"/>
      <c r="P39" s="763"/>
      <c r="Q39" s="763"/>
      <c r="R39" s="763"/>
      <c r="S39" s="763"/>
      <c r="T39" s="763"/>
      <c r="U39" s="763"/>
    </row>
    <row r="40" spans="1:21" ht="29.1" customHeight="1"/>
    <row r="41" spans="1:21" ht="29.1" customHeight="1"/>
    <row r="42" spans="1:21" ht="29.1" customHeight="1"/>
    <row r="43" spans="1:21" ht="29.1" customHeight="1"/>
    <row r="44" spans="1:21" ht="29.1" customHeight="1"/>
    <row r="45" spans="1:21" ht="29.1" customHeight="1"/>
    <row r="46" spans="1:21" ht="29.1" customHeight="1"/>
    <row r="47" spans="1:21" ht="29.1" customHeight="1"/>
    <row r="48" spans="1:21" ht="29.1" customHeight="1"/>
    <row r="49" ht="29.1" customHeight="1"/>
    <row r="50" ht="29.1" customHeight="1"/>
    <row r="51" ht="29.1" customHeight="1"/>
    <row r="52" ht="29.1" customHeight="1"/>
    <row r="53" ht="29.1" customHeight="1"/>
    <row r="54" ht="29.1" customHeight="1"/>
    <row r="55" ht="29.1" customHeight="1"/>
    <row r="56" ht="29.1" customHeight="1"/>
  </sheetData>
  <mergeCells count="13">
    <mergeCell ref="B4:F4"/>
    <mergeCell ref="G4:K4"/>
    <mergeCell ref="L4:M4"/>
    <mergeCell ref="A5:C5"/>
    <mergeCell ref="E5:G5"/>
    <mergeCell ref="P7:T7"/>
    <mergeCell ref="O2:O5"/>
    <mergeCell ref="E1:G1"/>
    <mergeCell ref="I1:K1"/>
    <mergeCell ref="L1:M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10"/>
  <sheetViews>
    <sheetView topLeftCell="A52" zoomScaleSheetLayoutView="100" workbookViewId="0">
      <selection activeCell="B3" sqref="B3:C3"/>
    </sheetView>
  </sheetViews>
  <sheetFormatPr defaultColWidth="9" defaultRowHeight="14.25"/>
  <cols>
    <col min="1" max="1" width="12.625" bestFit="1" customWidth="1"/>
    <col min="2" max="2" width="13.5" customWidth="1"/>
    <col min="3" max="3" width="14.25" customWidth="1"/>
    <col min="4" max="4" width="13.875" customWidth="1"/>
    <col min="5" max="5" width="14.5" customWidth="1"/>
    <col min="6" max="6" width="13.875" customWidth="1"/>
    <col min="7" max="7" width="12.875" customWidth="1"/>
    <col min="8" max="8" width="15.625" customWidth="1"/>
    <col min="9" max="9" width="14.25" customWidth="1"/>
    <col min="10" max="10" width="15.375" bestFit="1" customWidth="1"/>
    <col min="11" max="11" width="15.125" customWidth="1"/>
    <col min="12" max="12" width="15.25" customWidth="1"/>
    <col min="13" max="13" width="28.25" customWidth="1"/>
    <col min="14" max="14" width="14.125" customWidth="1"/>
  </cols>
  <sheetData>
    <row r="1" spans="1:15" ht="159" customHeight="1">
      <c r="A1" s="349" t="s">
        <v>556</v>
      </c>
      <c r="B1" s="401">
        <v>41852</v>
      </c>
      <c r="C1" s="351" t="s">
        <v>1525</v>
      </c>
      <c r="D1" s="350" t="s">
        <v>236</v>
      </c>
      <c r="E1" s="2104"/>
      <c r="F1" s="2104"/>
      <c r="G1" s="2028" t="s">
        <v>3311</v>
      </c>
      <c r="H1" s="2028"/>
      <c r="I1" s="306" t="s">
        <v>560</v>
      </c>
      <c r="J1" s="1695" t="s">
        <v>3312</v>
      </c>
      <c r="K1" s="1695"/>
      <c r="L1" s="1695"/>
      <c r="M1" s="2102" t="s">
        <v>3313</v>
      </c>
      <c r="N1" s="2103"/>
      <c r="O1" s="758" t="s">
        <v>3314</v>
      </c>
    </row>
    <row r="2" spans="1:15" ht="33.950000000000003" customHeight="1">
      <c r="A2" s="133" t="s">
        <v>240</v>
      </c>
      <c r="B2" s="1682" t="s">
        <v>3210</v>
      </c>
      <c r="C2" s="1682"/>
      <c r="D2" s="134" t="s">
        <v>242</v>
      </c>
      <c r="E2" s="1689"/>
      <c r="F2" s="1689"/>
      <c r="G2" s="1689"/>
      <c r="H2" s="1689"/>
      <c r="I2" s="166" t="s">
        <v>243</v>
      </c>
      <c r="J2" s="166" t="s">
        <v>321</v>
      </c>
      <c r="K2" s="310"/>
      <c r="L2" s="166" t="s">
        <v>245</v>
      </c>
      <c r="M2" s="167" t="s">
        <v>3315</v>
      </c>
      <c r="N2" s="759"/>
    </row>
    <row r="3" spans="1:15" ht="33" customHeight="1">
      <c r="A3" s="133" t="s">
        <v>247</v>
      </c>
      <c r="B3" s="1682" t="s">
        <v>3316</v>
      </c>
      <c r="C3" s="1682"/>
      <c r="D3" s="134" t="s">
        <v>249</v>
      </c>
      <c r="E3" s="136" t="s">
        <v>323</v>
      </c>
      <c r="F3" s="134" t="s">
        <v>251</v>
      </c>
      <c r="G3" s="134"/>
      <c r="H3" s="134" t="s">
        <v>252</v>
      </c>
      <c r="I3" s="134"/>
      <c r="J3" s="15" t="s">
        <v>565</v>
      </c>
      <c r="K3" s="15"/>
      <c r="L3" s="15" t="s">
        <v>255</v>
      </c>
      <c r="M3" s="207"/>
      <c r="N3" s="760"/>
    </row>
    <row r="4" spans="1:15" ht="57.95" customHeight="1">
      <c r="A4" s="133" t="s">
        <v>260</v>
      </c>
      <c r="B4" s="1690" t="s">
        <v>3317</v>
      </c>
      <c r="C4" s="1690"/>
      <c r="D4" s="1690"/>
      <c r="E4" s="1690" t="s">
        <v>3318</v>
      </c>
      <c r="F4" s="1690"/>
      <c r="G4" s="1690" t="s">
        <v>3275</v>
      </c>
      <c r="H4" s="1690"/>
      <c r="I4" s="1690"/>
      <c r="J4" s="1697"/>
      <c r="K4" s="1697"/>
      <c r="L4" s="1697"/>
      <c r="M4" s="1846"/>
      <c r="N4" s="760"/>
    </row>
    <row r="5" spans="1:15" ht="63" customHeight="1">
      <c r="A5" s="748" t="s">
        <v>3319</v>
      </c>
      <c r="B5" s="749" t="s">
        <v>3320</v>
      </c>
      <c r="C5" s="2045"/>
      <c r="D5" s="2097"/>
      <c r="E5" s="2045"/>
      <c r="F5" s="2097"/>
      <c r="G5" s="2045"/>
      <c r="H5" s="2046"/>
      <c r="I5" s="2097"/>
      <c r="J5" s="1698"/>
      <c r="K5" s="1699"/>
      <c r="L5" s="1700"/>
      <c r="M5" s="264"/>
      <c r="N5" s="760"/>
    </row>
    <row r="6" spans="1:15" ht="60" customHeight="1">
      <c r="A6" s="1688" t="s">
        <v>660</v>
      </c>
      <c r="B6" s="1689"/>
      <c r="C6" s="1689"/>
      <c r="D6" s="1690"/>
      <c r="E6" s="1690"/>
      <c r="F6" s="1690"/>
      <c r="G6" s="1690"/>
      <c r="H6" s="1690"/>
      <c r="I6" s="1690"/>
      <c r="J6" s="1698"/>
      <c r="K6" s="1699"/>
      <c r="L6" s="1700"/>
      <c r="M6" s="264"/>
      <c r="N6" s="760"/>
    </row>
    <row r="7" spans="1:15" ht="30.75">
      <c r="A7" s="19" t="s">
        <v>266</v>
      </c>
      <c r="B7" s="20" t="s">
        <v>267</v>
      </c>
      <c r="C7" s="20" t="s">
        <v>268</v>
      </c>
      <c r="D7" s="20" t="s">
        <v>269</v>
      </c>
      <c r="E7" s="20" t="s">
        <v>270</v>
      </c>
      <c r="F7" s="20" t="s">
        <v>271</v>
      </c>
      <c r="G7" s="21" t="s">
        <v>272</v>
      </c>
      <c r="H7" s="22" t="s">
        <v>273</v>
      </c>
      <c r="I7" s="20" t="s">
        <v>274</v>
      </c>
      <c r="J7" s="70" t="s">
        <v>275</v>
      </c>
      <c r="K7" s="70" t="s">
        <v>276</v>
      </c>
      <c r="L7" s="20" t="s">
        <v>277</v>
      </c>
      <c r="M7" s="71" t="s">
        <v>278</v>
      </c>
      <c r="N7" s="761"/>
    </row>
    <row r="8" spans="1:15" ht="24" customHeight="1">
      <c r="A8" s="139">
        <v>41487</v>
      </c>
      <c r="B8" s="140">
        <v>48</v>
      </c>
      <c r="C8" s="140">
        <v>12876</v>
      </c>
      <c r="D8" s="750">
        <f>B8</f>
        <v>48</v>
      </c>
      <c r="E8" s="750">
        <f>C8</f>
        <v>12876</v>
      </c>
      <c r="F8" s="750"/>
      <c r="G8" s="751"/>
      <c r="H8" s="750"/>
      <c r="I8" s="750"/>
      <c r="J8" s="750"/>
      <c r="K8" s="750"/>
      <c r="L8" s="750">
        <f t="shared" ref="L8:L54" si="0">E8-J8</f>
        <v>12876</v>
      </c>
      <c r="M8" s="171"/>
      <c r="N8" s="762"/>
    </row>
    <row r="9" spans="1:15" ht="24" customHeight="1">
      <c r="A9" s="725">
        <v>41518</v>
      </c>
      <c r="B9" s="140">
        <v>64</v>
      </c>
      <c r="C9" s="140">
        <v>17638</v>
      </c>
      <c r="D9" s="750">
        <f t="shared" ref="D9:D54" si="1">D8+B9</f>
        <v>112</v>
      </c>
      <c r="E9" s="750">
        <f t="shared" ref="E9:E54" si="2">E8+C9</f>
        <v>30514</v>
      </c>
      <c r="F9" s="750"/>
      <c r="G9" s="751"/>
      <c r="H9" s="752">
        <f t="shared" ref="H9:H55" si="3">C8</f>
        <v>12876</v>
      </c>
      <c r="I9" s="750"/>
      <c r="J9" s="750"/>
      <c r="K9" s="750">
        <f t="shared" ref="K9:K55" si="4">K8+H9-I9</f>
        <v>12876</v>
      </c>
      <c r="L9" s="750">
        <f t="shared" si="0"/>
        <v>30514</v>
      </c>
      <c r="M9" s="730"/>
      <c r="N9" s="762"/>
    </row>
    <row r="10" spans="1:15" ht="24" customHeight="1">
      <c r="A10" s="725">
        <v>41548</v>
      </c>
      <c r="B10" s="612">
        <v>4</v>
      </c>
      <c r="C10" s="612">
        <v>1440</v>
      </c>
      <c r="D10" s="750">
        <f t="shared" si="1"/>
        <v>116</v>
      </c>
      <c r="E10" s="750">
        <f t="shared" si="2"/>
        <v>31954</v>
      </c>
      <c r="F10" s="752"/>
      <c r="G10" s="751"/>
      <c r="H10" s="752">
        <f t="shared" si="3"/>
        <v>17638</v>
      </c>
      <c r="I10" s="752"/>
      <c r="J10" s="752"/>
      <c r="K10" s="750">
        <f t="shared" si="4"/>
        <v>30514</v>
      </c>
      <c r="L10" s="750">
        <f t="shared" si="0"/>
        <v>31954</v>
      </c>
      <c r="M10" s="731"/>
      <c r="N10" s="762"/>
    </row>
    <row r="11" spans="1:15" ht="24" customHeight="1">
      <c r="A11" s="725">
        <v>41579</v>
      </c>
      <c r="B11" s="612">
        <v>7</v>
      </c>
      <c r="C11" s="612">
        <v>2520</v>
      </c>
      <c r="D11" s="750">
        <f t="shared" si="1"/>
        <v>123</v>
      </c>
      <c r="E11" s="750">
        <f t="shared" si="2"/>
        <v>34474</v>
      </c>
      <c r="F11" s="752"/>
      <c r="G11" s="751"/>
      <c r="H11" s="752">
        <f t="shared" si="3"/>
        <v>1440</v>
      </c>
      <c r="I11" s="752"/>
      <c r="J11" s="752"/>
      <c r="K11" s="750">
        <f t="shared" si="4"/>
        <v>31954</v>
      </c>
      <c r="L11" s="750">
        <f t="shared" si="0"/>
        <v>34474</v>
      </c>
      <c r="M11" s="731"/>
      <c r="N11" s="762"/>
    </row>
    <row r="12" spans="1:15" ht="24" customHeight="1">
      <c r="A12" s="725">
        <v>41609</v>
      </c>
      <c r="B12" s="612">
        <v>61</v>
      </c>
      <c r="C12" s="612">
        <v>22370</v>
      </c>
      <c r="D12" s="750">
        <f t="shared" si="1"/>
        <v>184</v>
      </c>
      <c r="E12" s="750">
        <f t="shared" si="2"/>
        <v>56844</v>
      </c>
      <c r="F12" s="752"/>
      <c r="G12" s="751"/>
      <c r="H12" s="752">
        <f t="shared" si="3"/>
        <v>2520</v>
      </c>
      <c r="I12" s="752"/>
      <c r="J12" s="752"/>
      <c r="K12" s="750">
        <f t="shared" si="4"/>
        <v>34474</v>
      </c>
      <c r="L12" s="750">
        <f t="shared" si="0"/>
        <v>56844</v>
      </c>
      <c r="M12" s="731"/>
      <c r="N12" s="762"/>
    </row>
    <row r="13" spans="1:15" ht="24" customHeight="1">
      <c r="A13" s="725">
        <v>41640</v>
      </c>
      <c r="B13" s="612">
        <v>114</v>
      </c>
      <c r="C13" s="612">
        <v>40660</v>
      </c>
      <c r="D13" s="750">
        <f t="shared" si="1"/>
        <v>298</v>
      </c>
      <c r="E13" s="750">
        <f t="shared" si="2"/>
        <v>97504</v>
      </c>
      <c r="F13" s="752"/>
      <c r="G13" s="751"/>
      <c r="H13" s="752">
        <f t="shared" si="3"/>
        <v>22370</v>
      </c>
      <c r="I13" s="752"/>
      <c r="J13" s="752"/>
      <c r="K13" s="750">
        <f t="shared" si="4"/>
        <v>56844</v>
      </c>
      <c r="L13" s="750">
        <f t="shared" si="0"/>
        <v>97504</v>
      </c>
      <c r="M13" s="731"/>
      <c r="N13" s="762"/>
    </row>
    <row r="14" spans="1:15" ht="24" customHeight="1">
      <c r="A14" s="725">
        <v>41671</v>
      </c>
      <c r="B14" s="612">
        <v>162</v>
      </c>
      <c r="C14" s="612">
        <v>55980</v>
      </c>
      <c r="D14" s="750">
        <f t="shared" si="1"/>
        <v>460</v>
      </c>
      <c r="E14" s="750">
        <f t="shared" si="2"/>
        <v>153484</v>
      </c>
      <c r="F14" s="752"/>
      <c r="G14" s="751"/>
      <c r="H14" s="752">
        <f t="shared" si="3"/>
        <v>40660</v>
      </c>
      <c r="I14" s="752"/>
      <c r="J14" s="752"/>
      <c r="K14" s="750">
        <f t="shared" si="4"/>
        <v>97504</v>
      </c>
      <c r="L14" s="750">
        <f t="shared" si="0"/>
        <v>153484</v>
      </c>
      <c r="M14" s="731"/>
      <c r="N14" s="762"/>
    </row>
    <row r="15" spans="1:15" ht="24" customHeight="1">
      <c r="A15" s="725">
        <v>41699</v>
      </c>
      <c r="B15" s="612">
        <v>290</v>
      </c>
      <c r="C15" s="612">
        <v>98470</v>
      </c>
      <c r="D15" s="750">
        <f t="shared" si="1"/>
        <v>750</v>
      </c>
      <c r="E15" s="750">
        <f t="shared" si="2"/>
        <v>251954</v>
      </c>
      <c r="F15" s="752"/>
      <c r="G15" s="751"/>
      <c r="H15" s="752">
        <f t="shared" si="3"/>
        <v>55980</v>
      </c>
      <c r="I15" s="752"/>
      <c r="J15" s="752"/>
      <c r="K15" s="750">
        <f t="shared" si="4"/>
        <v>153484</v>
      </c>
      <c r="L15" s="750">
        <f t="shared" si="0"/>
        <v>251954</v>
      </c>
      <c r="M15" s="731"/>
      <c r="N15" s="762"/>
    </row>
    <row r="16" spans="1:15" ht="24" customHeight="1">
      <c r="A16" s="726">
        <v>41730</v>
      </c>
      <c r="B16" s="338">
        <v>184.5</v>
      </c>
      <c r="C16" s="338">
        <v>63150</v>
      </c>
      <c r="D16" s="753">
        <f t="shared" si="1"/>
        <v>934.5</v>
      </c>
      <c r="E16" s="753">
        <f t="shared" si="2"/>
        <v>315104</v>
      </c>
      <c r="F16" s="754"/>
      <c r="G16" s="755"/>
      <c r="H16" s="754">
        <f t="shared" si="3"/>
        <v>98470</v>
      </c>
      <c r="I16" s="754"/>
      <c r="J16" s="754"/>
      <c r="K16" s="753">
        <f t="shared" si="4"/>
        <v>251954</v>
      </c>
      <c r="L16" s="753">
        <f t="shared" si="0"/>
        <v>315104</v>
      </c>
      <c r="M16" s="732"/>
      <c r="N16" s="763"/>
    </row>
    <row r="17" spans="1:14" ht="24" customHeight="1">
      <c r="A17" s="726">
        <v>41760</v>
      </c>
      <c r="B17" s="338">
        <v>944</v>
      </c>
      <c r="C17" s="338">
        <v>352558</v>
      </c>
      <c r="D17" s="753">
        <f t="shared" si="1"/>
        <v>1878.5</v>
      </c>
      <c r="E17" s="753">
        <f t="shared" si="2"/>
        <v>667662</v>
      </c>
      <c r="F17" s="754"/>
      <c r="G17" s="755"/>
      <c r="H17" s="754">
        <f t="shared" si="3"/>
        <v>63150</v>
      </c>
      <c r="I17" s="754"/>
      <c r="J17" s="754"/>
      <c r="K17" s="753">
        <f t="shared" si="4"/>
        <v>315104</v>
      </c>
      <c r="L17" s="753">
        <f t="shared" si="0"/>
        <v>667662</v>
      </c>
      <c r="M17" s="732"/>
      <c r="N17" s="763"/>
    </row>
    <row r="18" spans="1:14" ht="24" customHeight="1">
      <c r="A18" s="726">
        <v>41791</v>
      </c>
      <c r="B18" s="338">
        <v>1040</v>
      </c>
      <c r="C18" s="338">
        <v>381345</v>
      </c>
      <c r="D18" s="753">
        <f t="shared" si="1"/>
        <v>2918.5</v>
      </c>
      <c r="E18" s="753">
        <f t="shared" si="2"/>
        <v>1049007</v>
      </c>
      <c r="F18" s="754"/>
      <c r="G18" s="755"/>
      <c r="H18" s="754">
        <f t="shared" si="3"/>
        <v>352558</v>
      </c>
      <c r="I18" s="754"/>
      <c r="J18" s="754"/>
      <c r="K18" s="753">
        <f t="shared" si="4"/>
        <v>667662</v>
      </c>
      <c r="L18" s="753">
        <f t="shared" si="0"/>
        <v>1049007</v>
      </c>
      <c r="M18" s="732"/>
      <c r="N18" s="763"/>
    </row>
    <row r="19" spans="1:14" ht="24" customHeight="1">
      <c r="A19" s="726">
        <v>41821</v>
      </c>
      <c r="B19" s="338">
        <v>1208.5</v>
      </c>
      <c r="C19" s="338">
        <v>457585</v>
      </c>
      <c r="D19" s="753">
        <f t="shared" si="1"/>
        <v>4127</v>
      </c>
      <c r="E19" s="753">
        <f t="shared" si="2"/>
        <v>1506592</v>
      </c>
      <c r="F19" s="754"/>
      <c r="G19" s="755"/>
      <c r="H19" s="754">
        <f t="shared" si="3"/>
        <v>381345</v>
      </c>
      <c r="I19" s="754">
        <v>127244</v>
      </c>
      <c r="J19" s="754">
        <f t="shared" ref="J19:J54" si="5">J18+I19</f>
        <v>127244</v>
      </c>
      <c r="K19" s="753">
        <f t="shared" si="4"/>
        <v>921763</v>
      </c>
      <c r="L19" s="753">
        <f t="shared" si="0"/>
        <v>1379348</v>
      </c>
      <c r="M19" s="732" t="s">
        <v>3321</v>
      </c>
      <c r="N19" s="763"/>
    </row>
    <row r="20" spans="1:14" ht="24" customHeight="1">
      <c r="A20" s="726">
        <v>41852</v>
      </c>
      <c r="B20" s="200">
        <v>1468</v>
      </c>
      <c r="C20" s="200">
        <v>537817</v>
      </c>
      <c r="D20" s="753">
        <f t="shared" si="1"/>
        <v>5595</v>
      </c>
      <c r="E20" s="753">
        <f t="shared" si="2"/>
        <v>2044409</v>
      </c>
      <c r="F20" s="753"/>
      <c r="G20" s="755"/>
      <c r="H20" s="754">
        <f t="shared" si="3"/>
        <v>457585</v>
      </c>
      <c r="I20" s="753">
        <v>159080</v>
      </c>
      <c r="J20" s="754">
        <f t="shared" si="5"/>
        <v>286324</v>
      </c>
      <c r="K20" s="753">
        <f t="shared" si="4"/>
        <v>1220268</v>
      </c>
      <c r="L20" s="753">
        <f t="shared" si="0"/>
        <v>1758085</v>
      </c>
      <c r="M20" s="732" t="s">
        <v>3322</v>
      </c>
      <c r="N20" s="763"/>
    </row>
    <row r="21" spans="1:14" ht="24" customHeight="1">
      <c r="A21" s="726">
        <v>41883</v>
      </c>
      <c r="B21" s="213">
        <v>2221</v>
      </c>
      <c r="C21" s="200">
        <v>790063</v>
      </c>
      <c r="D21" s="753">
        <f t="shared" si="1"/>
        <v>7816</v>
      </c>
      <c r="E21" s="753">
        <f t="shared" si="2"/>
        <v>2834472</v>
      </c>
      <c r="F21" s="753"/>
      <c r="G21" s="755"/>
      <c r="H21" s="754">
        <f t="shared" si="3"/>
        <v>537817</v>
      </c>
      <c r="I21" s="753">
        <f>650000+1100000</f>
        <v>1750000</v>
      </c>
      <c r="J21" s="754">
        <f t="shared" si="5"/>
        <v>2036324</v>
      </c>
      <c r="K21" s="753">
        <f t="shared" si="4"/>
        <v>8085</v>
      </c>
      <c r="L21" s="753">
        <f t="shared" si="0"/>
        <v>798148</v>
      </c>
      <c r="M21" s="764" t="s">
        <v>3323</v>
      </c>
      <c r="N21" s="763"/>
    </row>
    <row r="22" spans="1:14" ht="24" customHeight="1">
      <c r="A22" s="726">
        <v>41913</v>
      </c>
      <c r="B22" s="494">
        <v>3122</v>
      </c>
      <c r="C22" s="338">
        <v>1099322</v>
      </c>
      <c r="D22" s="753">
        <f t="shared" si="1"/>
        <v>10938</v>
      </c>
      <c r="E22" s="753">
        <f t="shared" si="2"/>
        <v>3933794</v>
      </c>
      <c r="F22" s="754"/>
      <c r="G22" s="755"/>
      <c r="H22" s="754">
        <f t="shared" si="3"/>
        <v>790063</v>
      </c>
      <c r="I22" s="754"/>
      <c r="J22" s="754">
        <f t="shared" si="5"/>
        <v>2036324</v>
      </c>
      <c r="K22" s="753">
        <f t="shared" si="4"/>
        <v>798148</v>
      </c>
      <c r="L22" s="753">
        <f t="shared" si="0"/>
        <v>1897470</v>
      </c>
      <c r="M22" s="764"/>
      <c r="N22" s="763"/>
    </row>
    <row r="23" spans="1:14" ht="24" customHeight="1">
      <c r="A23" s="726">
        <v>41944</v>
      </c>
      <c r="B23" s="494">
        <v>4577</v>
      </c>
      <c r="C23" s="338">
        <v>1640619</v>
      </c>
      <c r="D23" s="753">
        <f t="shared" si="1"/>
        <v>15515</v>
      </c>
      <c r="E23" s="753">
        <f t="shared" si="2"/>
        <v>5574413</v>
      </c>
      <c r="F23" s="754"/>
      <c r="G23" s="755"/>
      <c r="H23" s="754">
        <f t="shared" si="3"/>
        <v>1099322</v>
      </c>
      <c r="I23" s="754"/>
      <c r="J23" s="754">
        <f t="shared" si="5"/>
        <v>2036324</v>
      </c>
      <c r="K23" s="753">
        <f t="shared" si="4"/>
        <v>1897470</v>
      </c>
      <c r="L23" s="753">
        <f t="shared" si="0"/>
        <v>3538089</v>
      </c>
      <c r="M23" s="764"/>
      <c r="N23" s="763"/>
    </row>
    <row r="24" spans="1:14" ht="24" customHeight="1">
      <c r="A24" s="726">
        <v>41974</v>
      </c>
      <c r="B24" s="494">
        <v>5269</v>
      </c>
      <c r="C24" s="338">
        <v>1835163</v>
      </c>
      <c r="D24" s="753">
        <f t="shared" si="1"/>
        <v>20784</v>
      </c>
      <c r="E24" s="753">
        <f t="shared" si="2"/>
        <v>7409576</v>
      </c>
      <c r="F24" s="754"/>
      <c r="G24" s="756"/>
      <c r="H24" s="754">
        <f t="shared" si="3"/>
        <v>1640619</v>
      </c>
      <c r="I24" s="754">
        <v>57501</v>
      </c>
      <c r="J24" s="754">
        <f t="shared" si="5"/>
        <v>2093825</v>
      </c>
      <c r="K24" s="753">
        <f t="shared" si="4"/>
        <v>3480588</v>
      </c>
      <c r="L24" s="753">
        <f t="shared" si="0"/>
        <v>5315751</v>
      </c>
      <c r="M24" s="764" t="s">
        <v>3324</v>
      </c>
      <c r="N24" s="763"/>
    </row>
    <row r="25" spans="1:14" ht="27.95" customHeight="1">
      <c r="A25" s="726">
        <v>42005</v>
      </c>
      <c r="B25" s="494">
        <v>4019</v>
      </c>
      <c r="C25" s="338">
        <v>1463405</v>
      </c>
      <c r="D25" s="753">
        <f t="shared" si="1"/>
        <v>24803</v>
      </c>
      <c r="E25" s="753">
        <f t="shared" si="2"/>
        <v>8872981</v>
      </c>
      <c r="F25" s="754"/>
      <c r="G25" s="756"/>
      <c r="H25" s="754">
        <f t="shared" si="3"/>
        <v>1835163</v>
      </c>
      <c r="I25" s="754">
        <f>935804.5+1579344.5+700000</f>
        <v>3215149</v>
      </c>
      <c r="J25" s="754">
        <f t="shared" si="5"/>
        <v>5308974</v>
      </c>
      <c r="K25" s="753">
        <f t="shared" si="4"/>
        <v>2100602</v>
      </c>
      <c r="L25" s="753">
        <f t="shared" si="0"/>
        <v>3564007</v>
      </c>
      <c r="M25" s="765" t="s">
        <v>3325</v>
      </c>
      <c r="N25" s="763"/>
    </row>
    <row r="26" spans="1:14" ht="29.1" customHeight="1">
      <c r="A26" s="726">
        <v>42037</v>
      </c>
      <c r="B26" s="494">
        <v>1221.5</v>
      </c>
      <c r="C26" s="338">
        <v>443022.5</v>
      </c>
      <c r="D26" s="753">
        <f t="shared" si="1"/>
        <v>26024.5</v>
      </c>
      <c r="E26" s="753">
        <f t="shared" si="2"/>
        <v>9316003.5</v>
      </c>
      <c r="F26" s="754"/>
      <c r="G26" s="756"/>
      <c r="H26" s="754">
        <f t="shared" si="3"/>
        <v>1463405</v>
      </c>
      <c r="I26" s="754">
        <v>1700000</v>
      </c>
      <c r="J26" s="754">
        <f t="shared" si="5"/>
        <v>7008974</v>
      </c>
      <c r="K26" s="753">
        <f t="shared" si="4"/>
        <v>1864007</v>
      </c>
      <c r="L26" s="766">
        <f t="shared" si="0"/>
        <v>2307029.5</v>
      </c>
      <c r="M26" s="767" t="s">
        <v>3326</v>
      </c>
      <c r="N26" s="763"/>
    </row>
    <row r="27" spans="1:14" ht="29.1" customHeight="1">
      <c r="A27" s="726">
        <v>42069</v>
      </c>
      <c r="B27" s="494">
        <v>2388.5</v>
      </c>
      <c r="C27" s="338">
        <v>865996.5</v>
      </c>
      <c r="D27" s="753">
        <f t="shared" si="1"/>
        <v>28413</v>
      </c>
      <c r="E27" s="753">
        <f t="shared" si="2"/>
        <v>10182000</v>
      </c>
      <c r="F27" s="754"/>
      <c r="G27" s="756"/>
      <c r="H27" s="754">
        <f t="shared" si="3"/>
        <v>443022.5</v>
      </c>
      <c r="I27" s="754"/>
      <c r="J27" s="754">
        <f t="shared" si="5"/>
        <v>7008974</v>
      </c>
      <c r="K27" s="753">
        <f t="shared" si="4"/>
        <v>2307029.5</v>
      </c>
      <c r="L27" s="766">
        <f t="shared" si="0"/>
        <v>3173026</v>
      </c>
      <c r="M27" s="767"/>
      <c r="N27" s="763"/>
    </row>
    <row r="28" spans="1:14" ht="29.1" customHeight="1">
      <c r="A28" s="726">
        <v>42100</v>
      </c>
      <c r="B28" s="494">
        <v>5239</v>
      </c>
      <c r="C28" s="338">
        <v>1905763.5</v>
      </c>
      <c r="D28" s="753">
        <f t="shared" si="1"/>
        <v>33652</v>
      </c>
      <c r="E28" s="753">
        <f t="shared" si="2"/>
        <v>12087763.5</v>
      </c>
      <c r="F28" s="754"/>
      <c r="G28" s="756"/>
      <c r="H28" s="754">
        <f t="shared" si="3"/>
        <v>865996.5</v>
      </c>
      <c r="I28" s="754"/>
      <c r="J28" s="754">
        <f t="shared" si="5"/>
        <v>7008974</v>
      </c>
      <c r="K28" s="753">
        <f t="shared" si="4"/>
        <v>3173026</v>
      </c>
      <c r="L28" s="766">
        <f t="shared" si="0"/>
        <v>5078789.5</v>
      </c>
      <c r="M28" s="767"/>
      <c r="N28" s="763"/>
    </row>
    <row r="29" spans="1:14" ht="29.1" customHeight="1">
      <c r="A29" s="726">
        <v>42125</v>
      </c>
      <c r="B29" s="494">
        <v>6391</v>
      </c>
      <c r="C29" s="338">
        <v>2293974.5</v>
      </c>
      <c r="D29" s="753">
        <f t="shared" si="1"/>
        <v>40043</v>
      </c>
      <c r="E29" s="753">
        <f t="shared" si="2"/>
        <v>14381738</v>
      </c>
      <c r="F29" s="754"/>
      <c r="G29" s="756"/>
      <c r="H29" s="754">
        <f t="shared" si="3"/>
        <v>1905763.5</v>
      </c>
      <c r="I29" s="754"/>
      <c r="J29" s="754">
        <f t="shared" si="5"/>
        <v>7008974</v>
      </c>
      <c r="K29" s="753">
        <f t="shared" si="4"/>
        <v>5078789.5</v>
      </c>
      <c r="L29" s="766">
        <f t="shared" si="0"/>
        <v>7372764</v>
      </c>
      <c r="M29" s="767"/>
      <c r="N29" s="763"/>
    </row>
    <row r="30" spans="1:14" ht="29.1" customHeight="1">
      <c r="A30" s="726">
        <v>42156</v>
      </c>
      <c r="B30" s="494">
        <v>5244</v>
      </c>
      <c r="C30" s="338">
        <v>1871888.5</v>
      </c>
      <c r="D30" s="753">
        <f t="shared" si="1"/>
        <v>45287</v>
      </c>
      <c r="E30" s="753">
        <f t="shared" si="2"/>
        <v>16253626.5</v>
      </c>
      <c r="F30" s="754"/>
      <c r="G30" s="756"/>
      <c r="H30" s="754">
        <f t="shared" si="3"/>
        <v>2293974.5</v>
      </c>
      <c r="I30" s="754"/>
      <c r="J30" s="754">
        <f t="shared" si="5"/>
        <v>7008974</v>
      </c>
      <c r="K30" s="753">
        <f t="shared" si="4"/>
        <v>7372764</v>
      </c>
      <c r="L30" s="766">
        <f t="shared" si="0"/>
        <v>9244652.5</v>
      </c>
      <c r="M30" s="767"/>
      <c r="N30" s="763"/>
    </row>
    <row r="31" spans="1:14" ht="29.1" customHeight="1">
      <c r="A31" s="726">
        <v>42186</v>
      </c>
      <c r="B31" s="494">
        <v>4926</v>
      </c>
      <c r="C31" s="338">
        <v>1748969</v>
      </c>
      <c r="D31" s="753">
        <f t="shared" si="1"/>
        <v>50213</v>
      </c>
      <c r="E31" s="753">
        <f t="shared" si="2"/>
        <v>18002595.5</v>
      </c>
      <c r="F31" s="754"/>
      <c r="G31" s="756"/>
      <c r="H31" s="754">
        <f t="shared" si="3"/>
        <v>1871888.5</v>
      </c>
      <c r="I31" s="754"/>
      <c r="J31" s="754">
        <f t="shared" si="5"/>
        <v>7008974</v>
      </c>
      <c r="K31" s="753">
        <f t="shared" si="4"/>
        <v>9244652.5</v>
      </c>
      <c r="L31" s="766">
        <f t="shared" si="0"/>
        <v>10993621.5</v>
      </c>
      <c r="M31" s="767"/>
      <c r="N31" s="763"/>
    </row>
    <row r="32" spans="1:14" ht="29.1" customHeight="1">
      <c r="A32" s="726">
        <v>42217</v>
      </c>
      <c r="B32" s="494">
        <v>5401.5</v>
      </c>
      <c r="C32" s="338">
        <v>1865057.5</v>
      </c>
      <c r="D32" s="753">
        <f t="shared" si="1"/>
        <v>55614.5</v>
      </c>
      <c r="E32" s="753">
        <f t="shared" si="2"/>
        <v>19867653</v>
      </c>
      <c r="F32" s="754"/>
      <c r="G32" s="756"/>
      <c r="H32" s="754">
        <f t="shared" si="3"/>
        <v>1748969</v>
      </c>
      <c r="I32" s="754"/>
      <c r="J32" s="754">
        <f t="shared" si="5"/>
        <v>7008974</v>
      </c>
      <c r="K32" s="753">
        <f t="shared" si="4"/>
        <v>10993621.5</v>
      </c>
      <c r="L32" s="766">
        <f t="shared" si="0"/>
        <v>12858679</v>
      </c>
      <c r="M32" s="767"/>
      <c r="N32" s="763"/>
    </row>
    <row r="33" spans="1:14" ht="29.1" customHeight="1">
      <c r="A33" s="726">
        <v>42248</v>
      </c>
      <c r="B33" s="494">
        <v>4684.5</v>
      </c>
      <c r="C33" s="338">
        <v>1513725</v>
      </c>
      <c r="D33" s="753">
        <f t="shared" si="1"/>
        <v>60299</v>
      </c>
      <c r="E33" s="753">
        <f t="shared" si="2"/>
        <v>21381378</v>
      </c>
      <c r="F33" s="754"/>
      <c r="G33" s="756"/>
      <c r="H33" s="754">
        <f t="shared" si="3"/>
        <v>1865057.5</v>
      </c>
      <c r="I33" s="754">
        <v>999998</v>
      </c>
      <c r="J33" s="754">
        <f t="shared" si="5"/>
        <v>8008972</v>
      </c>
      <c r="K33" s="753">
        <f t="shared" si="4"/>
        <v>11858681</v>
      </c>
      <c r="L33" s="766">
        <f t="shared" si="0"/>
        <v>13372406</v>
      </c>
      <c r="M33" s="767" t="s">
        <v>3327</v>
      </c>
      <c r="N33" s="763"/>
    </row>
    <row r="34" spans="1:14" ht="29.1" customHeight="1">
      <c r="A34" s="726">
        <v>42278</v>
      </c>
      <c r="B34" s="494">
        <v>4317</v>
      </c>
      <c r="C34" s="338">
        <v>1383548</v>
      </c>
      <c r="D34" s="753">
        <f t="shared" si="1"/>
        <v>64616</v>
      </c>
      <c r="E34" s="753">
        <f t="shared" si="2"/>
        <v>22764926</v>
      </c>
      <c r="F34" s="754"/>
      <c r="G34" s="756"/>
      <c r="H34" s="754">
        <f t="shared" si="3"/>
        <v>1513725</v>
      </c>
      <c r="I34" s="754">
        <v>4000000</v>
      </c>
      <c r="J34" s="754">
        <f t="shared" si="5"/>
        <v>12008972</v>
      </c>
      <c r="K34" s="753">
        <f t="shared" si="4"/>
        <v>9372406</v>
      </c>
      <c r="L34" s="766">
        <f t="shared" si="0"/>
        <v>10755954</v>
      </c>
      <c r="M34" s="767" t="s">
        <v>3328</v>
      </c>
      <c r="N34" s="763"/>
    </row>
    <row r="35" spans="1:14" ht="29.1" customHeight="1">
      <c r="A35" s="726">
        <v>42309</v>
      </c>
      <c r="B35" s="494">
        <v>4964</v>
      </c>
      <c r="C35" s="338">
        <v>1589843</v>
      </c>
      <c r="D35" s="753">
        <f t="shared" si="1"/>
        <v>69580</v>
      </c>
      <c r="E35" s="753">
        <f t="shared" si="2"/>
        <v>24354769</v>
      </c>
      <c r="F35" s="754"/>
      <c r="G35" s="756"/>
      <c r="H35" s="754">
        <f t="shared" si="3"/>
        <v>1383548</v>
      </c>
      <c r="I35" s="754"/>
      <c r="J35" s="754">
        <f t="shared" si="5"/>
        <v>12008972</v>
      </c>
      <c r="K35" s="753">
        <f t="shared" si="4"/>
        <v>10755954</v>
      </c>
      <c r="L35" s="766">
        <f t="shared" si="0"/>
        <v>12345797</v>
      </c>
      <c r="M35" s="767" t="s">
        <v>3329</v>
      </c>
      <c r="N35" s="763"/>
    </row>
    <row r="36" spans="1:14" ht="29.1" customHeight="1">
      <c r="A36" s="726">
        <v>42339</v>
      </c>
      <c r="B36" s="494">
        <v>5417.5</v>
      </c>
      <c r="C36" s="338">
        <v>1660953</v>
      </c>
      <c r="D36" s="753">
        <f t="shared" si="1"/>
        <v>74997.5</v>
      </c>
      <c r="E36" s="753">
        <f t="shared" si="2"/>
        <v>26015722</v>
      </c>
      <c r="F36" s="754"/>
      <c r="G36" s="756"/>
      <c r="H36" s="754">
        <f t="shared" si="3"/>
        <v>1589843</v>
      </c>
      <c r="I36" s="754"/>
      <c r="J36" s="754">
        <f t="shared" si="5"/>
        <v>12008972</v>
      </c>
      <c r="K36" s="753">
        <f t="shared" si="4"/>
        <v>12345797</v>
      </c>
      <c r="L36" s="766">
        <f t="shared" si="0"/>
        <v>14006750</v>
      </c>
      <c r="M36" s="767"/>
      <c r="N36" s="763"/>
    </row>
    <row r="37" spans="1:14" ht="29.1" customHeight="1">
      <c r="A37" s="726">
        <v>42370</v>
      </c>
      <c r="B37" s="494">
        <v>7721</v>
      </c>
      <c r="C37" s="338">
        <v>2492363.5</v>
      </c>
      <c r="D37" s="753">
        <f t="shared" si="1"/>
        <v>82718.5</v>
      </c>
      <c r="E37" s="753">
        <f t="shared" si="2"/>
        <v>28508085.5</v>
      </c>
      <c r="F37" s="754"/>
      <c r="G37" s="756"/>
      <c r="H37" s="754">
        <f t="shared" si="3"/>
        <v>1660953</v>
      </c>
      <c r="I37" s="754">
        <v>3000000</v>
      </c>
      <c r="J37" s="754">
        <f t="shared" si="5"/>
        <v>15008972</v>
      </c>
      <c r="K37" s="753">
        <f t="shared" si="4"/>
        <v>11006750</v>
      </c>
      <c r="L37" s="766">
        <f t="shared" si="0"/>
        <v>13499113.5</v>
      </c>
      <c r="M37" s="767" t="s">
        <v>3330</v>
      </c>
      <c r="N37" s="763"/>
    </row>
    <row r="38" spans="1:14" ht="29.1" customHeight="1">
      <c r="A38" s="726">
        <v>42401</v>
      </c>
      <c r="B38" s="494">
        <v>2667.5</v>
      </c>
      <c r="C38" s="338">
        <v>913524</v>
      </c>
      <c r="D38" s="753">
        <f t="shared" si="1"/>
        <v>85386</v>
      </c>
      <c r="E38" s="753">
        <f t="shared" si="2"/>
        <v>29421609.5</v>
      </c>
      <c r="F38" s="754"/>
      <c r="G38" s="756"/>
      <c r="H38" s="754">
        <f t="shared" si="3"/>
        <v>2492363.5</v>
      </c>
      <c r="I38" s="754">
        <f>6238486</f>
        <v>6238486</v>
      </c>
      <c r="J38" s="754">
        <f t="shared" si="5"/>
        <v>21247458</v>
      </c>
      <c r="K38" s="753">
        <f t="shared" si="4"/>
        <v>7260627.5</v>
      </c>
      <c r="L38" s="766">
        <f t="shared" si="0"/>
        <v>8174151.5</v>
      </c>
      <c r="M38" s="767"/>
      <c r="N38" s="763"/>
    </row>
    <row r="39" spans="1:14" ht="29.1" customHeight="1">
      <c r="A39" s="726">
        <v>42430</v>
      </c>
      <c r="B39" s="494">
        <v>7624</v>
      </c>
      <c r="C39" s="338">
        <v>2258677.5</v>
      </c>
      <c r="D39" s="753">
        <f t="shared" si="1"/>
        <v>93010</v>
      </c>
      <c r="E39" s="753">
        <f t="shared" si="2"/>
        <v>31680287</v>
      </c>
      <c r="F39" s="754"/>
      <c r="G39" s="756"/>
      <c r="H39" s="754">
        <f t="shared" si="3"/>
        <v>913524</v>
      </c>
      <c r="I39" s="754"/>
      <c r="J39" s="754">
        <f t="shared" si="5"/>
        <v>21247458</v>
      </c>
      <c r="K39" s="753">
        <f t="shared" si="4"/>
        <v>8174151.5</v>
      </c>
      <c r="L39" s="766">
        <f t="shared" si="0"/>
        <v>10432829</v>
      </c>
      <c r="M39" s="767"/>
      <c r="N39" s="763"/>
    </row>
    <row r="40" spans="1:14" ht="29.1" customHeight="1">
      <c r="A40" s="726">
        <v>42461</v>
      </c>
      <c r="B40" s="494">
        <v>7801.5</v>
      </c>
      <c r="C40" s="338">
        <v>2365013.5</v>
      </c>
      <c r="D40" s="753">
        <f t="shared" si="1"/>
        <v>100811.5</v>
      </c>
      <c r="E40" s="753">
        <f t="shared" si="2"/>
        <v>34045300.5</v>
      </c>
      <c r="F40" s="754"/>
      <c r="G40" s="756"/>
      <c r="H40" s="754">
        <f t="shared" si="3"/>
        <v>2258677.5</v>
      </c>
      <c r="I40" s="754">
        <v>2000000</v>
      </c>
      <c r="J40" s="754">
        <f t="shared" si="5"/>
        <v>23247458</v>
      </c>
      <c r="K40" s="753">
        <f t="shared" si="4"/>
        <v>8432829</v>
      </c>
      <c r="L40" s="766">
        <f t="shared" si="0"/>
        <v>10797842.5</v>
      </c>
      <c r="M40" s="768" t="s">
        <v>3282</v>
      </c>
      <c r="N40" s="763"/>
    </row>
    <row r="41" spans="1:14" ht="29.1" customHeight="1">
      <c r="A41" s="726">
        <v>42491</v>
      </c>
      <c r="B41" s="494">
        <v>9009.5</v>
      </c>
      <c r="C41" s="338">
        <v>2744532</v>
      </c>
      <c r="D41" s="753">
        <f t="shared" si="1"/>
        <v>109821</v>
      </c>
      <c r="E41" s="753">
        <f t="shared" si="2"/>
        <v>36789832.5</v>
      </c>
      <c r="F41" s="754"/>
      <c r="G41" s="756"/>
      <c r="H41" s="757">
        <f t="shared" si="3"/>
        <v>2365013.5</v>
      </c>
      <c r="I41" s="754"/>
      <c r="J41" s="754">
        <f t="shared" si="5"/>
        <v>23247458</v>
      </c>
      <c r="K41" s="753">
        <f t="shared" si="4"/>
        <v>10797842.5</v>
      </c>
      <c r="L41" s="766">
        <f t="shared" si="0"/>
        <v>13542374.5</v>
      </c>
      <c r="M41" s="767" t="s">
        <v>3331</v>
      </c>
      <c r="N41" s="763"/>
    </row>
    <row r="42" spans="1:14" ht="29.1" customHeight="1">
      <c r="A42" s="726">
        <v>42522</v>
      </c>
      <c r="B42" s="494">
        <v>5313.5</v>
      </c>
      <c r="C42" s="338">
        <v>1566492.5</v>
      </c>
      <c r="D42" s="753">
        <f t="shared" si="1"/>
        <v>115134.5</v>
      </c>
      <c r="E42" s="753">
        <f t="shared" si="2"/>
        <v>38356325</v>
      </c>
      <c r="F42" s="754"/>
      <c r="G42" s="756"/>
      <c r="H42" s="757">
        <f t="shared" si="3"/>
        <v>2744532</v>
      </c>
      <c r="I42" s="754">
        <f>4999998</f>
        <v>4999998</v>
      </c>
      <c r="J42" s="754">
        <f t="shared" si="5"/>
        <v>28247456</v>
      </c>
      <c r="K42" s="753">
        <f t="shared" si="4"/>
        <v>8542376.5</v>
      </c>
      <c r="L42" s="766">
        <f t="shared" si="0"/>
        <v>10108869</v>
      </c>
      <c r="M42" s="767" t="s">
        <v>3332</v>
      </c>
      <c r="N42" s="763"/>
    </row>
    <row r="43" spans="1:14" ht="29.1" customHeight="1">
      <c r="A43" s="726">
        <v>42552</v>
      </c>
      <c r="B43" s="494">
        <v>6116.5</v>
      </c>
      <c r="C43" s="338">
        <v>1779203</v>
      </c>
      <c r="D43" s="753">
        <f t="shared" si="1"/>
        <v>121251</v>
      </c>
      <c r="E43" s="753">
        <f t="shared" si="2"/>
        <v>40135528</v>
      </c>
      <c r="F43" s="754"/>
      <c r="G43" s="756"/>
      <c r="H43" s="757">
        <f t="shared" si="3"/>
        <v>1566492.5</v>
      </c>
      <c r="I43" s="754"/>
      <c r="J43" s="754">
        <f t="shared" si="5"/>
        <v>28247456</v>
      </c>
      <c r="K43" s="753">
        <f t="shared" si="4"/>
        <v>10108869</v>
      </c>
      <c r="L43" s="766">
        <f t="shared" si="0"/>
        <v>11888072</v>
      </c>
      <c r="M43" s="767"/>
      <c r="N43" s="763"/>
    </row>
    <row r="44" spans="1:14" ht="29.1" customHeight="1">
      <c r="A44" s="726">
        <v>42583</v>
      </c>
      <c r="B44" s="494">
        <v>8449.5</v>
      </c>
      <c r="C44" s="338">
        <v>2563779.5</v>
      </c>
      <c r="D44" s="753">
        <f t="shared" si="1"/>
        <v>129700.5</v>
      </c>
      <c r="E44" s="753">
        <f t="shared" si="2"/>
        <v>42699307.5</v>
      </c>
      <c r="F44" s="754"/>
      <c r="G44" s="756"/>
      <c r="H44" s="757">
        <f t="shared" si="3"/>
        <v>1779203</v>
      </c>
      <c r="I44" s="754"/>
      <c r="J44" s="754">
        <f t="shared" si="5"/>
        <v>28247456</v>
      </c>
      <c r="K44" s="753">
        <f t="shared" si="4"/>
        <v>11888072</v>
      </c>
      <c r="L44" s="766">
        <f t="shared" si="0"/>
        <v>14451851.5</v>
      </c>
      <c r="M44" s="767"/>
      <c r="N44" s="763"/>
    </row>
    <row r="45" spans="1:14" ht="29.1" customHeight="1">
      <c r="A45" s="726">
        <v>42614</v>
      </c>
      <c r="B45" s="494">
        <v>7714.5</v>
      </c>
      <c r="C45" s="338">
        <v>2369229.5</v>
      </c>
      <c r="D45" s="753">
        <f t="shared" si="1"/>
        <v>137415</v>
      </c>
      <c r="E45" s="753">
        <f t="shared" si="2"/>
        <v>45068537</v>
      </c>
      <c r="F45" s="754"/>
      <c r="G45" s="756"/>
      <c r="H45" s="757">
        <f t="shared" si="3"/>
        <v>2563779.5</v>
      </c>
      <c r="I45" s="754">
        <f>1612062.5+35096</f>
        <v>1647158.5</v>
      </c>
      <c r="J45" s="754">
        <f t="shared" si="5"/>
        <v>29894614.5</v>
      </c>
      <c r="K45" s="753">
        <f t="shared" si="4"/>
        <v>12804693</v>
      </c>
      <c r="L45" s="766">
        <f t="shared" si="0"/>
        <v>15173922.5</v>
      </c>
      <c r="M45" s="767" t="s">
        <v>3333</v>
      </c>
      <c r="N45" s="763"/>
    </row>
    <row r="46" spans="1:14" ht="29.1" customHeight="1">
      <c r="A46" s="726">
        <v>42644</v>
      </c>
      <c r="B46" s="494">
        <v>7775</v>
      </c>
      <c r="C46" s="338">
        <v>2423813</v>
      </c>
      <c r="D46" s="753">
        <f t="shared" si="1"/>
        <v>145190</v>
      </c>
      <c r="E46" s="753">
        <f t="shared" si="2"/>
        <v>47492350</v>
      </c>
      <c r="F46" s="754"/>
      <c r="G46" s="756"/>
      <c r="H46" s="757">
        <f t="shared" si="3"/>
        <v>2369229.5</v>
      </c>
      <c r="I46" s="754">
        <v>2915640</v>
      </c>
      <c r="J46" s="754">
        <f t="shared" si="5"/>
        <v>32810254.5</v>
      </c>
      <c r="K46" s="753">
        <f t="shared" si="4"/>
        <v>12258282.5</v>
      </c>
      <c r="L46" s="766">
        <f t="shared" si="0"/>
        <v>14682095.5</v>
      </c>
      <c r="M46" s="767" t="s">
        <v>3334</v>
      </c>
      <c r="N46" s="763"/>
    </row>
    <row r="47" spans="1:14" ht="29.1" customHeight="1">
      <c r="A47" s="726">
        <v>42675</v>
      </c>
      <c r="B47" s="494">
        <v>5833.5</v>
      </c>
      <c r="C47" s="338">
        <v>1714202</v>
      </c>
      <c r="D47" s="753">
        <f t="shared" si="1"/>
        <v>151023.5</v>
      </c>
      <c r="E47" s="753">
        <f t="shared" si="2"/>
        <v>49206552</v>
      </c>
      <c r="F47" s="754"/>
      <c r="G47" s="756"/>
      <c r="H47" s="757">
        <f t="shared" si="3"/>
        <v>2423813</v>
      </c>
      <c r="I47" s="754">
        <v>5000000</v>
      </c>
      <c r="J47" s="754">
        <f t="shared" si="5"/>
        <v>37810254.5</v>
      </c>
      <c r="K47" s="753">
        <f t="shared" si="4"/>
        <v>9682095.5</v>
      </c>
      <c r="L47" s="766">
        <f t="shared" si="0"/>
        <v>11396297.5</v>
      </c>
      <c r="M47" s="767" t="s">
        <v>3335</v>
      </c>
      <c r="N47" s="763"/>
    </row>
    <row r="48" spans="1:14" ht="29.1" customHeight="1">
      <c r="A48" s="726">
        <v>42705</v>
      </c>
      <c r="B48" s="494">
        <v>5697</v>
      </c>
      <c r="C48" s="338">
        <v>1647371</v>
      </c>
      <c r="D48" s="753">
        <f t="shared" si="1"/>
        <v>156720.5</v>
      </c>
      <c r="E48" s="753">
        <f t="shared" si="2"/>
        <v>50853923</v>
      </c>
      <c r="F48" s="754"/>
      <c r="G48" s="756"/>
      <c r="H48" s="757">
        <f t="shared" si="3"/>
        <v>1714202</v>
      </c>
      <c r="I48" s="754">
        <v>800000</v>
      </c>
      <c r="J48" s="754">
        <f t="shared" si="5"/>
        <v>38610254.5</v>
      </c>
      <c r="K48" s="753">
        <f t="shared" si="4"/>
        <v>10596297.5</v>
      </c>
      <c r="L48" s="766">
        <f t="shared" si="0"/>
        <v>12243668.5</v>
      </c>
      <c r="M48" s="767" t="s">
        <v>3336</v>
      </c>
      <c r="N48" s="763"/>
    </row>
    <row r="49" spans="1:14" ht="29.1" customHeight="1">
      <c r="A49" s="726">
        <v>42736</v>
      </c>
      <c r="B49" s="494">
        <v>1717</v>
      </c>
      <c r="C49" s="338">
        <v>624479.5</v>
      </c>
      <c r="D49" s="753">
        <f t="shared" si="1"/>
        <v>158437.5</v>
      </c>
      <c r="E49" s="753">
        <f t="shared" si="2"/>
        <v>51478402.5</v>
      </c>
      <c r="F49" s="754"/>
      <c r="G49" s="756"/>
      <c r="H49" s="757">
        <f t="shared" si="3"/>
        <v>1647371</v>
      </c>
      <c r="I49" s="754">
        <v>2400000</v>
      </c>
      <c r="J49" s="754">
        <f t="shared" si="5"/>
        <v>41010254.5</v>
      </c>
      <c r="K49" s="753">
        <f t="shared" si="4"/>
        <v>9843668.5</v>
      </c>
      <c r="L49" s="766">
        <f t="shared" si="0"/>
        <v>10468148</v>
      </c>
      <c r="M49" s="767" t="s">
        <v>3337</v>
      </c>
      <c r="N49" s="763"/>
    </row>
    <row r="50" spans="1:14" ht="29.1" customHeight="1">
      <c r="A50" s="726">
        <v>42767</v>
      </c>
      <c r="B50" s="494">
        <v>284</v>
      </c>
      <c r="C50" s="338">
        <v>99592</v>
      </c>
      <c r="D50" s="753">
        <f t="shared" si="1"/>
        <v>158721.5</v>
      </c>
      <c r="E50" s="753">
        <f t="shared" si="2"/>
        <v>51577994.5</v>
      </c>
      <c r="F50" s="754"/>
      <c r="G50" s="756"/>
      <c r="H50" s="757">
        <f t="shared" si="3"/>
        <v>624479.5</v>
      </c>
      <c r="I50" s="754">
        <v>5700000</v>
      </c>
      <c r="J50" s="754">
        <f t="shared" si="5"/>
        <v>46710254.5</v>
      </c>
      <c r="K50" s="753">
        <f t="shared" si="4"/>
        <v>4768148</v>
      </c>
      <c r="L50" s="766">
        <f t="shared" si="0"/>
        <v>4867740</v>
      </c>
      <c r="M50" s="767" t="s">
        <v>3338</v>
      </c>
      <c r="N50" s="763"/>
    </row>
    <row r="51" spans="1:14" ht="29.1" customHeight="1">
      <c r="A51" s="726">
        <v>42795</v>
      </c>
      <c r="B51" s="494">
        <v>618</v>
      </c>
      <c r="C51" s="338">
        <v>205786.5</v>
      </c>
      <c r="D51" s="753">
        <f t="shared" si="1"/>
        <v>159339.5</v>
      </c>
      <c r="E51" s="753">
        <f t="shared" si="2"/>
        <v>51783781</v>
      </c>
      <c r="F51" s="754"/>
      <c r="G51" s="756"/>
      <c r="H51" s="757">
        <f t="shared" si="3"/>
        <v>99592</v>
      </c>
      <c r="I51" s="754"/>
      <c r="J51" s="754">
        <f t="shared" si="5"/>
        <v>46710254.5</v>
      </c>
      <c r="K51" s="753">
        <f t="shared" si="4"/>
        <v>4867740</v>
      </c>
      <c r="L51" s="766">
        <f t="shared" si="0"/>
        <v>5073526.5</v>
      </c>
      <c r="M51" s="767" t="s">
        <v>3339</v>
      </c>
      <c r="N51" s="763"/>
    </row>
    <row r="52" spans="1:14" ht="29.1" customHeight="1">
      <c r="A52" s="726">
        <v>42826</v>
      </c>
      <c r="B52" s="494">
        <v>44.5</v>
      </c>
      <c r="C52" s="338">
        <v>16099</v>
      </c>
      <c r="D52" s="753">
        <f t="shared" si="1"/>
        <v>159384</v>
      </c>
      <c r="E52" s="753">
        <f t="shared" si="2"/>
        <v>51799880</v>
      </c>
      <c r="F52" s="754"/>
      <c r="G52" s="756"/>
      <c r="H52" s="757">
        <f t="shared" si="3"/>
        <v>205786.5</v>
      </c>
      <c r="I52" s="754">
        <v>858737.5</v>
      </c>
      <c r="J52" s="754">
        <f t="shared" si="5"/>
        <v>47568992</v>
      </c>
      <c r="K52" s="753">
        <f t="shared" si="4"/>
        <v>4214789</v>
      </c>
      <c r="L52" s="766">
        <f t="shared" si="0"/>
        <v>4230888</v>
      </c>
      <c r="M52" s="767" t="s">
        <v>3340</v>
      </c>
      <c r="N52" s="763"/>
    </row>
    <row r="53" spans="1:14" ht="29.1" customHeight="1">
      <c r="A53" s="726">
        <v>42887</v>
      </c>
      <c r="B53" s="494">
        <v>0</v>
      </c>
      <c r="C53" s="338">
        <v>0</v>
      </c>
      <c r="D53" s="753">
        <f t="shared" si="1"/>
        <v>159384</v>
      </c>
      <c r="E53" s="753">
        <f t="shared" si="2"/>
        <v>51799880</v>
      </c>
      <c r="F53" s="754"/>
      <c r="G53" s="756"/>
      <c r="H53" s="757">
        <f t="shared" si="3"/>
        <v>16099</v>
      </c>
      <c r="I53" s="754">
        <v>4000000</v>
      </c>
      <c r="J53" s="754">
        <f t="shared" si="5"/>
        <v>51568992</v>
      </c>
      <c r="K53" s="753">
        <f t="shared" si="4"/>
        <v>230888</v>
      </c>
      <c r="L53" s="766">
        <f t="shared" si="0"/>
        <v>230888</v>
      </c>
      <c r="M53" s="767" t="s">
        <v>3341</v>
      </c>
      <c r="N53" s="763"/>
    </row>
    <row r="54" spans="1:14" ht="29.1" customHeight="1">
      <c r="A54" s="726">
        <v>42948</v>
      </c>
      <c r="B54" s="494">
        <v>0</v>
      </c>
      <c r="C54" s="338">
        <v>0</v>
      </c>
      <c r="D54" s="753">
        <f t="shared" si="1"/>
        <v>159384</v>
      </c>
      <c r="E54" s="753">
        <f t="shared" si="2"/>
        <v>51799880</v>
      </c>
      <c r="F54" s="754"/>
      <c r="G54" s="756"/>
      <c r="H54" s="757">
        <f t="shared" si="3"/>
        <v>0</v>
      </c>
      <c r="I54" s="754"/>
      <c r="J54" s="754">
        <f t="shared" si="5"/>
        <v>51568992</v>
      </c>
      <c r="K54" s="753">
        <f t="shared" si="4"/>
        <v>230888</v>
      </c>
      <c r="L54" s="766">
        <f t="shared" si="0"/>
        <v>230888</v>
      </c>
      <c r="M54" s="767"/>
      <c r="N54" s="763"/>
    </row>
    <row r="55" spans="1:14" ht="29.1" customHeight="1">
      <c r="A55" s="726"/>
      <c r="B55" s="494"/>
      <c r="C55" s="338"/>
      <c r="D55" s="754"/>
      <c r="E55" s="754"/>
      <c r="F55" s="754"/>
      <c r="G55" s="756"/>
      <c r="H55" s="757">
        <f t="shared" si="3"/>
        <v>0</v>
      </c>
      <c r="I55" s="754"/>
      <c r="J55" s="754"/>
      <c r="K55" s="753">
        <f t="shared" si="4"/>
        <v>230888</v>
      </c>
      <c r="L55" s="769"/>
      <c r="M55" s="767"/>
      <c r="N55" s="763"/>
    </row>
    <row r="56" spans="1:14" ht="29.1" customHeight="1">
      <c r="A56" s="726"/>
      <c r="B56" s="494"/>
      <c r="C56" s="338"/>
      <c r="D56" s="754"/>
      <c r="E56" s="754"/>
      <c r="F56" s="754"/>
      <c r="G56" s="756"/>
      <c r="H56" s="757"/>
      <c r="I56" s="754"/>
      <c r="J56" s="754"/>
      <c r="K56" s="754"/>
      <c r="L56" s="769"/>
      <c r="M56" s="767"/>
      <c r="N56" s="763"/>
    </row>
    <row r="57" spans="1:14" ht="29.1" customHeight="1">
      <c r="A57" s="726"/>
      <c r="B57" s="494"/>
      <c r="C57" s="338"/>
      <c r="D57" s="754"/>
      <c r="E57" s="754"/>
      <c r="F57" s="754"/>
      <c r="G57" s="756"/>
      <c r="H57" s="757"/>
      <c r="I57" s="754"/>
      <c r="J57" s="754"/>
      <c r="K57" s="754"/>
      <c r="L57" s="769"/>
      <c r="M57" s="767"/>
      <c r="N57" s="763"/>
    </row>
    <row r="58" spans="1:14" ht="29.1" customHeight="1">
      <c r="A58" s="726"/>
      <c r="B58" s="494"/>
      <c r="C58" s="338"/>
      <c r="D58" s="754"/>
      <c r="E58" s="754"/>
      <c r="F58" s="754"/>
      <c r="G58" s="756"/>
      <c r="H58" s="754"/>
      <c r="I58" s="754"/>
      <c r="J58" s="754"/>
      <c r="K58" s="754"/>
      <c r="L58" s="769"/>
      <c r="M58" s="767"/>
      <c r="N58" s="763"/>
    </row>
    <row r="59" spans="1:14" ht="125.1" customHeight="1"/>
    <row r="60" spans="1:14" ht="42.95" customHeight="1"/>
    <row r="61" spans="1:14" ht="51" customHeight="1"/>
    <row r="62" spans="1:14" ht="30" customHeight="1"/>
    <row r="63" spans="1:14" ht="30" customHeight="1"/>
    <row r="65" ht="29.1" customHeight="1"/>
    <row r="66" ht="29.1" customHeight="1"/>
    <row r="67" ht="29.1" customHeight="1"/>
    <row r="68" ht="29.1" customHeight="1"/>
    <row r="69" ht="29.1" customHeight="1"/>
    <row r="70" ht="29.1" customHeight="1"/>
    <row r="71" ht="29.1" customHeight="1"/>
    <row r="72" ht="29.1" customHeight="1"/>
    <row r="73" ht="29.1" customHeight="1"/>
    <row r="74" ht="29.1" customHeight="1"/>
    <row r="75" ht="29.1" customHeight="1"/>
    <row r="76" ht="29.1" customHeight="1"/>
    <row r="77" ht="29.1" customHeight="1"/>
    <row r="78" ht="29.1" customHeight="1"/>
    <row r="79" ht="29.1" customHeight="1"/>
    <row r="80" ht="29.1" customHeight="1"/>
    <row r="81" ht="29.1" customHeight="1"/>
    <row r="82" ht="29.1" customHeight="1"/>
    <row r="83" ht="29.1" customHeight="1"/>
    <row r="84" ht="29.1" customHeight="1"/>
    <row r="85" ht="29.1" customHeight="1"/>
    <row r="86" ht="29.1" customHeight="1"/>
    <row r="87" ht="29.1" customHeight="1"/>
    <row r="88" ht="29.1" customHeight="1"/>
    <row r="89" ht="29.1" customHeight="1"/>
    <row r="90" ht="29.1" customHeight="1"/>
    <row r="91" ht="29.1" customHeight="1"/>
    <row r="92" ht="29.1" customHeight="1"/>
    <row r="93" ht="29.1" customHeight="1"/>
    <row r="94" ht="29.1" customHeight="1"/>
    <row r="95" ht="29.1" customHeight="1"/>
    <row r="96" ht="29.1" customHeight="1"/>
    <row r="97" ht="29.1" customHeight="1"/>
    <row r="98" ht="29.1" customHeight="1"/>
    <row r="99" ht="29.1" customHeight="1"/>
    <row r="100" ht="29.1" customHeight="1"/>
    <row r="101" ht="29.1" customHeight="1"/>
    <row r="102" ht="29.1" customHeight="1"/>
    <row r="103" ht="29.1" customHeight="1"/>
    <row r="104" ht="125.1" customHeight="1"/>
    <row r="105" ht="42.95" customHeight="1"/>
    <row r="106" ht="51" customHeight="1"/>
    <row r="107" ht="30" customHeight="1"/>
    <row r="108" ht="30" customHeight="1"/>
    <row r="110" ht="29.1" customHeight="1"/>
  </sheetData>
  <mergeCells count="19">
    <mergeCell ref="J6:L6"/>
    <mergeCell ref="B3:C3"/>
    <mergeCell ref="B4:D4"/>
    <mergeCell ref="E4:F4"/>
    <mergeCell ref="G4:I4"/>
    <mergeCell ref="J4:M4"/>
    <mergeCell ref="C5:D5"/>
    <mergeCell ref="A6:C6"/>
    <mergeCell ref="D6:F6"/>
    <mergeCell ref="G6:I6"/>
    <mergeCell ref="M1:N1"/>
    <mergeCell ref="B2:C2"/>
    <mergeCell ref="E2:H2"/>
    <mergeCell ref="E5:F5"/>
    <mergeCell ref="G5:I5"/>
    <mergeCell ref="J5:L5"/>
    <mergeCell ref="E1:F1"/>
    <mergeCell ref="G1:H1"/>
    <mergeCell ref="J1:L1"/>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5"/>
  <sheetViews>
    <sheetView topLeftCell="A25" workbookViewId="0">
      <selection activeCell="P8" sqref="P8"/>
    </sheetView>
  </sheetViews>
  <sheetFormatPr defaultRowHeight="14.25"/>
  <cols>
    <col min="1" max="1" width="14.75" customWidth="1"/>
  </cols>
  <sheetData>
    <row r="1" spans="1:14">
      <c r="A1" s="349" t="s">
        <v>556</v>
      </c>
      <c r="B1" s="350"/>
      <c r="C1" s="351" t="s">
        <v>1525</v>
      </c>
      <c r="D1" s="350" t="s">
        <v>236</v>
      </c>
      <c r="E1" s="2104"/>
      <c r="F1" s="2104"/>
      <c r="G1" s="2028" t="s">
        <v>3311</v>
      </c>
      <c r="H1" s="2028"/>
      <c r="I1" s="306" t="s">
        <v>560</v>
      </c>
      <c r="J1" s="1695" t="s">
        <v>3342</v>
      </c>
      <c r="K1" s="1695"/>
      <c r="L1" s="1695"/>
      <c r="M1" s="2102" t="s">
        <v>3313</v>
      </c>
      <c r="N1" s="2103"/>
    </row>
    <row r="2" spans="1:14" ht="28.5">
      <c r="A2" s="133" t="s">
        <v>247</v>
      </c>
      <c r="B2" s="1682" t="s">
        <v>5208</v>
      </c>
      <c r="C2" s="1682"/>
      <c r="D2" s="134" t="s">
        <v>249</v>
      </c>
      <c r="E2" s="136" t="s">
        <v>323</v>
      </c>
      <c r="F2" s="134" t="s">
        <v>251</v>
      </c>
      <c r="G2" s="134"/>
      <c r="H2" s="134" t="s">
        <v>252</v>
      </c>
      <c r="I2" s="134"/>
      <c r="J2" s="15" t="s">
        <v>565</v>
      </c>
      <c r="K2" s="15"/>
      <c r="L2" s="15" t="s">
        <v>255</v>
      </c>
      <c r="M2" s="207"/>
      <c r="N2" s="760"/>
    </row>
    <row r="3" spans="1:14">
      <c r="A3" s="133" t="s">
        <v>260</v>
      </c>
      <c r="B3" s="1690" t="s">
        <v>3317</v>
      </c>
      <c r="C3" s="1690"/>
      <c r="D3" s="1690"/>
      <c r="E3" s="1690" t="s">
        <v>3318</v>
      </c>
      <c r="F3" s="1690"/>
      <c r="G3" s="1690" t="s">
        <v>3343</v>
      </c>
      <c r="H3" s="1690"/>
      <c r="I3" s="1690"/>
      <c r="J3" s="770"/>
      <c r="K3" s="771"/>
      <c r="L3" s="771"/>
      <c r="M3" s="167" t="s">
        <v>3315</v>
      </c>
      <c r="N3" s="760"/>
    </row>
    <row r="4" spans="1:14" ht="40.5">
      <c r="A4" s="748" t="s">
        <v>3319</v>
      </c>
      <c r="B4" s="749" t="s">
        <v>3320</v>
      </c>
      <c r="C4" s="198"/>
      <c r="D4" s="198"/>
      <c r="E4" s="198"/>
      <c r="F4" s="198"/>
      <c r="G4" s="198"/>
      <c r="H4" s="198"/>
      <c r="I4" s="198"/>
      <c r="J4" s="770"/>
      <c r="K4" s="771"/>
      <c r="L4" s="771"/>
      <c r="M4" s="167"/>
      <c r="N4" s="760"/>
    </row>
    <row r="5" spans="1:14">
      <c r="A5" s="1688" t="s">
        <v>660</v>
      </c>
      <c r="B5" s="1689"/>
      <c r="C5" s="1689"/>
      <c r="D5" s="1690"/>
      <c r="E5" s="1690"/>
      <c r="F5" s="1690"/>
      <c r="G5" s="1690"/>
      <c r="H5" s="1690"/>
      <c r="I5" s="1690"/>
      <c r="J5" s="169"/>
      <c r="K5" s="169"/>
      <c r="L5" s="169"/>
      <c r="M5" s="264"/>
      <c r="N5" s="760"/>
    </row>
    <row r="6" spans="1:14" ht="57">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761"/>
    </row>
    <row r="7" spans="1:14">
      <c r="A7" s="772">
        <v>41730</v>
      </c>
      <c r="B7" s="773">
        <v>959</v>
      </c>
      <c r="C7" s="773">
        <v>363250</v>
      </c>
      <c r="D7" s="773">
        <f>B7</f>
        <v>959</v>
      </c>
      <c r="E7" s="773">
        <f>C7</f>
        <v>363250</v>
      </c>
      <c r="F7" s="773"/>
      <c r="G7" s="128"/>
      <c r="H7" s="774"/>
      <c r="I7" s="773"/>
      <c r="J7" s="612"/>
      <c r="K7" s="612"/>
      <c r="L7" s="773">
        <f t="shared" ref="L7:L42" si="0">E7-J7</f>
        <v>363250</v>
      </c>
      <c r="M7" s="781"/>
      <c r="N7" s="761"/>
    </row>
    <row r="8" spans="1:14">
      <c r="A8" s="772">
        <v>41760</v>
      </c>
      <c r="B8" s="773">
        <v>1594</v>
      </c>
      <c r="C8" s="773">
        <v>597820</v>
      </c>
      <c r="D8" s="773">
        <f t="shared" ref="D8:D42" si="1">D7+B8</f>
        <v>2553</v>
      </c>
      <c r="E8" s="773">
        <f t="shared" ref="E8:E42" si="2">E7+C8</f>
        <v>961070</v>
      </c>
      <c r="F8" s="773"/>
      <c r="G8" s="128"/>
      <c r="H8" s="774">
        <f t="shared" ref="H8:H43" si="3">C7</f>
        <v>363250</v>
      </c>
      <c r="I8" s="773"/>
      <c r="J8" s="612"/>
      <c r="K8" s="612">
        <f t="shared" ref="K8:K43" si="4">K7+H8-I8</f>
        <v>363250</v>
      </c>
      <c r="L8" s="773">
        <f t="shared" si="0"/>
        <v>961070</v>
      </c>
      <c r="M8" s="781"/>
      <c r="N8" s="761"/>
    </row>
    <row r="9" spans="1:14">
      <c r="A9" s="775">
        <v>41791</v>
      </c>
      <c r="B9" s="338">
        <v>104</v>
      </c>
      <c r="C9" s="338">
        <v>38985</v>
      </c>
      <c r="D9" s="338">
        <f t="shared" si="1"/>
        <v>2657</v>
      </c>
      <c r="E9" s="338">
        <f t="shared" si="2"/>
        <v>1000055</v>
      </c>
      <c r="F9" s="338"/>
      <c r="G9" s="340"/>
      <c r="H9" s="776">
        <f t="shared" si="3"/>
        <v>597820</v>
      </c>
      <c r="I9" s="338"/>
      <c r="J9" s="338"/>
      <c r="K9" s="338">
        <f t="shared" si="4"/>
        <v>961070</v>
      </c>
      <c r="L9" s="338">
        <f t="shared" si="0"/>
        <v>1000055</v>
      </c>
      <c r="M9" s="782"/>
      <c r="N9" s="763"/>
    </row>
    <row r="10" spans="1:14">
      <c r="A10" s="775">
        <v>41822</v>
      </c>
      <c r="B10" s="338">
        <v>2866</v>
      </c>
      <c r="C10" s="338">
        <v>1049937.5</v>
      </c>
      <c r="D10" s="338">
        <f t="shared" si="1"/>
        <v>5523</v>
      </c>
      <c r="E10" s="338">
        <f t="shared" si="2"/>
        <v>2049992.5</v>
      </c>
      <c r="F10" s="338"/>
      <c r="G10" s="340"/>
      <c r="H10" s="776">
        <f t="shared" si="3"/>
        <v>38985</v>
      </c>
      <c r="I10" s="338"/>
      <c r="J10" s="338"/>
      <c r="K10" s="338">
        <f t="shared" si="4"/>
        <v>1000055</v>
      </c>
      <c r="L10" s="338">
        <f t="shared" si="0"/>
        <v>2049992.5</v>
      </c>
      <c r="M10" s="782"/>
      <c r="N10" s="763"/>
    </row>
    <row r="11" spans="1:14">
      <c r="A11" s="775">
        <v>41853</v>
      </c>
      <c r="B11" s="338">
        <v>1816.5</v>
      </c>
      <c r="C11" s="338">
        <v>649187.5</v>
      </c>
      <c r="D11" s="338">
        <f t="shared" si="1"/>
        <v>7339.5</v>
      </c>
      <c r="E11" s="338">
        <f t="shared" si="2"/>
        <v>2699180</v>
      </c>
      <c r="F11" s="338"/>
      <c r="G11" s="340"/>
      <c r="H11" s="776">
        <f t="shared" si="3"/>
        <v>1049937.5</v>
      </c>
      <c r="I11" s="338"/>
      <c r="J11" s="338"/>
      <c r="K11" s="338">
        <f t="shared" si="4"/>
        <v>2049992.5</v>
      </c>
      <c r="L11" s="338">
        <f t="shared" si="0"/>
        <v>2699180</v>
      </c>
      <c r="M11" s="782"/>
      <c r="N11" s="763"/>
    </row>
    <row r="12" spans="1:14">
      <c r="A12" s="775">
        <v>41884</v>
      </c>
      <c r="B12" s="338">
        <v>1534.5</v>
      </c>
      <c r="C12" s="338">
        <v>525947.5</v>
      </c>
      <c r="D12" s="480">
        <f t="shared" si="1"/>
        <v>8874</v>
      </c>
      <c r="E12" s="480">
        <f t="shared" si="2"/>
        <v>3225127.5</v>
      </c>
      <c r="F12" s="338"/>
      <c r="G12" s="340"/>
      <c r="H12" s="776">
        <f t="shared" si="3"/>
        <v>649187.5</v>
      </c>
      <c r="I12" s="338"/>
      <c r="J12" s="338"/>
      <c r="K12" s="338">
        <f t="shared" si="4"/>
        <v>2699180</v>
      </c>
      <c r="L12" s="338">
        <f t="shared" si="0"/>
        <v>3225127.5</v>
      </c>
      <c r="M12" s="782"/>
      <c r="N12" s="763"/>
    </row>
    <row r="13" spans="1:14">
      <c r="A13" s="777">
        <v>41914</v>
      </c>
      <c r="B13" s="200">
        <v>3016</v>
      </c>
      <c r="C13" s="213">
        <v>988279</v>
      </c>
      <c r="D13" s="200">
        <f t="shared" si="1"/>
        <v>11890</v>
      </c>
      <c r="E13" s="200">
        <f t="shared" si="2"/>
        <v>4213406.5</v>
      </c>
      <c r="F13" s="482"/>
      <c r="G13" s="340"/>
      <c r="H13" s="776">
        <f t="shared" si="3"/>
        <v>525947.5</v>
      </c>
      <c r="I13" s="200"/>
      <c r="J13" s="200"/>
      <c r="K13" s="200">
        <f t="shared" si="4"/>
        <v>3225127.5</v>
      </c>
      <c r="L13" s="338">
        <f t="shared" si="0"/>
        <v>4213406.5</v>
      </c>
      <c r="M13" s="783"/>
      <c r="N13" s="763"/>
    </row>
    <row r="14" spans="1:14">
      <c r="A14" s="775">
        <v>41945</v>
      </c>
      <c r="B14" s="338">
        <v>1441</v>
      </c>
      <c r="C14" s="494">
        <v>479540</v>
      </c>
      <c r="D14" s="200">
        <f t="shared" si="1"/>
        <v>13331</v>
      </c>
      <c r="E14" s="200">
        <f t="shared" si="2"/>
        <v>4692946.5</v>
      </c>
      <c r="F14" s="482"/>
      <c r="G14" s="340"/>
      <c r="H14" s="776">
        <f t="shared" si="3"/>
        <v>988279</v>
      </c>
      <c r="I14" s="482"/>
      <c r="J14" s="338"/>
      <c r="K14" s="200">
        <f t="shared" si="4"/>
        <v>4213406.5</v>
      </c>
      <c r="L14" s="338">
        <f t="shared" si="0"/>
        <v>4692946.5</v>
      </c>
      <c r="M14" s="784"/>
      <c r="N14" s="763"/>
    </row>
    <row r="15" spans="1:14">
      <c r="A15" s="777">
        <v>41975</v>
      </c>
      <c r="B15" s="338">
        <v>771.5</v>
      </c>
      <c r="C15" s="494">
        <v>259162</v>
      </c>
      <c r="D15" s="200">
        <f t="shared" si="1"/>
        <v>14102.5</v>
      </c>
      <c r="E15" s="200">
        <f t="shared" si="2"/>
        <v>4952108.5</v>
      </c>
      <c r="F15" s="778"/>
      <c r="G15" s="340"/>
      <c r="H15" s="776">
        <f t="shared" si="3"/>
        <v>479540</v>
      </c>
      <c r="I15" s="482"/>
      <c r="J15" s="338"/>
      <c r="K15" s="200">
        <f t="shared" si="4"/>
        <v>4692946.5</v>
      </c>
      <c r="L15" s="338">
        <f t="shared" si="0"/>
        <v>4952108.5</v>
      </c>
      <c r="M15" s="784"/>
      <c r="N15" s="763"/>
    </row>
    <row r="16" spans="1:14">
      <c r="A16" s="775">
        <v>42005</v>
      </c>
      <c r="B16" s="338">
        <v>145</v>
      </c>
      <c r="C16" s="494">
        <v>48895</v>
      </c>
      <c r="D16" s="200">
        <f t="shared" si="1"/>
        <v>14247.5</v>
      </c>
      <c r="E16" s="200">
        <f t="shared" si="2"/>
        <v>5001003.5</v>
      </c>
      <c r="F16" s="482"/>
      <c r="G16" s="779"/>
      <c r="H16" s="776">
        <f t="shared" si="3"/>
        <v>259162</v>
      </c>
      <c r="I16" s="482"/>
      <c r="J16" s="338"/>
      <c r="K16" s="200">
        <f t="shared" si="4"/>
        <v>4952108.5</v>
      </c>
      <c r="L16" s="338">
        <f t="shared" si="0"/>
        <v>5001003.5</v>
      </c>
      <c r="M16" s="784"/>
      <c r="N16" s="763"/>
    </row>
    <row r="17" spans="1:14">
      <c r="A17" s="775">
        <v>42037</v>
      </c>
      <c r="B17" s="338">
        <v>0</v>
      </c>
      <c r="C17" s="494">
        <v>0</v>
      </c>
      <c r="D17" s="200">
        <f t="shared" si="1"/>
        <v>14247.5</v>
      </c>
      <c r="E17" s="200">
        <f t="shared" si="2"/>
        <v>5001003.5</v>
      </c>
      <c r="F17" s="485"/>
      <c r="G17" s="779"/>
      <c r="H17" s="776">
        <f t="shared" si="3"/>
        <v>48895</v>
      </c>
      <c r="I17" s="482"/>
      <c r="J17" s="338"/>
      <c r="K17" s="200">
        <f t="shared" si="4"/>
        <v>5001003.5</v>
      </c>
      <c r="L17" s="338">
        <f t="shared" si="0"/>
        <v>5001003.5</v>
      </c>
      <c r="M17" s="784"/>
      <c r="N17" s="763"/>
    </row>
    <row r="18" spans="1:14">
      <c r="A18" s="775">
        <v>42100</v>
      </c>
      <c r="B18" s="338">
        <v>11.5</v>
      </c>
      <c r="C18" s="494">
        <v>3910</v>
      </c>
      <c r="D18" s="200">
        <f t="shared" si="1"/>
        <v>14259</v>
      </c>
      <c r="E18" s="200">
        <f t="shared" si="2"/>
        <v>5004913.5</v>
      </c>
      <c r="F18" s="485"/>
      <c r="G18" s="779"/>
      <c r="H18" s="776">
        <f t="shared" si="3"/>
        <v>0</v>
      </c>
      <c r="I18" s="482"/>
      <c r="J18" s="338"/>
      <c r="K18" s="200">
        <f t="shared" si="4"/>
        <v>5001003.5</v>
      </c>
      <c r="L18" s="338">
        <f t="shared" si="0"/>
        <v>5004913.5</v>
      </c>
      <c r="M18" s="784"/>
      <c r="N18" s="763"/>
    </row>
    <row r="19" spans="1:14">
      <c r="A19" s="780">
        <v>42125</v>
      </c>
      <c r="B19" s="200">
        <v>481</v>
      </c>
      <c r="C19" s="200">
        <v>175565</v>
      </c>
      <c r="D19" s="200">
        <f t="shared" si="1"/>
        <v>14740</v>
      </c>
      <c r="E19" s="200">
        <f t="shared" si="2"/>
        <v>5180478.5</v>
      </c>
      <c r="F19" s="200"/>
      <c r="G19" s="180"/>
      <c r="H19" s="776">
        <f t="shared" si="3"/>
        <v>3910</v>
      </c>
      <c r="I19" s="200"/>
      <c r="J19" s="200"/>
      <c r="K19" s="200">
        <f t="shared" si="4"/>
        <v>5004913.5</v>
      </c>
      <c r="L19" s="338">
        <f t="shared" si="0"/>
        <v>5180478.5</v>
      </c>
      <c r="M19" s="768"/>
      <c r="N19" s="763"/>
    </row>
    <row r="20" spans="1:14">
      <c r="A20" s="780">
        <v>42156</v>
      </c>
      <c r="B20" s="200">
        <v>133.5</v>
      </c>
      <c r="C20" s="200">
        <v>48727.5</v>
      </c>
      <c r="D20" s="200">
        <f t="shared" si="1"/>
        <v>14873.5</v>
      </c>
      <c r="E20" s="200">
        <f t="shared" si="2"/>
        <v>5229206</v>
      </c>
      <c r="F20" s="200"/>
      <c r="G20" s="180"/>
      <c r="H20" s="776">
        <f t="shared" si="3"/>
        <v>175565</v>
      </c>
      <c r="I20" s="200"/>
      <c r="J20" s="200"/>
      <c r="K20" s="200">
        <f t="shared" si="4"/>
        <v>5180478.5</v>
      </c>
      <c r="L20" s="338">
        <f t="shared" si="0"/>
        <v>5229206</v>
      </c>
      <c r="M20" s="768"/>
      <c r="N20" s="763"/>
    </row>
    <row r="21" spans="1:14">
      <c r="A21" s="780">
        <v>42186</v>
      </c>
      <c r="B21" s="200">
        <v>138</v>
      </c>
      <c r="C21" s="200">
        <v>45130</v>
      </c>
      <c r="D21" s="200">
        <f t="shared" si="1"/>
        <v>15011.5</v>
      </c>
      <c r="E21" s="200">
        <f t="shared" si="2"/>
        <v>5274336</v>
      </c>
      <c r="F21" s="200"/>
      <c r="G21" s="180"/>
      <c r="H21" s="776">
        <f t="shared" si="3"/>
        <v>48727.5</v>
      </c>
      <c r="I21" s="200"/>
      <c r="J21" s="200"/>
      <c r="K21" s="200">
        <f t="shared" si="4"/>
        <v>5229206</v>
      </c>
      <c r="L21" s="338">
        <f t="shared" si="0"/>
        <v>5274336</v>
      </c>
      <c r="M21" s="768"/>
      <c r="N21" s="763"/>
    </row>
    <row r="22" spans="1:14">
      <c r="A22" s="780">
        <v>42217</v>
      </c>
      <c r="B22" s="200">
        <v>692</v>
      </c>
      <c r="C22" s="200">
        <v>225320</v>
      </c>
      <c r="D22" s="200">
        <f t="shared" si="1"/>
        <v>15703.5</v>
      </c>
      <c r="E22" s="200">
        <f t="shared" si="2"/>
        <v>5499656</v>
      </c>
      <c r="F22" s="200"/>
      <c r="G22" s="180"/>
      <c r="H22" s="776">
        <f t="shared" si="3"/>
        <v>45130</v>
      </c>
      <c r="I22" s="200"/>
      <c r="J22" s="200"/>
      <c r="K22" s="200">
        <f t="shared" si="4"/>
        <v>5274336</v>
      </c>
      <c r="L22" s="338">
        <f t="shared" si="0"/>
        <v>5499656</v>
      </c>
      <c r="M22" s="768"/>
      <c r="N22" s="763"/>
    </row>
    <row r="23" spans="1:14">
      <c r="A23" s="780">
        <v>42248</v>
      </c>
      <c r="B23" s="200">
        <v>786</v>
      </c>
      <c r="C23" s="200">
        <v>239590</v>
      </c>
      <c r="D23" s="200">
        <f t="shared" si="1"/>
        <v>16489.5</v>
      </c>
      <c r="E23" s="200">
        <f t="shared" si="2"/>
        <v>5739246</v>
      </c>
      <c r="F23" s="200"/>
      <c r="G23" s="180"/>
      <c r="H23" s="776">
        <f t="shared" si="3"/>
        <v>225320</v>
      </c>
      <c r="I23" s="200"/>
      <c r="J23" s="200"/>
      <c r="K23" s="200">
        <f t="shared" si="4"/>
        <v>5499656</v>
      </c>
      <c r="L23" s="338">
        <f t="shared" si="0"/>
        <v>5739246</v>
      </c>
      <c r="M23" s="768"/>
      <c r="N23" s="763"/>
    </row>
    <row r="24" spans="1:14">
      <c r="A24" s="780">
        <v>42278</v>
      </c>
      <c r="B24" s="200">
        <v>660</v>
      </c>
      <c r="C24" s="200">
        <v>206877</v>
      </c>
      <c r="D24" s="200">
        <f t="shared" si="1"/>
        <v>17149.5</v>
      </c>
      <c r="E24" s="200">
        <f t="shared" si="2"/>
        <v>5946123</v>
      </c>
      <c r="F24" s="200"/>
      <c r="G24" s="180"/>
      <c r="H24" s="776">
        <f t="shared" si="3"/>
        <v>239590</v>
      </c>
      <c r="I24" s="200"/>
      <c r="J24" s="200"/>
      <c r="K24" s="200">
        <f t="shared" si="4"/>
        <v>5739246</v>
      </c>
      <c r="L24" s="338">
        <f t="shared" si="0"/>
        <v>5946123</v>
      </c>
      <c r="M24" s="768"/>
      <c r="N24" s="763"/>
    </row>
    <row r="25" spans="1:14">
      <c r="A25" s="780">
        <v>42309</v>
      </c>
      <c r="B25" s="200">
        <v>112</v>
      </c>
      <c r="C25" s="200">
        <v>34890</v>
      </c>
      <c r="D25" s="200">
        <f t="shared" si="1"/>
        <v>17261.5</v>
      </c>
      <c r="E25" s="200">
        <f t="shared" si="2"/>
        <v>5981013</v>
      </c>
      <c r="F25" s="200"/>
      <c r="G25" s="180"/>
      <c r="H25" s="776">
        <f t="shared" si="3"/>
        <v>206877</v>
      </c>
      <c r="I25" s="200"/>
      <c r="J25" s="200"/>
      <c r="K25" s="200">
        <f t="shared" si="4"/>
        <v>5946123</v>
      </c>
      <c r="L25" s="338">
        <f t="shared" si="0"/>
        <v>5981013</v>
      </c>
      <c r="M25" s="768"/>
      <c r="N25" s="763"/>
    </row>
    <row r="26" spans="1:14">
      <c r="A26" s="780">
        <v>42339</v>
      </c>
      <c r="B26" s="200">
        <v>0</v>
      </c>
      <c r="C26" s="200">
        <v>0</v>
      </c>
      <c r="D26" s="200">
        <f t="shared" si="1"/>
        <v>17261.5</v>
      </c>
      <c r="E26" s="200">
        <f t="shared" si="2"/>
        <v>5981013</v>
      </c>
      <c r="F26" s="200"/>
      <c r="G26" s="180"/>
      <c r="H26" s="776">
        <f t="shared" si="3"/>
        <v>34890</v>
      </c>
      <c r="I26" s="200"/>
      <c r="J26" s="200"/>
      <c r="K26" s="200">
        <f t="shared" si="4"/>
        <v>5981013</v>
      </c>
      <c r="L26" s="338">
        <f t="shared" si="0"/>
        <v>5981013</v>
      </c>
      <c r="M26" s="768"/>
      <c r="N26" s="763"/>
    </row>
    <row r="27" spans="1:14">
      <c r="A27" s="780">
        <v>42370</v>
      </c>
      <c r="B27" s="200">
        <v>304</v>
      </c>
      <c r="C27" s="200">
        <v>84060</v>
      </c>
      <c r="D27" s="200">
        <f t="shared" si="1"/>
        <v>17565.5</v>
      </c>
      <c r="E27" s="200">
        <f t="shared" si="2"/>
        <v>6065073</v>
      </c>
      <c r="F27" s="200"/>
      <c r="G27" s="180"/>
      <c r="H27" s="776">
        <f t="shared" si="3"/>
        <v>0</v>
      </c>
      <c r="I27" s="200"/>
      <c r="J27" s="200"/>
      <c r="K27" s="200">
        <f t="shared" si="4"/>
        <v>5981013</v>
      </c>
      <c r="L27" s="338">
        <f t="shared" si="0"/>
        <v>6065073</v>
      </c>
      <c r="M27" s="768"/>
      <c r="N27" s="763"/>
    </row>
    <row r="28" spans="1:14">
      <c r="A28" s="780">
        <v>42430</v>
      </c>
      <c r="B28" s="200">
        <v>702</v>
      </c>
      <c r="C28" s="200">
        <v>181055</v>
      </c>
      <c r="D28" s="200">
        <f t="shared" si="1"/>
        <v>18267.5</v>
      </c>
      <c r="E28" s="200">
        <f t="shared" si="2"/>
        <v>6246128</v>
      </c>
      <c r="F28" s="200"/>
      <c r="G28" s="180"/>
      <c r="H28" s="776">
        <f t="shared" si="3"/>
        <v>84060</v>
      </c>
      <c r="I28" s="200"/>
      <c r="J28" s="200"/>
      <c r="K28" s="200">
        <f t="shared" si="4"/>
        <v>6065073</v>
      </c>
      <c r="L28" s="338">
        <f t="shared" si="0"/>
        <v>6246128</v>
      </c>
      <c r="M28" s="768"/>
      <c r="N28" s="763"/>
    </row>
    <row r="29" spans="1:14">
      <c r="A29" s="780">
        <v>42461</v>
      </c>
      <c r="B29" s="200">
        <v>150</v>
      </c>
      <c r="C29" s="200">
        <v>38675</v>
      </c>
      <c r="D29" s="200">
        <f t="shared" si="1"/>
        <v>18417.5</v>
      </c>
      <c r="E29" s="200">
        <f t="shared" si="2"/>
        <v>6284803</v>
      </c>
      <c r="F29" s="200"/>
      <c r="G29" s="180"/>
      <c r="H29" s="776">
        <f t="shared" si="3"/>
        <v>181055</v>
      </c>
      <c r="I29" s="200"/>
      <c r="J29" s="200"/>
      <c r="K29" s="200">
        <f t="shared" si="4"/>
        <v>6246128</v>
      </c>
      <c r="L29" s="338">
        <f t="shared" si="0"/>
        <v>6284803</v>
      </c>
      <c r="M29" s="768"/>
      <c r="N29" s="763"/>
    </row>
    <row r="30" spans="1:14">
      <c r="A30" s="780">
        <v>42491</v>
      </c>
      <c r="B30" s="200">
        <v>189</v>
      </c>
      <c r="C30" s="200">
        <v>50120</v>
      </c>
      <c r="D30" s="200">
        <f t="shared" si="1"/>
        <v>18606.5</v>
      </c>
      <c r="E30" s="200">
        <f t="shared" si="2"/>
        <v>6334923</v>
      </c>
      <c r="F30" s="200"/>
      <c r="G30" s="180"/>
      <c r="H30" s="776">
        <f t="shared" si="3"/>
        <v>38675</v>
      </c>
      <c r="I30" s="200"/>
      <c r="J30" s="200"/>
      <c r="K30" s="200">
        <f t="shared" si="4"/>
        <v>6284803</v>
      </c>
      <c r="L30" s="338">
        <f t="shared" si="0"/>
        <v>6334923</v>
      </c>
      <c r="M30" s="768"/>
      <c r="N30" s="763"/>
    </row>
    <row r="31" spans="1:14">
      <c r="A31" s="780">
        <v>42522</v>
      </c>
      <c r="B31" s="200">
        <v>1073</v>
      </c>
      <c r="C31" s="200">
        <v>285532</v>
      </c>
      <c r="D31" s="200">
        <f t="shared" si="1"/>
        <v>19679.5</v>
      </c>
      <c r="E31" s="200">
        <f t="shared" si="2"/>
        <v>6620455</v>
      </c>
      <c r="F31" s="200"/>
      <c r="G31" s="180"/>
      <c r="H31" s="776">
        <f t="shared" si="3"/>
        <v>50120</v>
      </c>
      <c r="I31" s="200"/>
      <c r="J31" s="200"/>
      <c r="K31" s="200">
        <f t="shared" si="4"/>
        <v>6334923</v>
      </c>
      <c r="L31" s="338">
        <f t="shared" si="0"/>
        <v>6620455</v>
      </c>
      <c r="M31" s="768"/>
      <c r="N31" s="763"/>
    </row>
    <row r="32" spans="1:14">
      <c r="A32" s="780">
        <v>42552</v>
      </c>
      <c r="B32" s="200">
        <v>3688</v>
      </c>
      <c r="C32" s="200">
        <v>975936</v>
      </c>
      <c r="D32" s="200">
        <f t="shared" si="1"/>
        <v>23367.5</v>
      </c>
      <c r="E32" s="200">
        <f t="shared" si="2"/>
        <v>7596391</v>
      </c>
      <c r="F32" s="200"/>
      <c r="G32" s="180"/>
      <c r="H32" s="776">
        <f t="shared" si="3"/>
        <v>285532</v>
      </c>
      <c r="I32" s="200"/>
      <c r="J32" s="200"/>
      <c r="K32" s="200">
        <f t="shared" si="4"/>
        <v>6620455</v>
      </c>
      <c r="L32" s="338">
        <f t="shared" si="0"/>
        <v>7596391</v>
      </c>
      <c r="M32" s="768"/>
      <c r="N32" s="763"/>
    </row>
    <row r="33" spans="1:14">
      <c r="A33" s="780">
        <v>42583</v>
      </c>
      <c r="B33" s="200">
        <v>4100</v>
      </c>
      <c r="C33" s="200">
        <v>1096559</v>
      </c>
      <c r="D33" s="200">
        <f t="shared" si="1"/>
        <v>27467.5</v>
      </c>
      <c r="E33" s="200">
        <f t="shared" si="2"/>
        <v>8692950</v>
      </c>
      <c r="F33" s="200"/>
      <c r="G33" s="180"/>
      <c r="H33" s="776">
        <f t="shared" si="3"/>
        <v>975936</v>
      </c>
      <c r="I33" s="200"/>
      <c r="J33" s="200"/>
      <c r="K33" s="200">
        <f t="shared" si="4"/>
        <v>7596391</v>
      </c>
      <c r="L33" s="338">
        <f t="shared" si="0"/>
        <v>8692950</v>
      </c>
      <c r="M33" s="768"/>
      <c r="N33" s="763"/>
    </row>
    <row r="34" spans="1:14">
      <c r="A34" s="780">
        <v>42614</v>
      </c>
      <c r="B34" s="200">
        <v>1260</v>
      </c>
      <c r="C34" s="200">
        <v>348659</v>
      </c>
      <c r="D34" s="200">
        <f t="shared" si="1"/>
        <v>28727.5</v>
      </c>
      <c r="E34" s="200">
        <f t="shared" si="2"/>
        <v>9041609</v>
      </c>
      <c r="F34" s="200"/>
      <c r="G34" s="180"/>
      <c r="H34" s="776">
        <f t="shared" si="3"/>
        <v>1096559</v>
      </c>
      <c r="I34" s="200"/>
      <c r="J34" s="200"/>
      <c r="K34" s="200">
        <f t="shared" si="4"/>
        <v>8692950</v>
      </c>
      <c r="L34" s="338">
        <f t="shared" si="0"/>
        <v>9041609</v>
      </c>
      <c r="M34" s="768"/>
      <c r="N34" s="763"/>
    </row>
    <row r="35" spans="1:14">
      <c r="A35" s="780">
        <v>42644</v>
      </c>
      <c r="B35" s="200">
        <v>228</v>
      </c>
      <c r="C35" s="200">
        <v>64399</v>
      </c>
      <c r="D35" s="200">
        <f t="shared" si="1"/>
        <v>28955.5</v>
      </c>
      <c r="E35" s="200">
        <f t="shared" si="2"/>
        <v>9106008</v>
      </c>
      <c r="F35" s="200"/>
      <c r="G35" s="180"/>
      <c r="H35" s="776">
        <f t="shared" si="3"/>
        <v>348659</v>
      </c>
      <c r="I35" s="200"/>
      <c r="J35" s="200"/>
      <c r="K35" s="200">
        <f t="shared" si="4"/>
        <v>9041609</v>
      </c>
      <c r="L35" s="338">
        <f t="shared" si="0"/>
        <v>9106008</v>
      </c>
      <c r="M35" s="768"/>
      <c r="N35" s="763"/>
    </row>
    <row r="36" spans="1:14">
      <c r="A36" s="780">
        <v>42675</v>
      </c>
      <c r="B36" s="200">
        <v>1900</v>
      </c>
      <c r="C36" s="200">
        <v>50030</v>
      </c>
      <c r="D36" s="200">
        <f t="shared" si="1"/>
        <v>30855.5</v>
      </c>
      <c r="E36" s="200">
        <f t="shared" si="2"/>
        <v>9156038</v>
      </c>
      <c r="F36" s="200"/>
      <c r="G36" s="180"/>
      <c r="H36" s="776">
        <f t="shared" si="3"/>
        <v>64399</v>
      </c>
      <c r="I36" s="200"/>
      <c r="J36" s="200"/>
      <c r="K36" s="200">
        <f t="shared" si="4"/>
        <v>9106008</v>
      </c>
      <c r="L36" s="338">
        <f t="shared" si="0"/>
        <v>9156038</v>
      </c>
      <c r="M36" s="768"/>
      <c r="N36" s="763"/>
    </row>
    <row r="37" spans="1:14">
      <c r="A37" s="780">
        <v>42705</v>
      </c>
      <c r="B37" s="200">
        <v>61.5</v>
      </c>
      <c r="C37" s="200">
        <v>16002.5</v>
      </c>
      <c r="D37" s="200">
        <f t="shared" si="1"/>
        <v>30917</v>
      </c>
      <c r="E37" s="200">
        <f t="shared" si="2"/>
        <v>9172040.5</v>
      </c>
      <c r="F37" s="200"/>
      <c r="G37" s="180"/>
      <c r="H37" s="776">
        <f t="shared" si="3"/>
        <v>50030</v>
      </c>
      <c r="I37" s="200"/>
      <c r="J37" s="200"/>
      <c r="K37" s="200">
        <f t="shared" si="4"/>
        <v>9156038</v>
      </c>
      <c r="L37" s="338">
        <f t="shared" si="0"/>
        <v>9172040.5</v>
      </c>
      <c r="M37" s="768"/>
      <c r="N37" s="763"/>
    </row>
    <row r="38" spans="1:14">
      <c r="A38" s="780">
        <v>42736</v>
      </c>
      <c r="B38" s="200">
        <v>101</v>
      </c>
      <c r="C38" s="200">
        <v>34340</v>
      </c>
      <c r="D38" s="200">
        <f t="shared" si="1"/>
        <v>31018</v>
      </c>
      <c r="E38" s="200">
        <f t="shared" si="2"/>
        <v>9206380.5</v>
      </c>
      <c r="F38" s="200"/>
      <c r="G38" s="180"/>
      <c r="H38" s="776">
        <f t="shared" si="3"/>
        <v>16002.5</v>
      </c>
      <c r="I38" s="200"/>
      <c r="J38" s="200"/>
      <c r="K38" s="200">
        <f t="shared" si="4"/>
        <v>9172040.5</v>
      </c>
      <c r="L38" s="338">
        <f t="shared" si="0"/>
        <v>9206380.5</v>
      </c>
      <c r="M38" s="768"/>
      <c r="N38" s="763"/>
    </row>
    <row r="39" spans="1:14">
      <c r="A39" s="780">
        <v>42767</v>
      </c>
      <c r="B39" s="200">
        <v>17</v>
      </c>
      <c r="C39" s="200">
        <v>5185</v>
      </c>
      <c r="D39" s="200">
        <f t="shared" si="1"/>
        <v>31035</v>
      </c>
      <c r="E39" s="200">
        <f t="shared" si="2"/>
        <v>9211565.5</v>
      </c>
      <c r="F39" s="200"/>
      <c r="G39" s="180"/>
      <c r="H39" s="776">
        <f t="shared" si="3"/>
        <v>34340</v>
      </c>
      <c r="I39" s="200"/>
      <c r="J39" s="200"/>
      <c r="K39" s="200">
        <f t="shared" si="4"/>
        <v>9206380.5</v>
      </c>
      <c r="L39" s="338">
        <f t="shared" si="0"/>
        <v>9211565.5</v>
      </c>
      <c r="M39" s="768"/>
      <c r="N39" s="763"/>
    </row>
    <row r="40" spans="1:14">
      <c r="A40" s="780">
        <v>42795</v>
      </c>
      <c r="B40" s="200">
        <v>72</v>
      </c>
      <c r="C40" s="200">
        <v>22485</v>
      </c>
      <c r="D40" s="200">
        <f t="shared" si="1"/>
        <v>31107</v>
      </c>
      <c r="E40" s="200">
        <f t="shared" si="2"/>
        <v>9234050.5</v>
      </c>
      <c r="F40" s="200"/>
      <c r="G40" s="180"/>
      <c r="H40" s="776">
        <f t="shared" si="3"/>
        <v>5185</v>
      </c>
      <c r="I40" s="200"/>
      <c r="J40" s="200"/>
      <c r="K40" s="200">
        <f t="shared" si="4"/>
        <v>9211565.5</v>
      </c>
      <c r="L40" s="338">
        <f t="shared" si="0"/>
        <v>9234050.5</v>
      </c>
      <c r="M40" s="768"/>
      <c r="N40" s="763"/>
    </row>
    <row r="41" spans="1:14">
      <c r="A41" s="780">
        <v>42826</v>
      </c>
      <c r="B41" s="200">
        <v>56.5</v>
      </c>
      <c r="C41" s="200">
        <v>19167.5</v>
      </c>
      <c r="D41" s="200">
        <f t="shared" si="1"/>
        <v>31163.5</v>
      </c>
      <c r="E41" s="200">
        <f t="shared" si="2"/>
        <v>9253218</v>
      </c>
      <c r="F41" s="200"/>
      <c r="G41" s="180"/>
      <c r="H41" s="776">
        <f t="shared" si="3"/>
        <v>22485</v>
      </c>
      <c r="I41" s="200"/>
      <c r="J41" s="200"/>
      <c r="K41" s="200">
        <f t="shared" si="4"/>
        <v>9234050.5</v>
      </c>
      <c r="L41" s="338">
        <f t="shared" si="0"/>
        <v>9253218</v>
      </c>
      <c r="M41" s="768" t="s">
        <v>3344</v>
      </c>
      <c r="N41" s="763"/>
    </row>
    <row r="42" spans="1:14">
      <c r="A42" s="780">
        <v>42856</v>
      </c>
      <c r="B42" s="200">
        <v>0</v>
      </c>
      <c r="C42" s="200">
        <v>0</v>
      </c>
      <c r="D42" s="200">
        <f t="shared" si="1"/>
        <v>31163.5</v>
      </c>
      <c r="E42" s="200">
        <f t="shared" si="2"/>
        <v>9253218</v>
      </c>
      <c r="F42" s="200"/>
      <c r="G42" s="180"/>
      <c r="H42" s="776">
        <f t="shared" si="3"/>
        <v>19167.5</v>
      </c>
      <c r="I42" s="200">
        <v>1000000</v>
      </c>
      <c r="J42" s="200">
        <f>I42</f>
        <v>1000000</v>
      </c>
      <c r="K42" s="200">
        <f t="shared" si="4"/>
        <v>8253218</v>
      </c>
      <c r="L42" s="338">
        <f t="shared" si="0"/>
        <v>8253218</v>
      </c>
      <c r="M42" s="768"/>
      <c r="N42" s="763"/>
    </row>
    <row r="43" spans="1:14">
      <c r="A43" s="780"/>
      <c r="B43" s="200"/>
      <c r="C43" s="200"/>
      <c r="D43" s="200"/>
      <c r="E43" s="200"/>
      <c r="F43" s="200"/>
      <c r="G43" s="180"/>
      <c r="H43" s="776">
        <f t="shared" si="3"/>
        <v>0</v>
      </c>
      <c r="I43" s="200"/>
      <c r="J43" s="200"/>
      <c r="K43" s="200">
        <f t="shared" si="4"/>
        <v>8253218</v>
      </c>
      <c r="L43" s="200"/>
      <c r="M43" s="768"/>
      <c r="N43" s="763"/>
    </row>
    <row r="44" spans="1:14">
      <c r="A44" s="780"/>
      <c r="B44" s="200"/>
      <c r="C44" s="200"/>
      <c r="D44" s="200"/>
      <c r="E44" s="200"/>
      <c r="F44" s="200"/>
      <c r="G44" s="180"/>
      <c r="H44" s="776"/>
      <c r="I44" s="200"/>
      <c r="J44" s="200"/>
      <c r="K44" s="200"/>
      <c r="L44" s="200"/>
      <c r="M44" s="768"/>
      <c r="N44" s="763"/>
    </row>
    <row r="45" spans="1:14">
      <c r="A45" s="780"/>
      <c r="B45" s="200"/>
      <c r="C45" s="200"/>
      <c r="D45" s="200"/>
      <c r="E45" s="200"/>
      <c r="F45" s="200"/>
      <c r="G45" s="180"/>
      <c r="H45" s="201"/>
      <c r="I45" s="200"/>
      <c r="J45" s="200"/>
      <c r="K45" s="200"/>
      <c r="L45" s="200"/>
      <c r="M45" s="768"/>
      <c r="N45" s="763"/>
    </row>
  </sheetData>
  <mergeCells count="11">
    <mergeCell ref="A5:C5"/>
    <mergeCell ref="D5:F5"/>
    <mergeCell ref="G5:I5"/>
    <mergeCell ref="M1:N1"/>
    <mergeCell ref="B2:C2"/>
    <mergeCell ref="B3:D3"/>
    <mergeCell ref="E3:F3"/>
    <mergeCell ref="G3:I3"/>
    <mergeCell ref="E1:F1"/>
    <mergeCell ref="G1:H1"/>
    <mergeCell ref="J1:L1"/>
  </mergeCells>
  <phoneticPr fontId="86" type="noConversion"/>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topLeftCell="A4" zoomScaleSheetLayoutView="100" workbookViewId="0"/>
  </sheetViews>
  <sheetFormatPr defaultColWidth="9" defaultRowHeight="14.25"/>
  <cols>
    <col min="1" max="1" width="13.5" customWidth="1"/>
    <col min="2" max="3" width="16.5" customWidth="1"/>
    <col min="4" max="4" width="17.875" customWidth="1"/>
    <col min="5"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c r="C1" s="1405" t="s">
        <v>548</v>
      </c>
      <c r="D1" s="1175"/>
      <c r="E1" s="1034" t="s">
        <v>236</v>
      </c>
      <c r="F1" s="1406"/>
      <c r="G1" s="656" t="s">
        <v>351</v>
      </c>
      <c r="H1" s="1407"/>
      <c r="I1" s="1652" t="s">
        <v>237</v>
      </c>
      <c r="J1" s="1656" t="s">
        <v>552</v>
      </c>
      <c r="K1" s="1657"/>
      <c r="L1" s="1658"/>
      <c r="M1" s="1654"/>
    </row>
    <row r="2" spans="1:13" ht="60" customHeight="1">
      <c r="A2" s="39" t="s">
        <v>240</v>
      </c>
      <c r="B2" s="1637" t="s">
        <v>553</v>
      </c>
      <c r="C2" s="1637"/>
      <c r="D2" s="41" t="s">
        <v>242</v>
      </c>
      <c r="E2" s="1666"/>
      <c r="F2" s="1667"/>
      <c r="G2" s="41" t="s">
        <v>243</v>
      </c>
      <c r="H2" s="1408"/>
      <c r="I2" s="1653"/>
      <c r="J2" s="1659"/>
      <c r="K2" s="1660"/>
      <c r="L2" s="1661"/>
      <c r="M2" s="1655"/>
    </row>
    <row r="3" spans="1:13" ht="87.95" customHeight="1">
      <c r="A3" s="39" t="s">
        <v>247</v>
      </c>
      <c r="B3" s="1637" t="s">
        <v>554</v>
      </c>
      <c r="C3" s="1637"/>
      <c r="D3" s="41" t="s">
        <v>249</v>
      </c>
      <c r="E3" s="186"/>
      <c r="F3" s="41" t="s">
        <v>251</v>
      </c>
      <c r="G3" s="41"/>
      <c r="H3" s="41" t="s">
        <v>252</v>
      </c>
      <c r="I3" s="90"/>
      <c r="J3" s="91" t="s">
        <v>253</v>
      </c>
      <c r="K3" s="40"/>
      <c r="L3" s="15" t="s">
        <v>255</v>
      </c>
      <c r="M3" s="105"/>
    </row>
    <row r="4" spans="1:13" ht="47.25" customHeight="1">
      <c r="A4" s="39" t="s">
        <v>257</v>
      </c>
      <c r="B4" s="1637"/>
      <c r="C4" s="1637"/>
      <c r="D4" s="1637"/>
      <c r="E4" s="43" t="s">
        <v>258</v>
      </c>
      <c r="F4" s="1638"/>
      <c r="G4" s="1638"/>
      <c r="H4" s="1638"/>
      <c r="I4" s="1637"/>
      <c r="J4" s="1637"/>
      <c r="K4" s="15"/>
      <c r="L4" s="41" t="s">
        <v>360</v>
      </c>
      <c r="M4" s="105"/>
    </row>
    <row r="5" spans="1:13" ht="102.95" customHeight="1">
      <c r="A5" s="1036" t="s">
        <v>260</v>
      </c>
      <c r="B5" s="1664"/>
      <c r="C5" s="1664"/>
      <c r="D5" s="1664"/>
      <c r="E5" s="1633"/>
      <c r="F5" s="1633"/>
      <c r="G5" s="1633"/>
      <c r="H5" s="1633"/>
      <c r="I5" s="1649"/>
      <c r="J5" s="1650"/>
      <c r="K5" s="1650"/>
      <c r="L5" s="1651"/>
      <c r="M5" s="150"/>
    </row>
    <row r="6" spans="1:13" ht="30.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v>42552</v>
      </c>
      <c r="B7" s="1067">
        <v>34</v>
      </c>
      <c r="C7" s="1248">
        <v>7412</v>
      </c>
      <c r="D7" s="1067">
        <f>+B7</f>
        <v>34</v>
      </c>
      <c r="E7" s="1067">
        <f>C7</f>
        <v>7412</v>
      </c>
      <c r="F7" s="1410"/>
      <c r="G7" s="1245">
        <f>E7</f>
        <v>7412</v>
      </c>
      <c r="H7" s="1411"/>
      <c r="I7" s="1415"/>
      <c r="J7" s="1415"/>
      <c r="K7" s="1416"/>
      <c r="L7" s="1417">
        <f>E7-J7</f>
        <v>7412</v>
      </c>
      <c r="M7" s="1165" t="s">
        <v>555</v>
      </c>
    </row>
    <row r="8" spans="1:13" ht="36" customHeight="1">
      <c r="A8" s="1409"/>
      <c r="B8" s="1067"/>
      <c r="C8" s="1067"/>
      <c r="D8" s="1248"/>
      <c r="E8" s="1248"/>
      <c r="F8" s="1412"/>
      <c r="G8" s="1245"/>
      <c r="H8" s="1411"/>
      <c r="I8" s="1418"/>
      <c r="J8" s="1415"/>
      <c r="K8" s="1416">
        <f>K7+H8-I8</f>
        <v>0</v>
      </c>
      <c r="L8" s="1417"/>
      <c r="M8" s="1199"/>
    </row>
    <row r="9" spans="1:13" ht="36" customHeight="1">
      <c r="A9" s="1413"/>
      <c r="B9" s="1067"/>
      <c r="C9" s="1067"/>
      <c r="D9" s="1248"/>
      <c r="E9" s="1248"/>
      <c r="F9" s="1412"/>
      <c r="G9" s="1245"/>
      <c r="H9" s="1411"/>
      <c r="I9" s="1418"/>
      <c r="J9" s="1418"/>
      <c r="K9" s="1416"/>
      <c r="L9" s="1417"/>
      <c r="M9" s="412"/>
    </row>
    <row r="10" spans="1:13" ht="36" customHeight="1">
      <c r="A10" s="1413"/>
      <c r="B10" s="1067"/>
      <c r="C10" s="1067"/>
      <c r="D10" s="1248"/>
      <c r="E10" s="1248"/>
      <c r="F10" s="1067"/>
      <c r="G10" s="1474"/>
      <c r="H10" s="1414"/>
      <c r="I10" s="1418"/>
      <c r="J10" s="1418"/>
      <c r="K10" s="1416"/>
      <c r="L10" s="1417"/>
      <c r="M10" s="412"/>
    </row>
    <row r="11" spans="1:13" ht="36" customHeight="1">
      <c r="A11" s="1413"/>
      <c r="B11" s="1067"/>
      <c r="C11" s="1067"/>
      <c r="D11" s="1067"/>
      <c r="E11" s="1067"/>
      <c r="F11" s="1067"/>
      <c r="G11" s="1245"/>
      <c r="H11" s="1414"/>
      <c r="I11" s="1418"/>
      <c r="J11" s="1418"/>
      <c r="K11" s="1416"/>
      <c r="L11" s="259"/>
      <c r="M11" s="412"/>
    </row>
    <row r="12" spans="1:13" ht="36" customHeight="1">
      <c r="A12" s="1413"/>
      <c r="B12" s="1067"/>
      <c r="C12" s="1067"/>
      <c r="D12" s="1067"/>
      <c r="E12" s="1067"/>
      <c r="F12" s="1067"/>
      <c r="G12" s="1245"/>
      <c r="H12" s="1414"/>
      <c r="I12" s="1418"/>
      <c r="J12" s="1418"/>
      <c r="K12" s="1416"/>
      <c r="L12" s="259"/>
      <c r="M12" s="412"/>
    </row>
    <row r="13" spans="1:13" ht="36" customHeight="1">
      <c r="A13" s="1413"/>
      <c r="B13" s="1067"/>
      <c r="C13" s="1067"/>
      <c r="D13" s="1067"/>
      <c r="E13" s="1067"/>
      <c r="F13" s="1067"/>
      <c r="G13" s="1245"/>
      <c r="H13" s="1414"/>
      <c r="I13" s="1418"/>
      <c r="J13" s="1418"/>
      <c r="K13" s="1416"/>
      <c r="L13" s="259"/>
      <c r="M13" s="412"/>
    </row>
    <row r="14" spans="1:13" ht="36" customHeight="1">
      <c r="A14" s="1413"/>
      <c r="B14" s="1067"/>
      <c r="C14" s="1067"/>
      <c r="D14" s="1067"/>
      <c r="E14" s="1067"/>
      <c r="F14" s="1067"/>
      <c r="G14" s="1245"/>
      <c r="H14" s="1414"/>
      <c r="I14" s="1418"/>
      <c r="J14" s="1418"/>
      <c r="K14" s="1416"/>
      <c r="L14" s="259"/>
      <c r="M14" s="412"/>
    </row>
    <row r="15" spans="1:13" ht="36" customHeight="1">
      <c r="A15" s="1413"/>
      <c r="B15" s="1067"/>
      <c r="C15" s="1067"/>
      <c r="D15" s="1067"/>
      <c r="E15" s="1067"/>
      <c r="F15" s="1067"/>
      <c r="G15" s="1245"/>
      <c r="H15" s="1414"/>
      <c r="I15" s="1418"/>
      <c r="J15" s="1418"/>
      <c r="K15" s="1067"/>
      <c r="L15" s="259"/>
      <c r="M15" s="412"/>
    </row>
    <row r="16" spans="1:13" ht="36" customHeight="1">
      <c r="A16" s="1413"/>
      <c r="B16" s="1067"/>
      <c r="C16" s="1067"/>
      <c r="D16" s="1248"/>
      <c r="E16" s="1248"/>
      <c r="F16" s="1067"/>
      <c r="G16" s="1474"/>
      <c r="H16" s="1414"/>
      <c r="I16" s="1418"/>
      <c r="J16" s="1418"/>
      <c r="K16" s="1416"/>
      <c r="L16" s="1417"/>
      <c r="M16" s="412"/>
    </row>
    <row r="17" spans="1:13" ht="36" customHeight="1">
      <c r="A17" s="1413"/>
      <c r="B17" s="1067"/>
      <c r="C17" s="1067"/>
      <c r="D17" s="1067"/>
      <c r="E17" s="1067"/>
      <c r="F17" s="1067"/>
      <c r="G17" s="1245"/>
      <c r="H17" s="1414"/>
      <c r="I17" s="1418"/>
      <c r="J17" s="1418"/>
      <c r="K17" s="1416"/>
      <c r="L17" s="259"/>
      <c r="M17" s="412"/>
    </row>
    <row r="18" spans="1:13" ht="36" customHeight="1">
      <c r="A18" s="1413"/>
      <c r="B18" s="1067"/>
      <c r="C18" s="1067"/>
      <c r="D18" s="1067"/>
      <c r="E18" s="1067"/>
      <c r="F18" s="1067"/>
      <c r="G18" s="1245"/>
      <c r="H18" s="1414"/>
      <c r="I18" s="1418"/>
      <c r="J18" s="1418"/>
      <c r="K18" s="1416"/>
      <c r="L18" s="259"/>
      <c r="M18" s="412"/>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worksheet>
</file>

<file path=xl/worksheets/sheet1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7"/>
  <sheetViews>
    <sheetView workbookViewId="0">
      <selection activeCell="B2" sqref="B2:C2"/>
    </sheetView>
  </sheetViews>
  <sheetFormatPr defaultRowHeight="14.25"/>
  <cols>
    <col min="1" max="1" width="12.25" customWidth="1"/>
  </cols>
  <sheetData>
    <row r="1" spans="1:14">
      <c r="A1" s="349" t="s">
        <v>556</v>
      </c>
      <c r="B1" s="350"/>
      <c r="C1" s="351" t="s">
        <v>1525</v>
      </c>
      <c r="D1" s="350" t="s">
        <v>236</v>
      </c>
      <c r="E1" s="2104"/>
      <c r="F1" s="2104"/>
      <c r="G1" s="2028" t="s">
        <v>3311</v>
      </c>
      <c r="H1" s="2028"/>
      <c r="I1" s="306" t="s">
        <v>560</v>
      </c>
      <c r="J1" s="1695" t="s">
        <v>3345</v>
      </c>
      <c r="K1" s="1695"/>
      <c r="L1" s="1695"/>
      <c r="M1" s="2102" t="s">
        <v>3313</v>
      </c>
      <c r="N1" s="2103"/>
    </row>
    <row r="2" spans="1:14" ht="28.5">
      <c r="A2" s="133" t="s">
        <v>247</v>
      </c>
      <c r="B2" s="1682" t="s">
        <v>5207</v>
      </c>
      <c r="C2" s="1682"/>
      <c r="D2" s="134" t="s">
        <v>249</v>
      </c>
      <c r="E2" s="136" t="s">
        <v>323</v>
      </c>
      <c r="F2" s="134" t="s">
        <v>251</v>
      </c>
      <c r="G2" s="134"/>
      <c r="H2" s="134" t="s">
        <v>252</v>
      </c>
      <c r="I2" s="134"/>
      <c r="J2" s="15" t="s">
        <v>565</v>
      </c>
      <c r="K2" s="15"/>
      <c r="L2" s="15" t="s">
        <v>255</v>
      </c>
      <c r="M2" s="207"/>
      <c r="N2" s="760"/>
    </row>
    <row r="3" spans="1:14">
      <c r="A3" s="133" t="s">
        <v>260</v>
      </c>
      <c r="B3" s="1690" t="s">
        <v>3317</v>
      </c>
      <c r="C3" s="1690"/>
      <c r="D3" s="1690"/>
      <c r="E3" s="1690" t="s">
        <v>3318</v>
      </c>
      <c r="F3" s="1690"/>
      <c r="G3" s="1690" t="s">
        <v>3343</v>
      </c>
      <c r="H3" s="1690"/>
      <c r="I3" s="1690"/>
      <c r="J3" s="770"/>
      <c r="K3" s="771"/>
      <c r="L3" s="771"/>
      <c r="M3" s="167" t="s">
        <v>3315</v>
      </c>
      <c r="N3" s="760"/>
    </row>
    <row r="4" spans="1:14" ht="40.5">
      <c r="A4" s="748" t="s">
        <v>3319</v>
      </c>
      <c r="B4" s="749" t="s">
        <v>3320</v>
      </c>
      <c r="C4" s="198"/>
      <c r="D4" s="198"/>
      <c r="E4" s="198"/>
      <c r="F4" s="198"/>
      <c r="G4" s="198"/>
      <c r="H4" s="198"/>
      <c r="I4" s="198"/>
      <c r="J4" s="770"/>
      <c r="K4" s="771"/>
      <c r="L4" s="771"/>
      <c r="M4" s="167"/>
      <c r="N4" s="760"/>
    </row>
    <row r="5" spans="1:14">
      <c r="A5" s="1688" t="s">
        <v>660</v>
      </c>
      <c r="B5" s="1689"/>
      <c r="C5" s="1689"/>
      <c r="D5" s="1690"/>
      <c r="E5" s="1690"/>
      <c r="F5" s="1690"/>
      <c r="G5" s="1690"/>
      <c r="H5" s="1690"/>
      <c r="I5" s="1690"/>
      <c r="J5" s="169"/>
      <c r="K5" s="169"/>
      <c r="L5" s="169"/>
      <c r="M5" s="264"/>
      <c r="N5" s="760"/>
    </row>
    <row r="6" spans="1:14" ht="57">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761"/>
    </row>
    <row r="7" spans="1:14">
      <c r="A7" s="775">
        <v>41945</v>
      </c>
      <c r="B7" s="338">
        <f>259.5</f>
        <v>259.5</v>
      </c>
      <c r="C7" s="494">
        <f>84360</f>
        <v>84360</v>
      </c>
      <c r="D7" s="773">
        <f>B7</f>
        <v>259.5</v>
      </c>
      <c r="E7" s="773">
        <f>C7</f>
        <v>84360</v>
      </c>
      <c r="F7" s="773"/>
      <c r="G7" s="128"/>
      <c r="H7" s="774"/>
      <c r="I7" s="773">
        <f>E7</f>
        <v>84360</v>
      </c>
      <c r="J7" s="612">
        <f>I7</f>
        <v>84360</v>
      </c>
      <c r="K7" s="612"/>
      <c r="L7" s="773">
        <f>E7-J7</f>
        <v>0</v>
      </c>
      <c r="M7" s="785" t="s">
        <v>3347</v>
      </c>
      <c r="N7" s="761"/>
    </row>
  </sheetData>
  <mergeCells count="11">
    <mergeCell ref="A5:C5"/>
    <mergeCell ref="D5:F5"/>
    <mergeCell ref="G5:I5"/>
    <mergeCell ref="E1:F1"/>
    <mergeCell ref="G1:H1"/>
    <mergeCell ref="J1:L1"/>
    <mergeCell ref="M1:N1"/>
    <mergeCell ref="B2:C2"/>
    <mergeCell ref="B3:D3"/>
    <mergeCell ref="E3:F3"/>
    <mergeCell ref="G3:I3"/>
  </mergeCells>
  <phoneticPr fontId="86" type="noConversion"/>
  <pageMargins left="0.7" right="0.7" top="0.75" bottom="0.75" header="0.3" footer="0.3"/>
  <legacyDrawing r:id="rId1"/>
</worksheet>
</file>

<file path=xl/worksheets/sheet15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3"/>
  <sheetViews>
    <sheetView topLeftCell="A16" zoomScaleSheetLayoutView="100" workbookViewId="0">
      <selection activeCell="B3" sqref="B3:C3"/>
    </sheetView>
  </sheetViews>
  <sheetFormatPr defaultColWidth="9" defaultRowHeight="14.25"/>
  <cols>
    <col min="1" max="1" width="14.5" customWidth="1"/>
    <col min="2" max="4" width="12.875" customWidth="1"/>
    <col min="5" max="5" width="14.125" customWidth="1"/>
    <col min="6" max="6" width="13" customWidth="1"/>
    <col min="7" max="7" width="10.75" customWidth="1"/>
    <col min="8" max="8" width="13.5" customWidth="1"/>
    <col min="9" max="9" width="12.375" customWidth="1"/>
    <col min="10" max="10" width="12.875" customWidth="1"/>
    <col min="11" max="11" width="12.375" customWidth="1"/>
    <col min="12" max="12" width="13.5" customWidth="1"/>
    <col min="13" max="13" width="33.375" customWidth="1"/>
  </cols>
  <sheetData>
    <row r="1" spans="1:13" ht="72.95" customHeight="1">
      <c r="A1" s="349" t="s">
        <v>556</v>
      </c>
      <c r="B1" s="350"/>
      <c r="C1" s="351" t="s">
        <v>1525</v>
      </c>
      <c r="D1" s="350" t="s">
        <v>236</v>
      </c>
      <c r="E1" s="2104"/>
      <c r="F1" s="2104"/>
      <c r="G1" s="2028" t="s">
        <v>3348</v>
      </c>
      <c r="H1" s="2028"/>
      <c r="I1" s="306" t="s">
        <v>560</v>
      </c>
      <c r="J1" s="1645" t="s">
        <v>3349</v>
      </c>
      <c r="K1" s="1645"/>
      <c r="L1" s="1645"/>
      <c r="M1" s="739" t="s">
        <v>3350</v>
      </c>
    </row>
    <row r="2" spans="1:13" ht="33" customHeight="1">
      <c r="A2" s="133" t="s">
        <v>240</v>
      </c>
      <c r="B2" s="1682" t="s">
        <v>3351</v>
      </c>
      <c r="C2" s="1682"/>
      <c r="D2" s="134" t="s">
        <v>242</v>
      </c>
      <c r="E2" s="1689"/>
      <c r="F2" s="1689"/>
      <c r="G2" s="1689"/>
      <c r="H2" s="1689"/>
      <c r="I2" s="166" t="s">
        <v>243</v>
      </c>
      <c r="J2" s="166" t="s">
        <v>321</v>
      </c>
      <c r="K2" s="310"/>
      <c r="L2" s="166" t="s">
        <v>245</v>
      </c>
      <c r="M2" s="167"/>
    </row>
    <row r="3" spans="1:13" ht="36" customHeight="1">
      <c r="A3" s="133" t="s">
        <v>247</v>
      </c>
      <c r="B3" s="1682" t="s">
        <v>5209</v>
      </c>
      <c r="C3" s="1682"/>
      <c r="D3" s="134" t="s">
        <v>249</v>
      </c>
      <c r="E3" s="136" t="s">
        <v>323</v>
      </c>
      <c r="F3" s="134" t="s">
        <v>251</v>
      </c>
      <c r="G3" s="134"/>
      <c r="H3" s="134" t="s">
        <v>252</v>
      </c>
      <c r="I3" s="134"/>
      <c r="J3" s="15" t="s">
        <v>565</v>
      </c>
      <c r="K3" s="15"/>
      <c r="L3" s="15" t="s">
        <v>255</v>
      </c>
      <c r="M3" s="207" t="s">
        <v>3352</v>
      </c>
    </row>
    <row r="4" spans="1:13" ht="36" customHeight="1">
      <c r="A4" s="133" t="s">
        <v>260</v>
      </c>
      <c r="B4" s="1726" t="s">
        <v>3353</v>
      </c>
      <c r="C4" s="1726"/>
      <c r="D4" s="1726"/>
      <c r="E4" s="1726"/>
      <c r="F4" s="2032" t="s">
        <v>3354</v>
      </c>
      <c r="G4" s="2033"/>
      <c r="H4" s="2033"/>
      <c r="I4" s="2034"/>
      <c r="J4" s="2032" t="s">
        <v>3318</v>
      </c>
      <c r="K4" s="2033"/>
      <c r="L4" s="2033"/>
      <c r="M4" s="2034"/>
    </row>
    <row r="5" spans="1:13" ht="24" customHeight="1">
      <c r="A5" s="1688" t="s">
        <v>660</v>
      </c>
      <c r="B5" s="1689"/>
      <c r="C5" s="1689"/>
      <c r="D5" s="1690"/>
      <c r="E5" s="1690"/>
      <c r="F5" s="1690"/>
      <c r="G5" s="1690"/>
      <c r="H5" s="1690"/>
      <c r="I5" s="1690"/>
      <c r="J5" s="169"/>
      <c r="K5" s="169"/>
      <c r="L5" s="169"/>
      <c r="M5" s="264"/>
    </row>
    <row r="6" spans="1:13" ht="39.95000000000000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6.1" customHeight="1">
      <c r="A7" s="336" t="s">
        <v>3355</v>
      </c>
      <c r="B7" s="140">
        <v>80</v>
      </c>
      <c r="C7" s="140">
        <v>25600</v>
      </c>
      <c r="D7" s="140">
        <f>B7</f>
        <v>80</v>
      </c>
      <c r="E7" s="140">
        <f>C7</f>
        <v>25600</v>
      </c>
      <c r="F7" s="140"/>
      <c r="G7" s="46"/>
      <c r="H7" s="141"/>
      <c r="I7" s="140"/>
      <c r="J7" s="140"/>
      <c r="K7" s="140"/>
      <c r="L7" s="140">
        <f t="shared" ref="L7:L26" si="0">E7-J7</f>
        <v>25600</v>
      </c>
      <c r="M7" s="171"/>
    </row>
    <row r="8" spans="1:13" ht="26.1" customHeight="1">
      <c r="A8" s="724" t="s">
        <v>3356</v>
      </c>
      <c r="B8" s="140">
        <v>827.5</v>
      </c>
      <c r="C8" s="140">
        <v>264800</v>
      </c>
      <c r="D8" s="140">
        <f t="shared" ref="D8:D26" si="1">D7+B8</f>
        <v>907.5</v>
      </c>
      <c r="E8" s="140">
        <f t="shared" ref="E8:E26" si="2">E7+C8</f>
        <v>290400</v>
      </c>
      <c r="F8" s="140"/>
      <c r="G8" s="46"/>
      <c r="H8" s="141">
        <f t="shared" ref="H8:H26" si="3">C7</f>
        <v>25600</v>
      </c>
      <c r="I8" s="140"/>
      <c r="J8" s="140"/>
      <c r="K8" s="140">
        <f t="shared" ref="K8:K26" si="4">K7+H8-I8</f>
        <v>25600</v>
      </c>
      <c r="L8" s="140">
        <f t="shared" si="0"/>
        <v>290400</v>
      </c>
      <c r="M8" s="730"/>
    </row>
    <row r="9" spans="1:13" ht="26.1" customHeight="1">
      <c r="A9" s="725">
        <v>41548</v>
      </c>
      <c r="B9" s="735">
        <v>1023.5</v>
      </c>
      <c r="C9" s="735">
        <v>362592.5</v>
      </c>
      <c r="D9" s="612">
        <f t="shared" si="1"/>
        <v>1931</v>
      </c>
      <c r="E9" s="612">
        <f t="shared" si="2"/>
        <v>652992.5</v>
      </c>
      <c r="F9" s="612"/>
      <c r="G9" s="128"/>
      <c r="H9" s="141">
        <f t="shared" si="3"/>
        <v>264800</v>
      </c>
      <c r="I9" s="612"/>
      <c r="J9" s="612"/>
      <c r="K9" s="140">
        <f t="shared" si="4"/>
        <v>290400</v>
      </c>
      <c r="L9" s="140">
        <f t="shared" si="0"/>
        <v>652992.5</v>
      </c>
      <c r="M9" s="731"/>
    </row>
    <row r="10" spans="1:13" ht="26.1" customHeight="1">
      <c r="A10" s="725">
        <v>41579</v>
      </c>
      <c r="B10" s="612">
        <v>706</v>
      </c>
      <c r="C10" s="612">
        <v>261220</v>
      </c>
      <c r="D10" s="612">
        <f t="shared" si="1"/>
        <v>2637</v>
      </c>
      <c r="E10" s="612">
        <f t="shared" si="2"/>
        <v>914212.5</v>
      </c>
      <c r="F10" s="612"/>
      <c r="G10" s="128"/>
      <c r="H10" s="141">
        <f t="shared" si="3"/>
        <v>362592.5</v>
      </c>
      <c r="I10" s="612"/>
      <c r="J10" s="612"/>
      <c r="K10" s="140">
        <f t="shared" si="4"/>
        <v>652992.5</v>
      </c>
      <c r="L10" s="140">
        <f t="shared" si="0"/>
        <v>914212.5</v>
      </c>
      <c r="M10" s="731"/>
    </row>
    <row r="11" spans="1:13" ht="26.1" customHeight="1">
      <c r="A11" s="725">
        <v>41609</v>
      </c>
      <c r="B11" s="612">
        <v>436.5</v>
      </c>
      <c r="C11" s="612">
        <v>161505</v>
      </c>
      <c r="D11" s="612">
        <f t="shared" si="1"/>
        <v>3073.5</v>
      </c>
      <c r="E11" s="612">
        <f t="shared" si="2"/>
        <v>1075717.5</v>
      </c>
      <c r="F11" s="612"/>
      <c r="G11" s="128"/>
      <c r="H11" s="141">
        <f t="shared" si="3"/>
        <v>261220</v>
      </c>
      <c r="I11" s="612"/>
      <c r="J11" s="612"/>
      <c r="K11" s="140">
        <f t="shared" si="4"/>
        <v>914212.5</v>
      </c>
      <c r="L11" s="140">
        <f t="shared" si="0"/>
        <v>1075717.5</v>
      </c>
      <c r="M11" s="740" t="s">
        <v>3357</v>
      </c>
    </row>
    <row r="12" spans="1:13" ht="26.1" customHeight="1">
      <c r="A12" s="725">
        <v>41640</v>
      </c>
      <c r="B12" s="612">
        <v>56</v>
      </c>
      <c r="C12" s="612">
        <v>20720</v>
      </c>
      <c r="D12" s="612">
        <f t="shared" si="1"/>
        <v>3129.5</v>
      </c>
      <c r="E12" s="612">
        <f t="shared" si="2"/>
        <v>1096437.5</v>
      </c>
      <c r="F12" s="612"/>
      <c r="G12" s="128"/>
      <c r="H12" s="141">
        <f t="shared" si="3"/>
        <v>161505</v>
      </c>
      <c r="I12" s="612">
        <v>714212.5</v>
      </c>
      <c r="J12" s="612">
        <f t="shared" ref="J12:J26" si="5">J11+I12</f>
        <v>714212.5</v>
      </c>
      <c r="K12" s="140">
        <f t="shared" si="4"/>
        <v>361505</v>
      </c>
      <c r="L12" s="140">
        <f t="shared" si="0"/>
        <v>382225</v>
      </c>
      <c r="M12" s="731"/>
    </row>
    <row r="13" spans="1:13" ht="26.1" customHeight="1">
      <c r="A13" s="725">
        <v>41671</v>
      </c>
      <c r="B13" s="612">
        <v>897</v>
      </c>
      <c r="C13" s="612">
        <v>331890</v>
      </c>
      <c r="D13" s="612">
        <f t="shared" si="1"/>
        <v>4026.5</v>
      </c>
      <c r="E13" s="612">
        <f t="shared" si="2"/>
        <v>1428327.5</v>
      </c>
      <c r="F13" s="612"/>
      <c r="G13" s="128"/>
      <c r="H13" s="141">
        <f t="shared" si="3"/>
        <v>20720</v>
      </c>
      <c r="I13" s="612">
        <v>0</v>
      </c>
      <c r="J13" s="612">
        <f t="shared" si="5"/>
        <v>714212.5</v>
      </c>
      <c r="K13" s="140">
        <f t="shared" si="4"/>
        <v>382225</v>
      </c>
      <c r="L13" s="140">
        <f t="shared" si="0"/>
        <v>714115</v>
      </c>
      <c r="M13" s="731"/>
    </row>
    <row r="14" spans="1:13" ht="26.1" customHeight="1">
      <c r="A14" s="725">
        <v>41699</v>
      </c>
      <c r="B14" s="612">
        <v>4334.5</v>
      </c>
      <c r="C14" s="612">
        <v>1603765</v>
      </c>
      <c r="D14" s="612">
        <f t="shared" si="1"/>
        <v>8361</v>
      </c>
      <c r="E14" s="612">
        <f t="shared" si="2"/>
        <v>3032092.5</v>
      </c>
      <c r="F14" s="612"/>
      <c r="G14" s="128"/>
      <c r="H14" s="141">
        <f t="shared" si="3"/>
        <v>331890</v>
      </c>
      <c r="I14" s="612">
        <v>0</v>
      </c>
      <c r="J14" s="612">
        <f t="shared" si="5"/>
        <v>714212.5</v>
      </c>
      <c r="K14" s="140">
        <f t="shared" si="4"/>
        <v>714115</v>
      </c>
      <c r="L14" s="140">
        <f t="shared" si="0"/>
        <v>2317880</v>
      </c>
      <c r="M14" s="741" t="s">
        <v>3358</v>
      </c>
    </row>
    <row r="15" spans="1:13" ht="26.1" customHeight="1">
      <c r="A15" s="726">
        <v>41730</v>
      </c>
      <c r="B15" s="338">
        <v>2971.5</v>
      </c>
      <c r="C15" s="338">
        <v>1099455</v>
      </c>
      <c r="D15" s="338">
        <f t="shared" si="1"/>
        <v>11332.5</v>
      </c>
      <c r="E15" s="338">
        <f t="shared" si="2"/>
        <v>4131547.5</v>
      </c>
      <c r="F15" s="338"/>
      <c r="G15" s="340"/>
      <c r="H15" s="201">
        <f t="shared" si="3"/>
        <v>1603765</v>
      </c>
      <c r="I15" s="338"/>
      <c r="J15" s="338">
        <f t="shared" si="5"/>
        <v>714212.5</v>
      </c>
      <c r="K15" s="200">
        <f t="shared" si="4"/>
        <v>2317880</v>
      </c>
      <c r="L15" s="200">
        <f t="shared" si="0"/>
        <v>3417335</v>
      </c>
      <c r="M15" s="346"/>
    </row>
    <row r="16" spans="1:13" ht="26.1" customHeight="1">
      <c r="A16" s="726">
        <v>41760</v>
      </c>
      <c r="B16" s="338">
        <v>3101</v>
      </c>
      <c r="C16" s="338">
        <v>1147370</v>
      </c>
      <c r="D16" s="338">
        <f t="shared" si="1"/>
        <v>14433.5</v>
      </c>
      <c r="E16" s="338">
        <f t="shared" si="2"/>
        <v>5278917.5</v>
      </c>
      <c r="F16" s="338"/>
      <c r="G16" s="340"/>
      <c r="H16" s="201">
        <f t="shared" si="3"/>
        <v>1099455</v>
      </c>
      <c r="I16" s="338">
        <v>1000000</v>
      </c>
      <c r="J16" s="338">
        <f t="shared" si="5"/>
        <v>1714212.5</v>
      </c>
      <c r="K16" s="200">
        <f t="shared" si="4"/>
        <v>2417335</v>
      </c>
      <c r="L16" s="200">
        <f t="shared" si="0"/>
        <v>3564705</v>
      </c>
      <c r="M16" s="346"/>
    </row>
    <row r="17" spans="1:13" ht="26.1" customHeight="1">
      <c r="A17" s="726">
        <v>41791</v>
      </c>
      <c r="B17" s="338">
        <v>2631</v>
      </c>
      <c r="C17" s="338">
        <v>973470</v>
      </c>
      <c r="D17" s="338">
        <f t="shared" si="1"/>
        <v>17064.5</v>
      </c>
      <c r="E17" s="338">
        <f t="shared" si="2"/>
        <v>6252387.5</v>
      </c>
      <c r="F17" s="338"/>
      <c r="G17" s="340"/>
      <c r="H17" s="201">
        <f t="shared" si="3"/>
        <v>1147370</v>
      </c>
      <c r="I17" s="181">
        <v>1500000</v>
      </c>
      <c r="J17" s="338">
        <f t="shared" si="5"/>
        <v>3214212.5</v>
      </c>
      <c r="K17" s="200">
        <f t="shared" si="4"/>
        <v>2064705</v>
      </c>
      <c r="L17" s="200">
        <f t="shared" si="0"/>
        <v>3038175</v>
      </c>
      <c r="M17" s="346" t="s">
        <v>3359</v>
      </c>
    </row>
    <row r="18" spans="1:13" ht="27" customHeight="1">
      <c r="A18" s="726">
        <v>41822</v>
      </c>
      <c r="B18" s="338">
        <v>1176.5</v>
      </c>
      <c r="C18" s="338">
        <v>435305</v>
      </c>
      <c r="D18" s="338">
        <f t="shared" si="1"/>
        <v>18241</v>
      </c>
      <c r="E18" s="338">
        <f t="shared" si="2"/>
        <v>6687692.5</v>
      </c>
      <c r="F18" s="338"/>
      <c r="G18" s="340"/>
      <c r="H18" s="201">
        <f t="shared" si="3"/>
        <v>973470</v>
      </c>
      <c r="I18" s="200"/>
      <c r="J18" s="338">
        <f t="shared" si="5"/>
        <v>3214212.5</v>
      </c>
      <c r="K18" s="200">
        <f t="shared" si="4"/>
        <v>3038175</v>
      </c>
      <c r="L18" s="200">
        <f t="shared" si="0"/>
        <v>3473480</v>
      </c>
      <c r="M18" s="346"/>
    </row>
    <row r="19" spans="1:13" ht="27" customHeight="1">
      <c r="A19" s="726">
        <v>41853</v>
      </c>
      <c r="B19" s="338">
        <v>0</v>
      </c>
      <c r="C19" s="338">
        <v>0</v>
      </c>
      <c r="D19" s="338">
        <f t="shared" si="1"/>
        <v>18241</v>
      </c>
      <c r="E19" s="338">
        <f t="shared" si="2"/>
        <v>6687692.5</v>
      </c>
      <c r="F19" s="338"/>
      <c r="G19" s="340"/>
      <c r="H19" s="201">
        <f t="shared" si="3"/>
        <v>435305</v>
      </c>
      <c r="I19" s="338"/>
      <c r="J19" s="338">
        <f t="shared" si="5"/>
        <v>3214212.5</v>
      </c>
      <c r="K19" s="200">
        <f t="shared" si="4"/>
        <v>3473480</v>
      </c>
      <c r="L19" s="200">
        <f t="shared" si="0"/>
        <v>3473480</v>
      </c>
      <c r="M19" s="346"/>
    </row>
    <row r="20" spans="1:13" ht="27" customHeight="1">
      <c r="A20" s="726">
        <v>41884</v>
      </c>
      <c r="B20" s="338">
        <v>0</v>
      </c>
      <c r="C20" s="338">
        <v>0</v>
      </c>
      <c r="D20" s="338">
        <f t="shared" si="1"/>
        <v>18241</v>
      </c>
      <c r="E20" s="338">
        <f t="shared" si="2"/>
        <v>6687692.5</v>
      </c>
      <c r="F20" s="338"/>
      <c r="G20" s="340"/>
      <c r="H20" s="201">
        <f t="shared" si="3"/>
        <v>0</v>
      </c>
      <c r="I20" s="338">
        <v>775464.5</v>
      </c>
      <c r="J20" s="338">
        <f t="shared" si="5"/>
        <v>3989677</v>
      </c>
      <c r="K20" s="200">
        <f t="shared" si="4"/>
        <v>2698015.5</v>
      </c>
      <c r="L20" s="200">
        <f t="shared" si="0"/>
        <v>2698015.5</v>
      </c>
      <c r="M20" s="346"/>
    </row>
    <row r="21" spans="1:13" ht="27" customHeight="1">
      <c r="A21" s="726">
        <v>41914</v>
      </c>
      <c r="B21" s="338">
        <v>0</v>
      </c>
      <c r="C21" s="338">
        <v>0</v>
      </c>
      <c r="D21" s="338">
        <f t="shared" si="1"/>
        <v>18241</v>
      </c>
      <c r="E21" s="338">
        <f t="shared" si="2"/>
        <v>6687692.5</v>
      </c>
      <c r="F21" s="338"/>
      <c r="G21" s="340"/>
      <c r="H21" s="201">
        <f t="shared" si="3"/>
        <v>0</v>
      </c>
      <c r="I21" s="338">
        <v>300000</v>
      </c>
      <c r="J21" s="338">
        <f t="shared" si="5"/>
        <v>4289677</v>
      </c>
      <c r="K21" s="200">
        <f t="shared" si="4"/>
        <v>2398015.5</v>
      </c>
      <c r="L21" s="200">
        <f t="shared" si="0"/>
        <v>2398015.5</v>
      </c>
      <c r="M21" s="346" t="s">
        <v>3360</v>
      </c>
    </row>
    <row r="22" spans="1:13" ht="27" customHeight="1">
      <c r="A22" s="726">
        <v>41945</v>
      </c>
      <c r="B22" s="338">
        <v>319</v>
      </c>
      <c r="C22" s="338">
        <v>118030</v>
      </c>
      <c r="D22" s="338">
        <f t="shared" si="1"/>
        <v>18560</v>
      </c>
      <c r="E22" s="338">
        <f t="shared" si="2"/>
        <v>6805722.5</v>
      </c>
      <c r="F22" s="338"/>
      <c r="G22" s="340"/>
      <c r="H22" s="201">
        <f t="shared" si="3"/>
        <v>0</v>
      </c>
      <c r="I22" s="338">
        <v>500000</v>
      </c>
      <c r="J22" s="338">
        <f t="shared" si="5"/>
        <v>4789677</v>
      </c>
      <c r="K22" s="200">
        <f t="shared" si="4"/>
        <v>1898015.5</v>
      </c>
      <c r="L22" s="200">
        <f t="shared" si="0"/>
        <v>2016045.5</v>
      </c>
      <c r="M22" s="346" t="s">
        <v>3361</v>
      </c>
    </row>
    <row r="23" spans="1:13" ht="27" customHeight="1">
      <c r="A23" s="726">
        <v>41975</v>
      </c>
      <c r="B23" s="338">
        <v>332</v>
      </c>
      <c r="C23" s="338">
        <v>122840</v>
      </c>
      <c r="D23" s="338">
        <f t="shared" si="1"/>
        <v>18892</v>
      </c>
      <c r="E23" s="338">
        <f t="shared" si="2"/>
        <v>6928562.5</v>
      </c>
      <c r="F23" s="338"/>
      <c r="G23" s="340"/>
      <c r="H23" s="201">
        <f t="shared" si="3"/>
        <v>118030</v>
      </c>
      <c r="I23" s="338">
        <v>1000000</v>
      </c>
      <c r="J23" s="338">
        <f t="shared" si="5"/>
        <v>5789677</v>
      </c>
      <c r="K23" s="200">
        <f t="shared" si="4"/>
        <v>1016045.5</v>
      </c>
      <c r="L23" s="200">
        <f t="shared" si="0"/>
        <v>1138885.5</v>
      </c>
      <c r="M23" s="346" t="s">
        <v>3362</v>
      </c>
    </row>
    <row r="24" spans="1:13" ht="27" customHeight="1">
      <c r="A24" s="726">
        <v>42005</v>
      </c>
      <c r="B24" s="338">
        <v>0</v>
      </c>
      <c r="C24" s="338">
        <v>0</v>
      </c>
      <c r="D24" s="338">
        <f t="shared" si="1"/>
        <v>18892</v>
      </c>
      <c r="E24" s="338">
        <f t="shared" si="2"/>
        <v>6928562.5</v>
      </c>
      <c r="F24" s="338"/>
      <c r="G24" s="340"/>
      <c r="H24" s="201">
        <f t="shared" si="3"/>
        <v>122840</v>
      </c>
      <c r="I24" s="338"/>
      <c r="J24" s="338">
        <f t="shared" si="5"/>
        <v>5789677</v>
      </c>
      <c r="K24" s="200">
        <f t="shared" si="4"/>
        <v>1138885.5</v>
      </c>
      <c r="L24" s="200">
        <f t="shared" si="0"/>
        <v>1138885.5</v>
      </c>
      <c r="M24" s="742"/>
    </row>
    <row r="25" spans="1:13" ht="27" customHeight="1">
      <c r="A25" s="726">
        <v>42037</v>
      </c>
      <c r="B25" s="338">
        <v>0</v>
      </c>
      <c r="C25" s="338">
        <v>0</v>
      </c>
      <c r="D25" s="338">
        <f t="shared" si="1"/>
        <v>18892</v>
      </c>
      <c r="E25" s="338">
        <f t="shared" si="2"/>
        <v>6928562.5</v>
      </c>
      <c r="F25" s="338"/>
      <c r="G25" s="340"/>
      <c r="H25" s="201">
        <f t="shared" si="3"/>
        <v>0</v>
      </c>
      <c r="I25" s="338">
        <v>1000000</v>
      </c>
      <c r="J25" s="338">
        <f t="shared" si="5"/>
        <v>6789677</v>
      </c>
      <c r="K25" s="200">
        <f t="shared" si="4"/>
        <v>138885.5</v>
      </c>
      <c r="L25" s="200">
        <f t="shared" si="0"/>
        <v>138885.5</v>
      </c>
      <c r="M25" s="732" t="s">
        <v>3363</v>
      </c>
    </row>
    <row r="26" spans="1:13" ht="27" customHeight="1">
      <c r="A26" s="728"/>
      <c r="B26" s="200"/>
      <c r="C26" s="200"/>
      <c r="D26" s="338">
        <f t="shared" si="1"/>
        <v>18892</v>
      </c>
      <c r="E26" s="338">
        <f t="shared" si="2"/>
        <v>6928562.5</v>
      </c>
      <c r="F26" s="200"/>
      <c r="G26" s="180"/>
      <c r="H26" s="201">
        <f t="shared" si="3"/>
        <v>0</v>
      </c>
      <c r="I26" s="200">
        <v>138885.5</v>
      </c>
      <c r="J26" s="338">
        <f t="shared" si="5"/>
        <v>6928562.5</v>
      </c>
      <c r="K26" s="200">
        <f t="shared" si="4"/>
        <v>0</v>
      </c>
      <c r="L26" s="200">
        <f t="shared" si="0"/>
        <v>0</v>
      </c>
      <c r="M26" s="733" t="s">
        <v>3364</v>
      </c>
    </row>
    <row r="27" spans="1:13" ht="27" customHeight="1">
      <c r="A27" s="728"/>
      <c r="B27" s="200"/>
      <c r="C27" s="200"/>
      <c r="D27" s="338"/>
      <c r="E27" s="338"/>
      <c r="F27" s="200"/>
      <c r="G27" s="180"/>
      <c r="H27" s="201"/>
      <c r="I27" s="200"/>
      <c r="J27" s="200"/>
      <c r="K27" s="200"/>
      <c r="L27" s="200"/>
      <c r="M27" s="733"/>
    </row>
    <row r="28" spans="1:13" ht="27" customHeight="1">
      <c r="A28" s="728"/>
      <c r="B28" s="200"/>
      <c r="C28" s="200"/>
      <c r="D28" s="200"/>
      <c r="E28" s="200"/>
      <c r="F28" s="200"/>
      <c r="G28" s="180"/>
      <c r="H28" s="201"/>
      <c r="I28" s="200"/>
      <c r="J28" s="200"/>
      <c r="K28" s="200"/>
      <c r="L28" s="200"/>
      <c r="M28" s="733"/>
    </row>
    <row r="29" spans="1:13" ht="27" customHeight="1">
      <c r="A29" s="728"/>
      <c r="B29" s="200"/>
      <c r="C29" s="200"/>
      <c r="D29" s="200"/>
      <c r="E29" s="200"/>
      <c r="F29" s="200"/>
      <c r="G29" s="180"/>
      <c r="H29" s="201"/>
      <c r="I29" s="200"/>
      <c r="J29" s="200"/>
      <c r="K29" s="200"/>
      <c r="L29" s="200"/>
      <c r="M29" s="733"/>
    </row>
    <row r="30" spans="1:13" ht="65.099999999999994" customHeight="1"/>
    <row r="31" spans="1:13" ht="50.1" customHeight="1"/>
    <row r="32" spans="1:13" ht="50.1" customHeight="1"/>
    <row r="33" ht="50.1" customHeight="1"/>
    <row r="34" ht="50.1" customHeight="1"/>
    <row r="36" ht="36" customHeight="1"/>
    <row r="37" ht="36" customHeight="1"/>
    <row r="38" ht="36" customHeight="1"/>
    <row r="39" ht="36" customHeight="1"/>
    <row r="40" ht="36" customHeight="1"/>
    <row r="41" ht="36" customHeight="1"/>
    <row r="42" ht="36" customHeight="1"/>
    <row r="43" ht="36" customHeight="1"/>
    <row r="44" ht="36" customHeight="1"/>
    <row r="45" ht="36" customHeight="1"/>
    <row r="46" ht="36" customHeight="1"/>
    <row r="47" ht="36" customHeight="1"/>
    <row r="48" ht="36" customHeight="1"/>
    <row r="49" ht="36" customHeight="1"/>
    <row r="50" ht="36" customHeight="1"/>
    <row r="51" ht="36" customHeight="1"/>
    <row r="52" ht="36" customHeight="1"/>
    <row r="53" ht="36" customHeight="1"/>
  </sheetData>
  <mergeCells count="12">
    <mergeCell ref="B4:E4"/>
    <mergeCell ref="F4:I4"/>
    <mergeCell ref="J4:M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5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topLeftCell="A19" workbookViewId="0">
      <selection activeCell="Q9" sqref="Q9"/>
    </sheetView>
  </sheetViews>
  <sheetFormatPr defaultRowHeight="14.25"/>
  <cols>
    <col min="1" max="1" width="24.625" customWidth="1"/>
  </cols>
  <sheetData>
    <row r="1" spans="1:13" ht="48">
      <c r="A1" s="349" t="s">
        <v>3365</v>
      </c>
      <c r="B1" s="350"/>
      <c r="C1" s="377" t="s">
        <v>3366</v>
      </c>
      <c r="D1" s="2112" t="s">
        <v>3367</v>
      </c>
      <c r="E1" s="2112"/>
      <c r="F1" s="2112"/>
      <c r="G1" s="2113"/>
      <c r="H1" s="2113"/>
      <c r="I1" s="743" t="s">
        <v>560</v>
      </c>
      <c r="J1" s="2114" t="s">
        <v>3368</v>
      </c>
      <c r="K1" s="1731"/>
      <c r="L1" s="2115"/>
      <c r="M1" s="2111" t="s">
        <v>3369</v>
      </c>
    </row>
    <row r="2" spans="1:13">
      <c r="A2" s="133" t="s">
        <v>240</v>
      </c>
      <c r="B2" s="1682" t="s">
        <v>3370</v>
      </c>
      <c r="C2" s="1682"/>
      <c r="D2" s="134" t="s">
        <v>242</v>
      </c>
      <c r="E2" s="1689"/>
      <c r="F2" s="1689"/>
      <c r="G2" s="1689"/>
      <c r="H2" s="1689"/>
      <c r="I2" s="744"/>
      <c r="J2" s="420"/>
      <c r="K2" s="420"/>
      <c r="L2" s="420"/>
      <c r="M2" s="1843"/>
    </row>
    <row r="3" spans="1:13">
      <c r="A3" s="133" t="s">
        <v>247</v>
      </c>
      <c r="B3" s="1682" t="s">
        <v>5210</v>
      </c>
      <c r="C3" s="1682"/>
      <c r="D3" s="134" t="s">
        <v>249</v>
      </c>
      <c r="E3" s="136"/>
      <c r="F3" s="134" t="s">
        <v>251</v>
      </c>
      <c r="G3" s="134"/>
      <c r="H3" s="134" t="s">
        <v>252</v>
      </c>
      <c r="I3" s="166" t="s">
        <v>243</v>
      </c>
      <c r="J3" s="166"/>
      <c r="K3" s="310"/>
      <c r="L3" s="166" t="s">
        <v>245</v>
      </c>
      <c r="M3" s="207" t="s">
        <v>1966</v>
      </c>
    </row>
    <row r="4" spans="1:13" ht="28.5">
      <c r="A4" s="133" t="s">
        <v>3371</v>
      </c>
      <c r="B4" s="2105"/>
      <c r="C4" s="2106"/>
      <c r="D4" s="2106"/>
      <c r="E4" s="2107"/>
      <c r="F4" s="134"/>
      <c r="G4" s="134"/>
      <c r="H4" s="134"/>
      <c r="I4" s="134"/>
      <c r="J4" s="15" t="s">
        <v>565</v>
      </c>
      <c r="K4" s="15"/>
      <c r="L4" s="15" t="s">
        <v>255</v>
      </c>
      <c r="M4" s="207" t="s">
        <v>3372</v>
      </c>
    </row>
    <row r="5" spans="1:13">
      <c r="A5" s="133" t="s">
        <v>260</v>
      </c>
      <c r="B5" s="2108" t="s">
        <v>3373</v>
      </c>
      <c r="C5" s="2109"/>
      <c r="D5" s="2110"/>
      <c r="E5" s="2045" t="s">
        <v>2368</v>
      </c>
      <c r="F5" s="2046"/>
      <c r="G5" s="2097"/>
      <c r="H5" s="356"/>
      <c r="I5" s="356"/>
      <c r="J5" s="1697"/>
      <c r="K5" s="1697"/>
      <c r="L5" s="1697"/>
      <c r="M5" s="1846"/>
    </row>
    <row r="6" spans="1:13" ht="57">
      <c r="A6" s="736" t="s">
        <v>266</v>
      </c>
      <c r="B6" s="382" t="s">
        <v>267</v>
      </c>
      <c r="C6" s="382" t="s">
        <v>268</v>
      </c>
      <c r="D6" s="382" t="s">
        <v>269</v>
      </c>
      <c r="E6" s="382" t="s">
        <v>270</v>
      </c>
      <c r="F6" s="382" t="s">
        <v>271</v>
      </c>
      <c r="G6" s="383" t="s">
        <v>272</v>
      </c>
      <c r="H6" s="614" t="s">
        <v>273</v>
      </c>
      <c r="I6" s="382" t="s">
        <v>274</v>
      </c>
      <c r="J6" s="391" t="s">
        <v>275</v>
      </c>
      <c r="K6" s="391" t="s">
        <v>276</v>
      </c>
      <c r="L6" s="382" t="s">
        <v>277</v>
      </c>
      <c r="M6" s="745" t="s">
        <v>278</v>
      </c>
    </row>
    <row r="7" spans="1:13">
      <c r="A7" s="737">
        <v>42005</v>
      </c>
      <c r="B7" s="180">
        <v>667</v>
      </c>
      <c r="C7" s="180">
        <v>236785</v>
      </c>
      <c r="D7" s="180">
        <f>B7</f>
        <v>667</v>
      </c>
      <c r="E7" s="180">
        <f>C7</f>
        <v>236785</v>
      </c>
      <c r="F7" s="180"/>
      <c r="G7" s="180"/>
      <c r="H7" s="180"/>
      <c r="I7" s="180"/>
      <c r="J7" s="180"/>
      <c r="K7" s="180"/>
      <c r="L7" s="695">
        <f t="shared" ref="L7:L21" si="0">E7-J7</f>
        <v>236785</v>
      </c>
      <c r="M7" s="682"/>
    </row>
    <row r="8" spans="1:13">
      <c r="A8" s="737">
        <v>42037</v>
      </c>
      <c r="B8" s="180">
        <v>242.5</v>
      </c>
      <c r="C8" s="180">
        <v>86087.5</v>
      </c>
      <c r="D8" s="180">
        <f t="shared" ref="D8:D21" si="1">D7+B8</f>
        <v>909.5</v>
      </c>
      <c r="E8" s="180">
        <f t="shared" ref="E8:E21" si="2">E7+C8</f>
        <v>322872.5</v>
      </c>
      <c r="F8" s="180"/>
      <c r="G8" s="180"/>
      <c r="H8" s="180">
        <f t="shared" ref="H8:H21" si="3">C7</f>
        <v>236785</v>
      </c>
      <c r="I8" s="180"/>
      <c r="J8" s="180"/>
      <c r="K8" s="180">
        <f t="shared" ref="K8:K22" si="4">K7+H8-I8</f>
        <v>236785</v>
      </c>
      <c r="L8" s="695">
        <f t="shared" si="0"/>
        <v>322872.5</v>
      </c>
      <c r="M8" s="746"/>
    </row>
    <row r="9" spans="1:13">
      <c r="A9" s="737">
        <v>42069</v>
      </c>
      <c r="B9" s="180">
        <v>537</v>
      </c>
      <c r="C9" s="180">
        <v>190635</v>
      </c>
      <c r="D9" s="180">
        <f t="shared" si="1"/>
        <v>1446.5</v>
      </c>
      <c r="E9" s="180">
        <f t="shared" si="2"/>
        <v>513507.5</v>
      </c>
      <c r="F9" s="180"/>
      <c r="G9" s="180"/>
      <c r="H9" s="180">
        <f t="shared" si="3"/>
        <v>86087.5</v>
      </c>
      <c r="I9" s="180"/>
      <c r="J9" s="180"/>
      <c r="K9" s="180">
        <f t="shared" si="4"/>
        <v>322872.5</v>
      </c>
      <c r="L9" s="695">
        <f t="shared" si="0"/>
        <v>513507.5</v>
      </c>
      <c r="M9" s="746"/>
    </row>
    <row r="10" spans="1:13">
      <c r="A10" s="737">
        <v>42100</v>
      </c>
      <c r="B10" s="180">
        <v>879.5</v>
      </c>
      <c r="C10" s="180">
        <v>312222.5</v>
      </c>
      <c r="D10" s="180">
        <f t="shared" si="1"/>
        <v>2326</v>
      </c>
      <c r="E10" s="180">
        <f t="shared" si="2"/>
        <v>825730</v>
      </c>
      <c r="F10" s="180"/>
      <c r="G10" s="180"/>
      <c r="H10" s="180">
        <f t="shared" si="3"/>
        <v>190635</v>
      </c>
      <c r="I10" s="180"/>
      <c r="J10" s="180"/>
      <c r="K10" s="180">
        <f t="shared" si="4"/>
        <v>513507.5</v>
      </c>
      <c r="L10" s="695">
        <f t="shared" si="0"/>
        <v>825730</v>
      </c>
      <c r="M10" s="747"/>
    </row>
    <row r="11" spans="1:13">
      <c r="A11" s="738">
        <v>42125</v>
      </c>
      <c r="B11" s="180">
        <v>1024</v>
      </c>
      <c r="C11" s="180">
        <v>363520</v>
      </c>
      <c r="D11" s="180">
        <f t="shared" si="1"/>
        <v>3350</v>
      </c>
      <c r="E11" s="180">
        <f t="shared" si="2"/>
        <v>1189250</v>
      </c>
      <c r="F11" s="180"/>
      <c r="G11" s="180"/>
      <c r="H11" s="180">
        <f t="shared" si="3"/>
        <v>312222.5</v>
      </c>
      <c r="I11" s="180"/>
      <c r="J11" s="180"/>
      <c r="K11" s="180">
        <f t="shared" si="4"/>
        <v>825730</v>
      </c>
      <c r="L11" s="695">
        <f t="shared" si="0"/>
        <v>1189250</v>
      </c>
      <c r="M11" s="747"/>
    </row>
    <row r="12" spans="1:13">
      <c r="A12" s="405">
        <v>42156</v>
      </c>
      <c r="B12" s="180">
        <v>849.5</v>
      </c>
      <c r="C12" s="180">
        <v>301572.5</v>
      </c>
      <c r="D12" s="180">
        <f t="shared" si="1"/>
        <v>4199.5</v>
      </c>
      <c r="E12" s="180">
        <f t="shared" si="2"/>
        <v>1490822.5</v>
      </c>
      <c r="F12" s="180"/>
      <c r="G12" s="180"/>
      <c r="H12" s="180">
        <f t="shared" si="3"/>
        <v>363520</v>
      </c>
      <c r="I12" s="180"/>
      <c r="J12" s="180"/>
      <c r="K12" s="180">
        <f t="shared" si="4"/>
        <v>1189250</v>
      </c>
      <c r="L12" s="695">
        <f t="shared" si="0"/>
        <v>1490822.5</v>
      </c>
      <c r="M12" s="412"/>
    </row>
    <row r="13" spans="1:13">
      <c r="A13" s="405">
        <v>42186</v>
      </c>
      <c r="B13" s="180">
        <v>3459.5</v>
      </c>
      <c r="C13" s="180">
        <v>1228122.5</v>
      </c>
      <c r="D13" s="180">
        <f t="shared" si="1"/>
        <v>7659</v>
      </c>
      <c r="E13" s="180">
        <f t="shared" si="2"/>
        <v>2718945</v>
      </c>
      <c r="F13" s="180"/>
      <c r="G13" s="180"/>
      <c r="H13" s="180">
        <f t="shared" si="3"/>
        <v>301572.5</v>
      </c>
      <c r="I13" s="180"/>
      <c r="J13" s="180"/>
      <c r="K13" s="180">
        <f t="shared" si="4"/>
        <v>1490822.5</v>
      </c>
      <c r="L13" s="695">
        <f t="shared" si="0"/>
        <v>2718945</v>
      </c>
      <c r="M13" s="412"/>
    </row>
    <row r="14" spans="1:13" ht="42.75">
      <c r="A14" s="405">
        <v>42217</v>
      </c>
      <c r="B14" s="180">
        <v>3335</v>
      </c>
      <c r="C14" s="180">
        <v>1117225</v>
      </c>
      <c r="D14" s="180">
        <f t="shared" si="1"/>
        <v>10994</v>
      </c>
      <c r="E14" s="180">
        <f t="shared" si="2"/>
        <v>3836170</v>
      </c>
      <c r="F14" s="180"/>
      <c r="G14" s="180"/>
      <c r="H14" s="180">
        <f t="shared" si="3"/>
        <v>1228122.5</v>
      </c>
      <c r="I14" s="180">
        <v>1000000</v>
      </c>
      <c r="J14" s="180">
        <f>1000000</f>
        <v>1000000</v>
      </c>
      <c r="K14" s="180">
        <f t="shared" si="4"/>
        <v>1718945</v>
      </c>
      <c r="L14" s="695">
        <f t="shared" si="0"/>
        <v>2836170</v>
      </c>
      <c r="M14" s="412" t="s">
        <v>3374</v>
      </c>
    </row>
    <row r="15" spans="1:13" ht="57">
      <c r="A15" s="405">
        <v>42248</v>
      </c>
      <c r="B15" s="180">
        <v>3437</v>
      </c>
      <c r="C15" s="180">
        <v>1151395</v>
      </c>
      <c r="D15" s="180">
        <f t="shared" si="1"/>
        <v>14431</v>
      </c>
      <c r="E15" s="180">
        <f t="shared" si="2"/>
        <v>4987565</v>
      </c>
      <c r="F15" s="180"/>
      <c r="G15" s="180"/>
      <c r="H15" s="180">
        <f t="shared" si="3"/>
        <v>1117225</v>
      </c>
      <c r="I15" s="180">
        <v>1000000</v>
      </c>
      <c r="J15" s="180">
        <f t="shared" ref="J15:J21" si="5">J14+I15</f>
        <v>2000000</v>
      </c>
      <c r="K15" s="180">
        <f t="shared" si="4"/>
        <v>1836170</v>
      </c>
      <c r="L15" s="695">
        <f t="shared" si="0"/>
        <v>2987565</v>
      </c>
      <c r="M15" s="412" t="s">
        <v>3375</v>
      </c>
    </row>
    <row r="16" spans="1:13">
      <c r="A16" s="405">
        <v>42278</v>
      </c>
      <c r="B16" s="180">
        <v>4193</v>
      </c>
      <c r="C16" s="180">
        <v>1404655</v>
      </c>
      <c r="D16" s="180">
        <f t="shared" si="1"/>
        <v>18624</v>
      </c>
      <c r="E16" s="180">
        <f t="shared" si="2"/>
        <v>6392220</v>
      </c>
      <c r="F16" s="180"/>
      <c r="G16" s="180"/>
      <c r="H16" s="180">
        <f t="shared" si="3"/>
        <v>1151395</v>
      </c>
      <c r="I16" s="180">
        <v>1500000</v>
      </c>
      <c r="J16" s="180">
        <f t="shared" si="5"/>
        <v>3500000</v>
      </c>
      <c r="K16" s="180">
        <f t="shared" si="4"/>
        <v>1487565</v>
      </c>
      <c r="L16" s="695">
        <f t="shared" si="0"/>
        <v>2892220</v>
      </c>
      <c r="M16" s="412"/>
    </row>
    <row r="17" spans="1:13" ht="99.75">
      <c r="A17" s="405">
        <v>42309</v>
      </c>
      <c r="B17" s="180">
        <v>4213</v>
      </c>
      <c r="C17" s="180">
        <v>1411355</v>
      </c>
      <c r="D17" s="180">
        <f t="shared" si="1"/>
        <v>22837</v>
      </c>
      <c r="E17" s="180">
        <f t="shared" si="2"/>
        <v>7803575</v>
      </c>
      <c r="F17" s="180"/>
      <c r="G17" s="180"/>
      <c r="H17" s="180">
        <f t="shared" si="3"/>
        <v>1404655</v>
      </c>
      <c r="I17" s="180">
        <f>1000000+1300419.5</f>
        <v>2300419.5</v>
      </c>
      <c r="J17" s="180">
        <f t="shared" si="5"/>
        <v>5800419.5</v>
      </c>
      <c r="K17" s="180">
        <f t="shared" si="4"/>
        <v>591800.5</v>
      </c>
      <c r="L17" s="695">
        <f t="shared" si="0"/>
        <v>2003155.5</v>
      </c>
      <c r="M17" s="412" t="s">
        <v>3376</v>
      </c>
    </row>
    <row r="18" spans="1:13" ht="114">
      <c r="A18" s="405">
        <v>42339</v>
      </c>
      <c r="B18" s="180">
        <v>2710.5</v>
      </c>
      <c r="C18" s="180">
        <v>908017.5</v>
      </c>
      <c r="D18" s="180">
        <f t="shared" si="1"/>
        <v>25547.5</v>
      </c>
      <c r="E18" s="180">
        <f t="shared" si="2"/>
        <v>8711592.5</v>
      </c>
      <c r="F18" s="180"/>
      <c r="G18" s="180"/>
      <c r="H18" s="180">
        <f t="shared" si="3"/>
        <v>1411355</v>
      </c>
      <c r="I18" s="180">
        <v>500000</v>
      </c>
      <c r="J18" s="180">
        <f t="shared" si="5"/>
        <v>6300419.5</v>
      </c>
      <c r="K18" s="180">
        <f t="shared" si="4"/>
        <v>1503155.5</v>
      </c>
      <c r="L18" s="695">
        <f t="shared" si="0"/>
        <v>2411173</v>
      </c>
      <c r="M18" s="412" t="s">
        <v>3377</v>
      </c>
    </row>
    <row r="19" spans="1:13" ht="99.75">
      <c r="A19" s="405">
        <v>42370</v>
      </c>
      <c r="B19" s="180">
        <v>448</v>
      </c>
      <c r="C19" s="180">
        <v>150080</v>
      </c>
      <c r="D19" s="180">
        <f t="shared" si="1"/>
        <v>25995.5</v>
      </c>
      <c r="E19" s="180">
        <f t="shared" si="2"/>
        <v>8861672.5</v>
      </c>
      <c r="F19" s="180"/>
      <c r="G19" s="180"/>
      <c r="H19" s="180">
        <f t="shared" si="3"/>
        <v>908017.5</v>
      </c>
      <c r="I19" s="180">
        <v>1000000</v>
      </c>
      <c r="J19" s="180">
        <f t="shared" si="5"/>
        <v>7300419.5</v>
      </c>
      <c r="K19" s="180">
        <f t="shared" si="4"/>
        <v>1411173</v>
      </c>
      <c r="L19" s="695">
        <f t="shared" si="0"/>
        <v>1561253</v>
      </c>
      <c r="M19" s="412" t="s">
        <v>3378</v>
      </c>
    </row>
    <row r="20" spans="1:13" ht="114">
      <c r="A20" s="405">
        <v>42401</v>
      </c>
      <c r="B20" s="180">
        <v>0</v>
      </c>
      <c r="C20" s="180">
        <v>0</v>
      </c>
      <c r="D20" s="180">
        <f t="shared" si="1"/>
        <v>25995.5</v>
      </c>
      <c r="E20" s="180">
        <f t="shared" si="2"/>
        <v>8861672.5</v>
      </c>
      <c r="F20" s="180"/>
      <c r="G20" s="180"/>
      <c r="H20" s="180">
        <f t="shared" si="3"/>
        <v>150080</v>
      </c>
      <c r="I20" s="180">
        <v>361114.5</v>
      </c>
      <c r="J20" s="180">
        <f t="shared" si="5"/>
        <v>7661534</v>
      </c>
      <c r="K20" s="180">
        <f t="shared" si="4"/>
        <v>1200138.5</v>
      </c>
      <c r="L20" s="695">
        <f t="shared" si="0"/>
        <v>1200138.5</v>
      </c>
      <c r="M20" s="412" t="s">
        <v>3379</v>
      </c>
    </row>
    <row r="21" spans="1:13" ht="57">
      <c r="A21" s="405">
        <v>42736</v>
      </c>
      <c r="B21" s="180">
        <v>0</v>
      </c>
      <c r="C21" s="180">
        <v>0</v>
      </c>
      <c r="D21" s="180">
        <f t="shared" si="1"/>
        <v>25995.5</v>
      </c>
      <c r="E21" s="180">
        <f t="shared" si="2"/>
        <v>8861672.5</v>
      </c>
      <c r="F21" s="180"/>
      <c r="G21" s="180"/>
      <c r="H21" s="180">
        <f t="shared" si="3"/>
        <v>0</v>
      </c>
      <c r="I21" s="180">
        <v>831670.5</v>
      </c>
      <c r="J21" s="180">
        <f t="shared" si="5"/>
        <v>8493204.5</v>
      </c>
      <c r="K21" s="180">
        <f t="shared" si="4"/>
        <v>368468</v>
      </c>
      <c r="L21" s="695">
        <f t="shared" si="0"/>
        <v>368468</v>
      </c>
      <c r="M21" s="412" t="s">
        <v>3380</v>
      </c>
    </row>
    <row r="22" spans="1:13" ht="171">
      <c r="A22" s="405"/>
      <c r="B22" s="180"/>
      <c r="C22" s="180"/>
      <c r="D22" s="180"/>
      <c r="E22" s="180"/>
      <c r="F22" s="180"/>
      <c r="G22" s="180"/>
      <c r="H22" s="180"/>
      <c r="I22" s="180"/>
      <c r="J22" s="180"/>
      <c r="K22" s="180">
        <f t="shared" si="4"/>
        <v>368468</v>
      </c>
      <c r="L22" s="180"/>
      <c r="M22" s="412" t="s">
        <v>3381</v>
      </c>
    </row>
    <row r="23" spans="1:13">
      <c r="A23" s="405"/>
      <c r="B23" s="180"/>
      <c r="C23" s="180"/>
      <c r="D23" s="180"/>
      <c r="E23" s="180"/>
      <c r="F23" s="180"/>
      <c r="G23" s="180"/>
      <c r="H23" s="180"/>
      <c r="I23" s="180"/>
      <c r="J23" s="180"/>
      <c r="K23" s="180"/>
      <c r="L23" s="180"/>
      <c r="M23" s="412"/>
    </row>
    <row r="24" spans="1:13">
      <c r="A24" s="405"/>
      <c r="B24" s="180"/>
      <c r="C24" s="180"/>
      <c r="D24" s="180"/>
      <c r="E24" s="180"/>
      <c r="F24" s="180"/>
      <c r="G24" s="180"/>
      <c r="H24" s="180"/>
      <c r="I24" s="180"/>
      <c r="J24" s="180"/>
      <c r="K24" s="180"/>
      <c r="L24" s="180"/>
      <c r="M24" s="412"/>
    </row>
  </sheetData>
  <mergeCells count="11">
    <mergeCell ref="B2:C2"/>
    <mergeCell ref="E2:H2"/>
    <mergeCell ref="B3:C3"/>
    <mergeCell ref="B4:E4"/>
    <mergeCell ref="B5:D5"/>
    <mergeCell ref="E5:G5"/>
    <mergeCell ref="J5:M5"/>
    <mergeCell ref="M1:M2"/>
    <mergeCell ref="D1:F1"/>
    <mergeCell ref="G1:H1"/>
    <mergeCell ref="J1:L1"/>
  </mergeCells>
  <phoneticPr fontId="86" type="noConversion"/>
  <pageMargins left="0.7" right="0.7" top="0.75" bottom="0.75" header="0.3" footer="0.3"/>
  <legacyDrawing r:id="rId1"/>
</worksheet>
</file>

<file path=xl/worksheets/sheet1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68"/>
  <sheetViews>
    <sheetView topLeftCell="A40" zoomScaleSheetLayoutView="100" workbookViewId="0">
      <selection activeCell="A45" sqref="A45"/>
    </sheetView>
  </sheetViews>
  <sheetFormatPr defaultColWidth="9" defaultRowHeight="14.25"/>
  <cols>
    <col min="1" max="1" width="13.5" customWidth="1"/>
    <col min="2" max="2" width="13.375" customWidth="1"/>
    <col min="3" max="3" width="14.375" customWidth="1"/>
    <col min="4" max="4" width="12.375" customWidth="1"/>
    <col min="5" max="5" width="15.625" customWidth="1"/>
    <col min="6" max="6" width="12.375" customWidth="1"/>
    <col min="7" max="7" width="12.75" customWidth="1"/>
    <col min="8" max="8" width="13.25" customWidth="1"/>
    <col min="9" max="9" width="13.75" customWidth="1"/>
    <col min="10" max="10" width="13.5" customWidth="1"/>
    <col min="11" max="11" width="12.25" customWidth="1"/>
    <col min="12" max="12" width="14.125" customWidth="1"/>
    <col min="13" max="13" width="36.625" customWidth="1"/>
  </cols>
  <sheetData>
    <row r="1" spans="1:13" ht="90.95" customHeight="1">
      <c r="A1" s="130" t="s">
        <v>556</v>
      </c>
      <c r="B1" s="131"/>
      <c r="C1" s="717" t="s">
        <v>3382</v>
      </c>
      <c r="D1" s="131" t="s">
        <v>236</v>
      </c>
      <c r="E1" s="2095"/>
      <c r="F1" s="2095"/>
      <c r="G1" s="2116" t="s">
        <v>3383</v>
      </c>
      <c r="H1" s="2116"/>
      <c r="I1" s="164" t="s">
        <v>560</v>
      </c>
      <c r="J1" s="1842" t="s">
        <v>3384</v>
      </c>
      <c r="K1" s="1842"/>
      <c r="L1" s="1842"/>
      <c r="M1" s="165" t="s">
        <v>3385</v>
      </c>
    </row>
    <row r="2" spans="1:13" ht="38.1" customHeight="1">
      <c r="A2" s="133" t="s">
        <v>240</v>
      </c>
      <c r="B2" s="1682" t="s">
        <v>1723</v>
      </c>
      <c r="C2" s="1682"/>
      <c r="D2" s="134" t="s">
        <v>242</v>
      </c>
      <c r="E2" s="1689"/>
      <c r="F2" s="1689"/>
      <c r="G2" s="1689"/>
      <c r="H2" s="1689"/>
      <c r="I2" s="166" t="s">
        <v>243</v>
      </c>
      <c r="J2" s="166" t="s">
        <v>321</v>
      </c>
      <c r="K2" s="310"/>
      <c r="L2" s="166" t="s">
        <v>245</v>
      </c>
      <c r="M2" s="167"/>
    </row>
    <row r="3" spans="1:13" ht="66" customHeight="1">
      <c r="A3" s="133" t="s">
        <v>247</v>
      </c>
      <c r="B3" s="1682" t="s">
        <v>3386</v>
      </c>
      <c r="C3" s="1682"/>
      <c r="D3" s="134" t="s">
        <v>249</v>
      </c>
      <c r="E3" s="297" t="s">
        <v>3387</v>
      </c>
      <c r="F3" s="134" t="s">
        <v>251</v>
      </c>
      <c r="G3" s="134"/>
      <c r="H3" s="134" t="s">
        <v>252</v>
      </c>
      <c r="I3" s="134"/>
      <c r="J3" s="15" t="s">
        <v>565</v>
      </c>
      <c r="K3" s="15" t="s">
        <v>3388</v>
      </c>
      <c r="L3" s="15" t="s">
        <v>255</v>
      </c>
      <c r="M3" s="207" t="s">
        <v>3389</v>
      </c>
    </row>
    <row r="4" spans="1:13" ht="45" customHeight="1">
      <c r="A4" s="133" t="s">
        <v>260</v>
      </c>
      <c r="B4" s="1726" t="s">
        <v>3353</v>
      </c>
      <c r="C4" s="1726"/>
      <c r="D4" s="1726"/>
      <c r="E4" s="1726"/>
      <c r="F4" s="1726"/>
      <c r="G4" s="1726"/>
      <c r="H4" s="1726"/>
      <c r="I4" s="1726"/>
      <c r="J4" s="1697" t="s">
        <v>3390</v>
      </c>
      <c r="K4" s="1697"/>
      <c r="L4" s="1697"/>
      <c r="M4" s="1846"/>
    </row>
    <row r="5" spans="1:13" ht="27.95" customHeight="1">
      <c r="A5" s="718" t="s">
        <v>3391</v>
      </c>
      <c r="B5" s="719"/>
      <c r="C5" s="720"/>
      <c r="D5" s="721"/>
      <c r="E5" s="722"/>
      <c r="F5" s="355"/>
      <c r="G5" s="1690"/>
      <c r="H5" s="1690"/>
      <c r="I5" s="1690"/>
      <c r="J5" s="169"/>
      <c r="K5" s="169"/>
      <c r="L5" s="169"/>
      <c r="M5" s="26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139">
        <v>41609</v>
      </c>
      <c r="B7" s="140">
        <v>205</v>
      </c>
      <c r="C7" s="140">
        <v>79950</v>
      </c>
      <c r="D7" s="140">
        <f>B7</f>
        <v>205</v>
      </c>
      <c r="E7" s="723">
        <f>C7</f>
        <v>79950</v>
      </c>
      <c r="F7" s="140"/>
      <c r="G7" s="46"/>
      <c r="H7" s="141"/>
      <c r="I7" s="140"/>
      <c r="J7" s="140"/>
      <c r="K7" s="140"/>
      <c r="L7" s="140">
        <f t="shared" ref="L7:L44" si="0">E7-J7</f>
        <v>79950</v>
      </c>
      <c r="M7" s="171"/>
    </row>
    <row r="8" spans="1:13" ht="33" customHeight="1">
      <c r="A8" s="724" t="s">
        <v>3392</v>
      </c>
      <c r="B8" s="140">
        <v>243</v>
      </c>
      <c r="C8" s="140">
        <v>94965</v>
      </c>
      <c r="D8" s="140">
        <f t="shared" ref="D8:D44" si="1">D7+B8</f>
        <v>448</v>
      </c>
      <c r="E8" s="723">
        <f t="shared" ref="E8:E44" si="2">E7+C8</f>
        <v>174915</v>
      </c>
      <c r="F8" s="140"/>
      <c r="G8" s="46"/>
      <c r="H8" s="141">
        <f t="shared" ref="H8:H45" si="3">C7</f>
        <v>79950</v>
      </c>
      <c r="I8" s="140">
        <v>174915</v>
      </c>
      <c r="J8" s="140">
        <f t="shared" ref="J8:J44" si="4">J7+I8</f>
        <v>174915</v>
      </c>
      <c r="K8" s="140">
        <f t="shared" ref="K8:K45" si="5">K7+H8-I8</f>
        <v>-94965</v>
      </c>
      <c r="L8" s="140">
        <f t="shared" si="0"/>
        <v>0</v>
      </c>
      <c r="M8" s="730"/>
    </row>
    <row r="9" spans="1:13" ht="33" customHeight="1">
      <c r="A9" s="724" t="s">
        <v>3393</v>
      </c>
      <c r="B9" s="140">
        <v>322</v>
      </c>
      <c r="C9" s="140">
        <v>125580</v>
      </c>
      <c r="D9" s="140">
        <f t="shared" si="1"/>
        <v>770</v>
      </c>
      <c r="E9" s="723">
        <f t="shared" si="2"/>
        <v>300495</v>
      </c>
      <c r="F9" s="612"/>
      <c r="G9" s="128"/>
      <c r="H9" s="141">
        <f t="shared" si="3"/>
        <v>94965</v>
      </c>
      <c r="I9" s="612">
        <v>0</v>
      </c>
      <c r="J9" s="140">
        <f t="shared" si="4"/>
        <v>174915</v>
      </c>
      <c r="K9" s="140">
        <f t="shared" si="5"/>
        <v>0</v>
      </c>
      <c r="L9" s="140">
        <f t="shared" si="0"/>
        <v>125580</v>
      </c>
      <c r="M9" s="731"/>
    </row>
    <row r="10" spans="1:13" ht="33" customHeight="1">
      <c r="A10" s="725">
        <v>41671</v>
      </c>
      <c r="B10" s="140">
        <v>473</v>
      </c>
      <c r="C10" s="140">
        <v>184470</v>
      </c>
      <c r="D10" s="140">
        <f t="shared" si="1"/>
        <v>1243</v>
      </c>
      <c r="E10" s="723">
        <f t="shared" si="2"/>
        <v>484965</v>
      </c>
      <c r="F10" s="612"/>
      <c r="G10" s="128"/>
      <c r="H10" s="141">
        <f t="shared" si="3"/>
        <v>125580</v>
      </c>
      <c r="I10" s="612">
        <v>0</v>
      </c>
      <c r="J10" s="140">
        <f t="shared" si="4"/>
        <v>174915</v>
      </c>
      <c r="K10" s="140">
        <f t="shared" si="5"/>
        <v>125580</v>
      </c>
      <c r="L10" s="140">
        <f t="shared" si="0"/>
        <v>310050</v>
      </c>
      <c r="M10" s="731" t="s">
        <v>3394</v>
      </c>
    </row>
    <row r="11" spans="1:13" ht="33" customHeight="1">
      <c r="A11" s="725">
        <v>41699</v>
      </c>
      <c r="B11" s="612">
        <v>2293.5</v>
      </c>
      <c r="C11" s="612">
        <v>894015</v>
      </c>
      <c r="D11" s="140">
        <f t="shared" si="1"/>
        <v>3536.5</v>
      </c>
      <c r="E11" s="723">
        <f t="shared" si="2"/>
        <v>1378980</v>
      </c>
      <c r="F11" s="612"/>
      <c r="G11" s="128"/>
      <c r="H11" s="141">
        <f t="shared" si="3"/>
        <v>184470</v>
      </c>
      <c r="I11" s="612">
        <v>310050</v>
      </c>
      <c r="J11" s="140">
        <f t="shared" si="4"/>
        <v>484965</v>
      </c>
      <c r="K11" s="140">
        <f t="shared" si="5"/>
        <v>0</v>
      </c>
      <c r="L11" s="140">
        <f t="shared" si="0"/>
        <v>894015</v>
      </c>
      <c r="M11" s="731"/>
    </row>
    <row r="12" spans="1:13" ht="33" customHeight="1">
      <c r="A12" s="726">
        <v>41730</v>
      </c>
      <c r="B12" s="338">
        <v>2832.5</v>
      </c>
      <c r="C12" s="338">
        <v>1104675</v>
      </c>
      <c r="D12" s="200">
        <f t="shared" si="1"/>
        <v>6369</v>
      </c>
      <c r="E12" s="727">
        <f t="shared" si="2"/>
        <v>2483655</v>
      </c>
      <c r="F12" s="338"/>
      <c r="G12" s="340"/>
      <c r="H12" s="201">
        <f t="shared" si="3"/>
        <v>894015</v>
      </c>
      <c r="I12" s="338">
        <v>894015</v>
      </c>
      <c r="J12" s="200">
        <f t="shared" si="4"/>
        <v>1378980</v>
      </c>
      <c r="K12" s="200">
        <f t="shared" si="5"/>
        <v>0</v>
      </c>
      <c r="L12" s="200">
        <f t="shared" si="0"/>
        <v>1104675</v>
      </c>
      <c r="M12" s="732" t="s">
        <v>3395</v>
      </c>
    </row>
    <row r="13" spans="1:13" ht="33" customHeight="1">
      <c r="A13" s="726">
        <v>41760</v>
      </c>
      <c r="B13" s="338">
        <v>2749.5</v>
      </c>
      <c r="C13" s="338">
        <v>1058557.5</v>
      </c>
      <c r="D13" s="200">
        <f t="shared" si="1"/>
        <v>9118.5</v>
      </c>
      <c r="E13" s="727">
        <f t="shared" si="2"/>
        <v>3542212.5</v>
      </c>
      <c r="F13" s="338"/>
      <c r="G13" s="340"/>
      <c r="H13" s="201">
        <f t="shared" si="3"/>
        <v>1104675</v>
      </c>
      <c r="I13" s="338">
        <v>1104675</v>
      </c>
      <c r="J13" s="200">
        <f t="shared" si="4"/>
        <v>2483655</v>
      </c>
      <c r="K13" s="200">
        <f t="shared" si="5"/>
        <v>0</v>
      </c>
      <c r="L13" s="200">
        <f t="shared" si="0"/>
        <v>1058557.5</v>
      </c>
      <c r="M13" s="732" t="s">
        <v>3396</v>
      </c>
    </row>
    <row r="14" spans="1:13" ht="33" customHeight="1">
      <c r="A14" s="726">
        <v>41791</v>
      </c>
      <c r="B14" s="338">
        <v>2784.5</v>
      </c>
      <c r="C14" s="338">
        <v>1071782.5</v>
      </c>
      <c r="D14" s="200">
        <f t="shared" si="1"/>
        <v>11903</v>
      </c>
      <c r="E14" s="727">
        <f t="shared" si="2"/>
        <v>4613995</v>
      </c>
      <c r="F14" s="338"/>
      <c r="G14" s="340"/>
      <c r="H14" s="201">
        <f t="shared" si="3"/>
        <v>1058557.5</v>
      </c>
      <c r="I14" s="338">
        <v>1058557.5</v>
      </c>
      <c r="J14" s="200">
        <f t="shared" si="4"/>
        <v>3542212.5</v>
      </c>
      <c r="K14" s="200">
        <f t="shared" si="5"/>
        <v>0</v>
      </c>
      <c r="L14" s="200">
        <f t="shared" si="0"/>
        <v>1071782.5</v>
      </c>
      <c r="M14" s="732" t="s">
        <v>3397</v>
      </c>
    </row>
    <row r="15" spans="1:13" ht="33" customHeight="1">
      <c r="A15" s="726">
        <v>41822</v>
      </c>
      <c r="B15" s="338">
        <v>3121</v>
      </c>
      <c r="C15" s="338">
        <v>1201445</v>
      </c>
      <c r="D15" s="200">
        <f t="shared" si="1"/>
        <v>15024</v>
      </c>
      <c r="E15" s="727">
        <f t="shared" si="2"/>
        <v>5815440</v>
      </c>
      <c r="F15" s="338"/>
      <c r="G15" s="340"/>
      <c r="H15" s="201">
        <f t="shared" si="3"/>
        <v>1071782.5</v>
      </c>
      <c r="I15" s="338"/>
      <c r="J15" s="200">
        <f t="shared" si="4"/>
        <v>3542212.5</v>
      </c>
      <c r="K15" s="200">
        <f t="shared" si="5"/>
        <v>1071782.5</v>
      </c>
      <c r="L15" s="200">
        <f t="shared" si="0"/>
        <v>2273227.5</v>
      </c>
      <c r="M15" s="732"/>
    </row>
    <row r="16" spans="1:13" ht="33" customHeight="1">
      <c r="A16" s="726">
        <v>41853</v>
      </c>
      <c r="B16" s="338">
        <v>3040.5</v>
      </c>
      <c r="C16" s="338">
        <v>1170840</v>
      </c>
      <c r="D16" s="200">
        <f t="shared" si="1"/>
        <v>18064.5</v>
      </c>
      <c r="E16" s="727">
        <f t="shared" si="2"/>
        <v>6986280</v>
      </c>
      <c r="F16" s="338"/>
      <c r="G16" s="340"/>
      <c r="H16" s="201">
        <f t="shared" si="3"/>
        <v>1201445</v>
      </c>
      <c r="I16" s="338">
        <v>2273227.5</v>
      </c>
      <c r="J16" s="200">
        <f t="shared" si="4"/>
        <v>5815440</v>
      </c>
      <c r="K16" s="200">
        <f t="shared" si="5"/>
        <v>0</v>
      </c>
      <c r="L16" s="200">
        <f t="shared" si="0"/>
        <v>1170840</v>
      </c>
      <c r="M16" s="732" t="s">
        <v>3398</v>
      </c>
    </row>
    <row r="17" spans="1:16" ht="33" customHeight="1">
      <c r="A17" s="726">
        <v>41884</v>
      </c>
      <c r="B17" s="338">
        <v>2320.5</v>
      </c>
      <c r="C17" s="338">
        <v>892200</v>
      </c>
      <c r="D17" s="200">
        <f t="shared" si="1"/>
        <v>20385</v>
      </c>
      <c r="E17" s="727">
        <f t="shared" si="2"/>
        <v>7878480</v>
      </c>
      <c r="F17" s="338"/>
      <c r="G17" s="340"/>
      <c r="H17" s="201">
        <f t="shared" si="3"/>
        <v>1170840</v>
      </c>
      <c r="I17" s="338">
        <v>1170840</v>
      </c>
      <c r="J17" s="200">
        <f t="shared" si="4"/>
        <v>6986280</v>
      </c>
      <c r="K17" s="200">
        <f t="shared" si="5"/>
        <v>0</v>
      </c>
      <c r="L17" s="200">
        <f t="shared" si="0"/>
        <v>892200</v>
      </c>
      <c r="M17" s="732" t="s">
        <v>3399</v>
      </c>
    </row>
    <row r="18" spans="1:16" ht="33" customHeight="1">
      <c r="A18" s="726">
        <v>41914</v>
      </c>
      <c r="B18" s="338">
        <v>1986</v>
      </c>
      <c r="C18" s="338">
        <v>754560</v>
      </c>
      <c r="D18" s="200">
        <f t="shared" si="1"/>
        <v>22371</v>
      </c>
      <c r="E18" s="727">
        <f t="shared" si="2"/>
        <v>8633040</v>
      </c>
      <c r="F18" s="338"/>
      <c r="G18" s="340"/>
      <c r="H18" s="201">
        <f t="shared" si="3"/>
        <v>892200</v>
      </c>
      <c r="I18" s="338">
        <v>892200</v>
      </c>
      <c r="J18" s="200">
        <f t="shared" si="4"/>
        <v>7878480</v>
      </c>
      <c r="K18" s="200">
        <f t="shared" si="5"/>
        <v>0</v>
      </c>
      <c r="L18" s="200">
        <f t="shared" si="0"/>
        <v>754560</v>
      </c>
      <c r="M18" s="732" t="s">
        <v>3400</v>
      </c>
    </row>
    <row r="19" spans="1:16" ht="33" customHeight="1">
      <c r="A19" s="726">
        <v>41945</v>
      </c>
      <c r="B19" s="338">
        <v>991.5</v>
      </c>
      <c r="C19" s="338">
        <v>363642.5</v>
      </c>
      <c r="D19" s="200">
        <f t="shared" si="1"/>
        <v>23362.5</v>
      </c>
      <c r="E19" s="727">
        <f t="shared" si="2"/>
        <v>8996682.5</v>
      </c>
      <c r="F19" s="338"/>
      <c r="G19" s="340"/>
      <c r="H19" s="201">
        <f t="shared" si="3"/>
        <v>754560</v>
      </c>
      <c r="I19" s="338">
        <v>754560</v>
      </c>
      <c r="J19" s="200">
        <f t="shared" si="4"/>
        <v>8633040</v>
      </c>
      <c r="K19" s="200">
        <f t="shared" si="5"/>
        <v>0</v>
      </c>
      <c r="L19" s="200">
        <f t="shared" si="0"/>
        <v>363642.5</v>
      </c>
      <c r="M19" s="732" t="s">
        <v>3401</v>
      </c>
    </row>
    <row r="20" spans="1:16" ht="33" customHeight="1">
      <c r="A20" s="726">
        <v>41975</v>
      </c>
      <c r="B20" s="338">
        <v>4167</v>
      </c>
      <c r="C20" s="338">
        <v>1615050</v>
      </c>
      <c r="D20" s="200">
        <f t="shared" si="1"/>
        <v>27529.5</v>
      </c>
      <c r="E20" s="727">
        <f t="shared" si="2"/>
        <v>10611732.5</v>
      </c>
      <c r="F20" s="338"/>
      <c r="G20" s="340"/>
      <c r="H20" s="201">
        <f t="shared" si="3"/>
        <v>363642.5</v>
      </c>
      <c r="I20" s="338">
        <v>363642.5</v>
      </c>
      <c r="J20" s="200">
        <f t="shared" si="4"/>
        <v>8996682.5</v>
      </c>
      <c r="K20" s="200">
        <f t="shared" si="5"/>
        <v>0</v>
      </c>
      <c r="L20" s="200">
        <f t="shared" si="0"/>
        <v>1615050</v>
      </c>
      <c r="M20" s="732" t="s">
        <v>3402</v>
      </c>
    </row>
    <row r="21" spans="1:16" ht="33" customHeight="1">
      <c r="A21" s="726">
        <v>42005</v>
      </c>
      <c r="B21" s="338">
        <v>4853</v>
      </c>
      <c r="C21" s="338">
        <v>1897042.5</v>
      </c>
      <c r="D21" s="200">
        <f t="shared" si="1"/>
        <v>32382.5</v>
      </c>
      <c r="E21" s="727">
        <f t="shared" si="2"/>
        <v>12508775</v>
      </c>
      <c r="F21" s="338"/>
      <c r="G21" s="340"/>
      <c r="H21" s="201">
        <f t="shared" si="3"/>
        <v>1615050</v>
      </c>
      <c r="I21" s="338">
        <v>1615050</v>
      </c>
      <c r="J21" s="200">
        <f t="shared" si="4"/>
        <v>10611732.5</v>
      </c>
      <c r="K21" s="200">
        <f t="shared" si="5"/>
        <v>0</v>
      </c>
      <c r="L21" s="200">
        <f t="shared" si="0"/>
        <v>1897042.5</v>
      </c>
      <c r="M21" s="732" t="s">
        <v>3403</v>
      </c>
    </row>
    <row r="22" spans="1:16" ht="33" customHeight="1">
      <c r="A22" s="728">
        <v>42037</v>
      </c>
      <c r="B22" s="200">
        <v>5851</v>
      </c>
      <c r="C22" s="200">
        <v>2330375</v>
      </c>
      <c r="D22" s="200">
        <f t="shared" si="1"/>
        <v>38233.5</v>
      </c>
      <c r="E22" s="727">
        <f t="shared" si="2"/>
        <v>14839150</v>
      </c>
      <c r="F22" s="200"/>
      <c r="G22" s="180"/>
      <c r="H22" s="201">
        <f t="shared" si="3"/>
        <v>1897042.5</v>
      </c>
      <c r="I22" s="200">
        <v>4227417.5</v>
      </c>
      <c r="J22" s="200">
        <f t="shared" si="4"/>
        <v>14839150</v>
      </c>
      <c r="K22" s="200">
        <f t="shared" si="5"/>
        <v>-2330375</v>
      </c>
      <c r="L22" s="200">
        <f t="shared" si="0"/>
        <v>0</v>
      </c>
      <c r="M22" s="733" t="s">
        <v>3404</v>
      </c>
    </row>
    <row r="23" spans="1:16" ht="33" customHeight="1">
      <c r="A23" s="728">
        <v>42069</v>
      </c>
      <c r="B23" s="200">
        <v>1414.5</v>
      </c>
      <c r="C23" s="200">
        <v>560872.5</v>
      </c>
      <c r="D23" s="200">
        <f t="shared" si="1"/>
        <v>39648</v>
      </c>
      <c r="E23" s="727">
        <f t="shared" si="2"/>
        <v>15400022.5</v>
      </c>
      <c r="F23" s="200"/>
      <c r="G23" s="180"/>
      <c r="H23" s="201">
        <f t="shared" si="3"/>
        <v>2330375</v>
      </c>
      <c r="I23" s="200"/>
      <c r="J23" s="200">
        <f t="shared" si="4"/>
        <v>14839150</v>
      </c>
      <c r="K23" s="200">
        <f t="shared" si="5"/>
        <v>0</v>
      </c>
      <c r="L23" s="200">
        <f t="shared" si="0"/>
        <v>560872.5</v>
      </c>
      <c r="M23" s="733"/>
    </row>
    <row r="24" spans="1:16" ht="33" customHeight="1">
      <c r="A24" s="728">
        <v>42100</v>
      </c>
      <c r="B24" s="200">
        <v>5437.5</v>
      </c>
      <c r="C24" s="200">
        <v>2110560</v>
      </c>
      <c r="D24" s="200">
        <f t="shared" si="1"/>
        <v>45085.5</v>
      </c>
      <c r="E24" s="727">
        <f t="shared" si="2"/>
        <v>17510582.5</v>
      </c>
      <c r="F24" s="200"/>
      <c r="G24" s="180"/>
      <c r="H24" s="201">
        <f t="shared" si="3"/>
        <v>560872.5</v>
      </c>
      <c r="I24" s="200"/>
      <c r="J24" s="200">
        <f t="shared" si="4"/>
        <v>14839150</v>
      </c>
      <c r="K24" s="200">
        <f t="shared" si="5"/>
        <v>560872.5</v>
      </c>
      <c r="L24" s="200">
        <f t="shared" si="0"/>
        <v>2671432.5</v>
      </c>
      <c r="M24" s="733"/>
    </row>
    <row r="25" spans="1:16" ht="33" customHeight="1">
      <c r="A25" s="728">
        <v>42130</v>
      </c>
      <c r="B25" s="200">
        <v>4260.5</v>
      </c>
      <c r="C25" s="200">
        <v>1730787.5</v>
      </c>
      <c r="D25" s="200">
        <f t="shared" si="1"/>
        <v>49346</v>
      </c>
      <c r="E25" s="727">
        <f t="shared" si="2"/>
        <v>19241370</v>
      </c>
      <c r="F25" s="200"/>
      <c r="G25" s="180"/>
      <c r="H25" s="201">
        <f t="shared" si="3"/>
        <v>2110560</v>
      </c>
      <c r="I25" s="200">
        <v>2671432.5</v>
      </c>
      <c r="J25" s="200">
        <f t="shared" si="4"/>
        <v>17510582.5</v>
      </c>
      <c r="K25" s="200">
        <f t="shared" si="5"/>
        <v>0</v>
      </c>
      <c r="L25" s="200">
        <f t="shared" si="0"/>
        <v>1730787.5</v>
      </c>
      <c r="M25" s="733" t="s">
        <v>3405</v>
      </c>
    </row>
    <row r="26" spans="1:16" ht="33" customHeight="1">
      <c r="A26" s="728">
        <v>42156</v>
      </c>
      <c r="B26" s="200">
        <v>6564</v>
      </c>
      <c r="C26" s="200">
        <v>2598325</v>
      </c>
      <c r="D26" s="200">
        <f t="shared" si="1"/>
        <v>55910</v>
      </c>
      <c r="E26" s="727">
        <f t="shared" si="2"/>
        <v>21839695</v>
      </c>
      <c r="F26" s="200"/>
      <c r="G26" s="180"/>
      <c r="H26" s="201">
        <f t="shared" si="3"/>
        <v>1730787.5</v>
      </c>
      <c r="I26" s="200">
        <v>1730787.5</v>
      </c>
      <c r="J26" s="200">
        <f t="shared" si="4"/>
        <v>19241370</v>
      </c>
      <c r="K26" s="200">
        <f t="shared" si="5"/>
        <v>0</v>
      </c>
      <c r="L26" s="200">
        <f t="shared" si="0"/>
        <v>2598325</v>
      </c>
      <c r="M26" s="733" t="s">
        <v>3406</v>
      </c>
    </row>
    <row r="27" spans="1:16" ht="33" customHeight="1">
      <c r="A27" s="728">
        <v>42186</v>
      </c>
      <c r="B27" s="200">
        <v>8182.5</v>
      </c>
      <c r="C27" s="200">
        <v>3125445</v>
      </c>
      <c r="D27" s="200">
        <f t="shared" si="1"/>
        <v>64092.5</v>
      </c>
      <c r="E27" s="727">
        <f t="shared" si="2"/>
        <v>24965140</v>
      </c>
      <c r="F27" s="200"/>
      <c r="G27" s="180"/>
      <c r="H27" s="201">
        <f t="shared" si="3"/>
        <v>2598325</v>
      </c>
      <c r="I27" s="200">
        <v>2598325</v>
      </c>
      <c r="J27" s="200">
        <f t="shared" si="4"/>
        <v>21839695</v>
      </c>
      <c r="K27" s="200">
        <f t="shared" si="5"/>
        <v>0</v>
      </c>
      <c r="L27" s="200">
        <f t="shared" si="0"/>
        <v>3125445</v>
      </c>
      <c r="M27" s="734" t="s">
        <v>3407</v>
      </c>
      <c r="N27" s="729"/>
      <c r="O27" s="729"/>
      <c r="P27" s="729"/>
    </row>
    <row r="28" spans="1:16" ht="33" customHeight="1">
      <c r="A28" s="728">
        <v>42217</v>
      </c>
      <c r="B28" s="540">
        <v>7803.5</v>
      </c>
      <c r="C28" s="540">
        <v>2892215</v>
      </c>
      <c r="D28" s="200">
        <f t="shared" si="1"/>
        <v>71896</v>
      </c>
      <c r="E28" s="727">
        <f t="shared" si="2"/>
        <v>27857355</v>
      </c>
      <c r="F28" s="540"/>
      <c r="G28" s="540"/>
      <c r="H28" s="201">
        <f t="shared" si="3"/>
        <v>3125445</v>
      </c>
      <c r="I28" s="540">
        <v>3125445</v>
      </c>
      <c r="J28" s="200">
        <f t="shared" si="4"/>
        <v>24965140</v>
      </c>
      <c r="K28" s="200">
        <f t="shared" si="5"/>
        <v>0</v>
      </c>
      <c r="L28" s="200">
        <f t="shared" si="0"/>
        <v>2892215</v>
      </c>
      <c r="M28" s="540" t="s">
        <v>3408</v>
      </c>
      <c r="N28" s="729"/>
      <c r="O28" s="729"/>
      <c r="P28" s="729"/>
    </row>
    <row r="29" spans="1:16" ht="33" customHeight="1">
      <c r="A29" s="728">
        <v>42248</v>
      </c>
      <c r="B29" s="540">
        <v>6669</v>
      </c>
      <c r="C29" s="540">
        <v>2400790</v>
      </c>
      <c r="D29" s="200">
        <f t="shared" si="1"/>
        <v>78565</v>
      </c>
      <c r="E29" s="727">
        <f t="shared" si="2"/>
        <v>30258145</v>
      </c>
      <c r="F29" s="540"/>
      <c r="G29" s="540"/>
      <c r="H29" s="201">
        <f t="shared" si="3"/>
        <v>2892215</v>
      </c>
      <c r="I29" s="540">
        <v>2892215</v>
      </c>
      <c r="J29" s="200">
        <f t="shared" si="4"/>
        <v>27857355</v>
      </c>
      <c r="K29" s="200">
        <f t="shared" si="5"/>
        <v>0</v>
      </c>
      <c r="L29" s="200">
        <f t="shared" si="0"/>
        <v>2400790</v>
      </c>
      <c r="M29" s="540" t="s">
        <v>3409</v>
      </c>
      <c r="N29" s="729"/>
      <c r="O29" s="729"/>
      <c r="P29" s="729"/>
    </row>
    <row r="30" spans="1:16" ht="33" customHeight="1">
      <c r="A30" s="728">
        <v>42278</v>
      </c>
      <c r="B30" s="540">
        <v>7114</v>
      </c>
      <c r="C30" s="540">
        <v>2561730</v>
      </c>
      <c r="D30" s="200">
        <f t="shared" si="1"/>
        <v>85679</v>
      </c>
      <c r="E30" s="727">
        <f t="shared" si="2"/>
        <v>32819875</v>
      </c>
      <c r="F30" s="540"/>
      <c r="G30" s="540"/>
      <c r="H30" s="201">
        <f t="shared" si="3"/>
        <v>2400790</v>
      </c>
      <c r="I30" s="540"/>
      <c r="J30" s="200">
        <f t="shared" si="4"/>
        <v>27857355</v>
      </c>
      <c r="K30" s="200">
        <f t="shared" si="5"/>
        <v>2400790</v>
      </c>
      <c r="L30" s="200">
        <f t="shared" si="0"/>
        <v>4962520</v>
      </c>
      <c r="M30" s="540"/>
      <c r="N30" s="729"/>
      <c r="O30" s="729"/>
      <c r="P30" s="729"/>
    </row>
    <row r="31" spans="1:16" ht="33" customHeight="1">
      <c r="A31" s="728">
        <v>42309</v>
      </c>
      <c r="B31" s="540">
        <v>2787</v>
      </c>
      <c r="C31" s="540">
        <v>1013070</v>
      </c>
      <c r="D31" s="200">
        <f t="shared" si="1"/>
        <v>88466</v>
      </c>
      <c r="E31" s="727">
        <f t="shared" si="2"/>
        <v>33832945</v>
      </c>
      <c r="F31" s="540"/>
      <c r="G31" s="540"/>
      <c r="H31" s="201">
        <f t="shared" si="3"/>
        <v>2561730</v>
      </c>
      <c r="I31" s="540">
        <v>2400790</v>
      </c>
      <c r="J31" s="200">
        <f t="shared" si="4"/>
        <v>30258145</v>
      </c>
      <c r="K31" s="200">
        <f t="shared" si="5"/>
        <v>2561730</v>
      </c>
      <c r="L31" s="200">
        <f t="shared" si="0"/>
        <v>3574800</v>
      </c>
      <c r="M31" s="540" t="s">
        <v>3410</v>
      </c>
      <c r="N31" s="729"/>
      <c r="O31" s="729"/>
      <c r="P31" s="729"/>
    </row>
    <row r="32" spans="1:16" ht="33" customHeight="1">
      <c r="A32" s="728">
        <v>42339</v>
      </c>
      <c r="B32" s="540">
        <v>856.5</v>
      </c>
      <c r="C32" s="540">
        <v>302500</v>
      </c>
      <c r="D32" s="200">
        <f t="shared" si="1"/>
        <v>89322.5</v>
      </c>
      <c r="E32" s="727">
        <f t="shared" si="2"/>
        <v>34135445</v>
      </c>
      <c r="F32" s="540"/>
      <c r="G32" s="540"/>
      <c r="H32" s="201">
        <f t="shared" si="3"/>
        <v>1013070</v>
      </c>
      <c r="I32" s="540">
        <v>2561730</v>
      </c>
      <c r="J32" s="200">
        <f t="shared" si="4"/>
        <v>32819875</v>
      </c>
      <c r="K32" s="200">
        <f t="shared" si="5"/>
        <v>1013070</v>
      </c>
      <c r="L32" s="200">
        <f t="shared" si="0"/>
        <v>1315570</v>
      </c>
      <c r="M32" s="540" t="s">
        <v>3411</v>
      </c>
      <c r="N32" s="729"/>
      <c r="O32" s="729"/>
      <c r="P32" s="729"/>
    </row>
    <row r="33" spans="1:16" ht="33" customHeight="1">
      <c r="A33" s="728">
        <v>42370</v>
      </c>
      <c r="B33" s="540">
        <v>78</v>
      </c>
      <c r="C33" s="540">
        <v>25650</v>
      </c>
      <c r="D33" s="200">
        <f t="shared" si="1"/>
        <v>89400.5</v>
      </c>
      <c r="E33" s="727">
        <f t="shared" si="2"/>
        <v>34161095</v>
      </c>
      <c r="F33" s="540"/>
      <c r="G33" s="540"/>
      <c r="H33" s="201">
        <f t="shared" si="3"/>
        <v>302500</v>
      </c>
      <c r="I33" s="200">
        <v>1341220</v>
      </c>
      <c r="J33" s="200">
        <f t="shared" si="4"/>
        <v>34161095</v>
      </c>
      <c r="K33" s="200">
        <f t="shared" si="5"/>
        <v>-25650</v>
      </c>
      <c r="L33" s="200">
        <f t="shared" si="0"/>
        <v>0</v>
      </c>
      <c r="M33" s="540" t="s">
        <v>3412</v>
      </c>
      <c r="N33" s="729"/>
      <c r="O33" s="729"/>
      <c r="P33" s="729"/>
    </row>
    <row r="34" spans="1:16" ht="33" customHeight="1">
      <c r="A34" s="728">
        <v>42430</v>
      </c>
      <c r="B34" s="540">
        <v>15</v>
      </c>
      <c r="C34" s="540">
        <v>5550</v>
      </c>
      <c r="D34" s="200">
        <f t="shared" si="1"/>
        <v>89415.5</v>
      </c>
      <c r="E34" s="727">
        <f t="shared" si="2"/>
        <v>34166645</v>
      </c>
      <c r="F34" s="540"/>
      <c r="G34" s="540"/>
      <c r="H34" s="201">
        <f t="shared" si="3"/>
        <v>25650</v>
      </c>
      <c r="I34" s="540"/>
      <c r="J34" s="200">
        <f t="shared" si="4"/>
        <v>34161095</v>
      </c>
      <c r="K34" s="200">
        <f t="shared" si="5"/>
        <v>0</v>
      </c>
      <c r="L34" s="200">
        <f t="shared" si="0"/>
        <v>5550</v>
      </c>
      <c r="M34" s="540" t="s">
        <v>3413</v>
      </c>
      <c r="N34" s="729"/>
      <c r="O34" s="729"/>
      <c r="P34" s="729"/>
    </row>
    <row r="35" spans="1:16" ht="33" customHeight="1">
      <c r="A35" s="728">
        <v>42461</v>
      </c>
      <c r="B35" s="540">
        <v>176</v>
      </c>
      <c r="C35" s="540">
        <v>65120</v>
      </c>
      <c r="D35" s="200">
        <f t="shared" si="1"/>
        <v>89591.5</v>
      </c>
      <c r="E35" s="727">
        <f t="shared" si="2"/>
        <v>34231765</v>
      </c>
      <c r="F35" s="540"/>
      <c r="G35" s="540"/>
      <c r="H35" s="201">
        <f t="shared" si="3"/>
        <v>5550</v>
      </c>
      <c r="I35" s="540">
        <v>5550</v>
      </c>
      <c r="J35" s="200">
        <f t="shared" si="4"/>
        <v>34166645</v>
      </c>
      <c r="K35" s="200">
        <f t="shared" si="5"/>
        <v>0</v>
      </c>
      <c r="L35" s="200">
        <f t="shared" si="0"/>
        <v>65120</v>
      </c>
      <c r="M35" s="540"/>
      <c r="N35" s="729"/>
      <c r="O35" s="729"/>
      <c r="P35" s="729"/>
    </row>
    <row r="36" spans="1:16" ht="33" customHeight="1">
      <c r="A36" s="728">
        <v>42491</v>
      </c>
      <c r="B36" s="540">
        <v>135</v>
      </c>
      <c r="C36" s="540">
        <v>47925</v>
      </c>
      <c r="D36" s="200">
        <f t="shared" si="1"/>
        <v>89726.5</v>
      </c>
      <c r="E36" s="727">
        <f t="shared" si="2"/>
        <v>34279690</v>
      </c>
      <c r="F36" s="540"/>
      <c r="G36" s="540"/>
      <c r="H36" s="201">
        <f t="shared" si="3"/>
        <v>65120</v>
      </c>
      <c r="I36" s="540">
        <v>113045</v>
      </c>
      <c r="J36" s="200">
        <f t="shared" si="4"/>
        <v>34279690</v>
      </c>
      <c r="K36" s="200">
        <f t="shared" si="5"/>
        <v>-47925</v>
      </c>
      <c r="L36" s="200">
        <f t="shared" si="0"/>
        <v>0</v>
      </c>
      <c r="M36" s="540" t="s">
        <v>3414</v>
      </c>
      <c r="N36" s="729"/>
      <c r="O36" s="729"/>
      <c r="P36" s="729"/>
    </row>
    <row r="37" spans="1:16" ht="33" customHeight="1">
      <c r="A37" s="728">
        <v>42644</v>
      </c>
      <c r="B37" s="540">
        <v>462</v>
      </c>
      <c r="C37" s="540">
        <v>168310</v>
      </c>
      <c r="D37" s="200">
        <f t="shared" si="1"/>
        <v>90188.5</v>
      </c>
      <c r="E37" s="727">
        <f t="shared" si="2"/>
        <v>34448000</v>
      </c>
      <c r="F37" s="540"/>
      <c r="G37" s="540"/>
      <c r="H37" s="201">
        <f t="shared" si="3"/>
        <v>47925</v>
      </c>
      <c r="I37" s="540"/>
      <c r="J37" s="200">
        <f t="shared" si="4"/>
        <v>34279690</v>
      </c>
      <c r="K37" s="200">
        <f t="shared" si="5"/>
        <v>0</v>
      </c>
      <c r="L37" s="200">
        <f t="shared" si="0"/>
        <v>168310</v>
      </c>
      <c r="M37" s="540"/>
      <c r="N37" s="729"/>
      <c r="O37" s="729"/>
      <c r="P37" s="729"/>
    </row>
    <row r="38" spans="1:16" ht="33" customHeight="1">
      <c r="A38" s="728">
        <v>42675</v>
      </c>
      <c r="B38" s="540">
        <v>1231</v>
      </c>
      <c r="C38" s="540">
        <v>467980</v>
      </c>
      <c r="D38" s="200">
        <f t="shared" si="1"/>
        <v>91419.5</v>
      </c>
      <c r="E38" s="727">
        <f t="shared" si="2"/>
        <v>34915980</v>
      </c>
      <c r="F38" s="540"/>
      <c r="G38" s="540"/>
      <c r="H38" s="201">
        <f t="shared" si="3"/>
        <v>168310</v>
      </c>
      <c r="I38" s="540">
        <v>636290</v>
      </c>
      <c r="J38" s="200">
        <f t="shared" si="4"/>
        <v>34915980</v>
      </c>
      <c r="K38" s="200">
        <f t="shared" si="5"/>
        <v>-467980</v>
      </c>
      <c r="L38" s="200">
        <f t="shared" si="0"/>
        <v>0</v>
      </c>
      <c r="M38" s="540" t="s">
        <v>3415</v>
      </c>
      <c r="N38" s="729"/>
      <c r="O38" s="729"/>
      <c r="P38" s="729"/>
    </row>
    <row r="39" spans="1:16" ht="33" customHeight="1">
      <c r="A39" s="728">
        <v>42705</v>
      </c>
      <c r="B39" s="540">
        <v>704</v>
      </c>
      <c r="C39" s="540">
        <v>265910</v>
      </c>
      <c r="D39" s="200">
        <f t="shared" si="1"/>
        <v>92123.5</v>
      </c>
      <c r="E39" s="727">
        <f t="shared" si="2"/>
        <v>35181890</v>
      </c>
      <c r="F39" s="540"/>
      <c r="G39" s="540"/>
      <c r="H39" s="201">
        <f t="shared" si="3"/>
        <v>467980</v>
      </c>
      <c r="I39" s="540"/>
      <c r="J39" s="200">
        <f t="shared" si="4"/>
        <v>34915980</v>
      </c>
      <c r="K39" s="200">
        <f t="shared" si="5"/>
        <v>0</v>
      </c>
      <c r="L39" s="200">
        <f t="shared" si="0"/>
        <v>265910</v>
      </c>
      <c r="M39" s="540"/>
      <c r="N39" s="729"/>
      <c r="O39" s="729"/>
      <c r="P39" s="729"/>
    </row>
    <row r="40" spans="1:16" ht="33" customHeight="1">
      <c r="A40" s="728">
        <v>42795</v>
      </c>
      <c r="B40" s="540">
        <v>241</v>
      </c>
      <c r="C40" s="540">
        <v>91230</v>
      </c>
      <c r="D40" s="200">
        <f t="shared" si="1"/>
        <v>92364.5</v>
      </c>
      <c r="E40" s="727">
        <f t="shared" si="2"/>
        <v>35273120</v>
      </c>
      <c r="F40" s="540"/>
      <c r="G40" s="540"/>
      <c r="H40" s="201">
        <f t="shared" si="3"/>
        <v>265910</v>
      </c>
      <c r="I40" s="540"/>
      <c r="J40" s="200">
        <f t="shared" si="4"/>
        <v>34915980</v>
      </c>
      <c r="K40" s="200">
        <f t="shared" si="5"/>
        <v>265910</v>
      </c>
      <c r="L40" s="200">
        <f t="shared" si="0"/>
        <v>357140</v>
      </c>
      <c r="M40" s="540"/>
      <c r="N40" s="729"/>
      <c r="O40" s="729"/>
      <c r="P40" s="729"/>
    </row>
    <row r="41" spans="1:16" ht="33" customHeight="1">
      <c r="A41" s="728">
        <v>42826</v>
      </c>
      <c r="B41" s="540">
        <v>0</v>
      </c>
      <c r="C41" s="540">
        <v>0</v>
      </c>
      <c r="D41" s="200">
        <f t="shared" si="1"/>
        <v>92364.5</v>
      </c>
      <c r="E41" s="727">
        <f t="shared" si="2"/>
        <v>35273120</v>
      </c>
      <c r="F41" s="540"/>
      <c r="G41" s="540"/>
      <c r="H41" s="201">
        <f t="shared" si="3"/>
        <v>91230</v>
      </c>
      <c r="I41" s="540"/>
      <c r="J41" s="200">
        <f t="shared" si="4"/>
        <v>34915980</v>
      </c>
      <c r="K41" s="200">
        <f t="shared" si="5"/>
        <v>357140</v>
      </c>
      <c r="L41" s="200">
        <f t="shared" si="0"/>
        <v>357140</v>
      </c>
      <c r="M41" s="540"/>
      <c r="N41" s="729"/>
      <c r="O41" s="729"/>
      <c r="P41" s="729"/>
    </row>
    <row r="42" spans="1:16" ht="33" customHeight="1">
      <c r="A42" s="728">
        <v>42856</v>
      </c>
      <c r="B42" s="540">
        <v>64</v>
      </c>
      <c r="C42" s="540">
        <v>24320</v>
      </c>
      <c r="D42" s="200">
        <f t="shared" si="1"/>
        <v>92428.5</v>
      </c>
      <c r="E42" s="727">
        <f t="shared" si="2"/>
        <v>35297440</v>
      </c>
      <c r="F42" s="540"/>
      <c r="G42" s="540"/>
      <c r="H42" s="201">
        <f t="shared" si="3"/>
        <v>0</v>
      </c>
      <c r="I42" s="540"/>
      <c r="J42" s="200">
        <f t="shared" si="4"/>
        <v>34915980</v>
      </c>
      <c r="K42" s="200">
        <f t="shared" si="5"/>
        <v>357140</v>
      </c>
      <c r="L42" s="200">
        <f t="shared" si="0"/>
        <v>381460</v>
      </c>
      <c r="M42" s="540" t="s">
        <v>3416</v>
      </c>
      <c r="N42" s="729"/>
      <c r="O42" s="729"/>
      <c r="P42" s="729"/>
    </row>
    <row r="43" spans="1:16" ht="33" customHeight="1">
      <c r="A43" s="728">
        <v>42887</v>
      </c>
      <c r="B43" s="540">
        <v>15</v>
      </c>
      <c r="C43" s="540">
        <v>5700</v>
      </c>
      <c r="D43" s="200">
        <f t="shared" si="1"/>
        <v>92443.5</v>
      </c>
      <c r="E43" s="727">
        <f t="shared" si="2"/>
        <v>35303140</v>
      </c>
      <c r="F43" s="540"/>
      <c r="G43" s="540"/>
      <c r="H43" s="201">
        <f t="shared" si="3"/>
        <v>24320</v>
      </c>
      <c r="I43" s="540">
        <v>381460</v>
      </c>
      <c r="J43" s="200">
        <f t="shared" si="4"/>
        <v>35297440</v>
      </c>
      <c r="K43" s="200">
        <f t="shared" si="5"/>
        <v>0</v>
      </c>
      <c r="L43" s="200">
        <f t="shared" si="0"/>
        <v>5700</v>
      </c>
      <c r="M43" s="540"/>
      <c r="N43" s="729"/>
      <c r="O43" s="729"/>
      <c r="P43" s="729"/>
    </row>
    <row r="44" spans="1:16" ht="33" customHeight="1">
      <c r="A44" s="728">
        <v>42917</v>
      </c>
      <c r="B44" s="540">
        <v>54</v>
      </c>
      <c r="C44" s="540">
        <v>20520</v>
      </c>
      <c r="D44" s="200">
        <f t="shared" si="1"/>
        <v>92497.5</v>
      </c>
      <c r="E44" s="727">
        <f t="shared" si="2"/>
        <v>35323660</v>
      </c>
      <c r="F44" s="540"/>
      <c r="G44" s="540"/>
      <c r="H44" s="201">
        <f t="shared" si="3"/>
        <v>5700</v>
      </c>
      <c r="I44" s="540"/>
      <c r="J44" s="200">
        <f t="shared" si="4"/>
        <v>35297440</v>
      </c>
      <c r="K44" s="200">
        <f t="shared" si="5"/>
        <v>5700</v>
      </c>
      <c r="L44" s="200">
        <f t="shared" si="0"/>
        <v>26220</v>
      </c>
      <c r="M44" s="540"/>
      <c r="N44" s="729"/>
      <c r="O44" s="729"/>
      <c r="P44" s="729"/>
    </row>
    <row r="45" spans="1:16" ht="33" customHeight="1">
      <c r="A45" s="728"/>
      <c r="B45" s="540"/>
      <c r="C45" s="540"/>
      <c r="D45" s="200"/>
      <c r="E45" s="727"/>
      <c r="F45" s="540"/>
      <c r="G45" s="540"/>
      <c r="H45" s="201">
        <f t="shared" si="3"/>
        <v>20520</v>
      </c>
      <c r="I45" s="540"/>
      <c r="J45" s="540"/>
      <c r="K45" s="200">
        <f t="shared" si="5"/>
        <v>26220</v>
      </c>
      <c r="L45" s="540"/>
      <c r="M45" s="540"/>
      <c r="N45" s="729"/>
      <c r="O45" s="729"/>
      <c r="P45" s="729"/>
    </row>
    <row r="46" spans="1:16" ht="33" customHeight="1">
      <c r="A46" s="728"/>
      <c r="B46" s="540"/>
      <c r="C46" s="540"/>
      <c r="D46" s="200"/>
      <c r="E46" s="727"/>
      <c r="F46" s="540"/>
      <c r="G46" s="540"/>
      <c r="H46" s="201"/>
      <c r="I46" s="540"/>
      <c r="J46" s="540"/>
      <c r="K46" s="200"/>
      <c r="L46" s="540"/>
      <c r="M46" s="540"/>
      <c r="N46" s="729"/>
      <c r="O46" s="729"/>
      <c r="P46" s="729"/>
    </row>
    <row r="47" spans="1:16" ht="33" customHeight="1">
      <c r="A47" s="728"/>
      <c r="B47" s="540"/>
      <c r="C47" s="540"/>
      <c r="D47" s="200"/>
      <c r="E47" s="727"/>
      <c r="F47" s="540"/>
      <c r="G47" s="540"/>
      <c r="H47" s="201"/>
      <c r="I47" s="540"/>
      <c r="J47" s="540"/>
      <c r="K47" s="200"/>
      <c r="L47" s="540"/>
      <c r="M47" s="540"/>
      <c r="N47" s="729"/>
      <c r="O47" s="729"/>
      <c r="P47" s="729"/>
    </row>
    <row r="48" spans="1:16" ht="33" customHeight="1">
      <c r="A48" s="728"/>
      <c r="B48" s="540"/>
      <c r="C48" s="540"/>
      <c r="D48" s="200"/>
      <c r="E48" s="727"/>
      <c r="F48" s="540"/>
      <c r="G48" s="540"/>
      <c r="H48" s="201"/>
      <c r="I48" s="540"/>
      <c r="J48" s="540"/>
      <c r="K48" s="200"/>
      <c r="L48" s="540"/>
      <c r="M48" s="540"/>
      <c r="N48" s="729"/>
      <c r="O48" s="729"/>
      <c r="P48" s="729"/>
    </row>
    <row r="49" spans="1:16" ht="33" customHeight="1">
      <c r="A49" s="728"/>
      <c r="B49" s="540"/>
      <c r="C49" s="540"/>
      <c r="D49" s="540"/>
      <c r="E49" s="540"/>
      <c r="F49" s="540"/>
      <c r="G49" s="540"/>
      <c r="H49" s="540"/>
      <c r="I49" s="540"/>
      <c r="J49" s="540"/>
      <c r="K49" s="540"/>
      <c r="L49" s="540"/>
      <c r="M49" s="540"/>
      <c r="N49" s="729"/>
      <c r="O49" s="729"/>
      <c r="P49" s="729"/>
    </row>
    <row r="50" spans="1:16" ht="33" customHeight="1">
      <c r="A50" s="729"/>
      <c r="B50" s="729"/>
      <c r="C50" s="729"/>
      <c r="D50" s="729"/>
      <c r="E50" s="729"/>
      <c r="F50" s="729"/>
      <c r="G50" s="729"/>
      <c r="H50" s="729"/>
      <c r="I50" s="729"/>
      <c r="J50" s="729"/>
      <c r="K50" s="729"/>
      <c r="L50" s="729"/>
      <c r="M50" s="729"/>
      <c r="N50" s="729"/>
      <c r="O50" s="729"/>
      <c r="P50" s="729"/>
    </row>
    <row r="51" spans="1:16" ht="33" customHeight="1"/>
    <row r="52" spans="1:16" ht="33" customHeight="1"/>
    <row r="53" spans="1:16" ht="33" customHeight="1"/>
    <row r="54" spans="1:16" ht="33" customHeight="1"/>
    <row r="55" spans="1:16" ht="33" customHeight="1"/>
    <row r="56" spans="1:16" ht="33" customHeight="1"/>
    <row r="57" spans="1:16" ht="33" customHeight="1"/>
    <row r="58" spans="1:16" ht="33" customHeight="1"/>
    <row r="59" spans="1:16" ht="33" customHeight="1"/>
    <row r="60" spans="1:16" ht="33" customHeight="1"/>
    <row r="61" spans="1:16" ht="33" customHeight="1"/>
    <row r="62" spans="1:16" ht="33" customHeight="1"/>
    <row r="63" spans="1:16" ht="33" customHeight="1"/>
    <row r="64" spans="1:16" ht="33" customHeight="1"/>
    <row r="65" ht="33" customHeight="1"/>
    <row r="66" ht="33" customHeight="1"/>
    <row r="67" ht="33" customHeight="1"/>
    <row r="68" ht="33" customHeight="1"/>
  </sheetData>
  <mergeCells count="9">
    <mergeCell ref="B4:I4"/>
    <mergeCell ref="J4:M4"/>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5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0"/>
  <sheetViews>
    <sheetView topLeftCell="A37" zoomScaleSheetLayoutView="100" workbookViewId="0"/>
  </sheetViews>
  <sheetFormatPr defaultColWidth="9" defaultRowHeight="14.25"/>
  <cols>
    <col min="1" max="1" width="18.5" customWidth="1"/>
    <col min="2" max="2" width="12.125" customWidth="1"/>
    <col min="3" max="3" width="16.125" customWidth="1"/>
    <col min="4" max="4" width="12.5" customWidth="1"/>
    <col min="5" max="5" width="15.5" customWidth="1"/>
    <col min="6" max="6" width="11.75" customWidth="1"/>
    <col min="7" max="7" width="14.5" bestFit="1" customWidth="1"/>
    <col min="8" max="8" width="16.25" customWidth="1"/>
    <col min="9" max="9" width="14.125" bestFit="1" customWidth="1"/>
    <col min="10" max="10" width="16" customWidth="1"/>
    <col min="11" max="11" width="15.375" bestFit="1" customWidth="1"/>
    <col min="12" max="12" width="13.875" customWidth="1"/>
    <col min="13" max="13" width="28.125" customWidth="1"/>
  </cols>
  <sheetData>
    <row r="1" spans="1:13" ht="60.95" customHeight="1">
      <c r="A1" s="349" t="s">
        <v>556</v>
      </c>
      <c r="B1" s="350"/>
      <c r="C1" s="377" t="s">
        <v>3417</v>
      </c>
      <c r="D1" s="2112" t="s">
        <v>3418</v>
      </c>
      <c r="E1" s="2112"/>
      <c r="F1" s="2112"/>
      <c r="G1" s="2113" t="s">
        <v>3419</v>
      </c>
      <c r="H1" s="2113"/>
      <c r="I1" s="2117" t="s">
        <v>560</v>
      </c>
      <c r="J1" s="2068" t="s">
        <v>3420</v>
      </c>
      <c r="K1" s="2068"/>
      <c r="L1" s="2118"/>
      <c r="M1" s="2111" t="s">
        <v>3421</v>
      </c>
    </row>
    <row r="2" spans="1:13" ht="60.75" customHeight="1">
      <c r="A2" s="133" t="s">
        <v>240</v>
      </c>
      <c r="B2" s="1682" t="s">
        <v>2763</v>
      </c>
      <c r="C2" s="1682"/>
      <c r="D2" s="134" t="s">
        <v>242</v>
      </c>
      <c r="E2" s="1689"/>
      <c r="F2" s="1689"/>
      <c r="G2" s="1689"/>
      <c r="H2" s="1689"/>
      <c r="I2" s="2117"/>
      <c r="J2" s="1703"/>
      <c r="K2" s="1703"/>
      <c r="L2" s="2119"/>
      <c r="M2" s="1843"/>
    </row>
    <row r="3" spans="1:13" ht="33" customHeight="1">
      <c r="A3" s="133" t="s">
        <v>247</v>
      </c>
      <c r="B3" s="1682" t="s">
        <v>3422</v>
      </c>
      <c r="C3" s="1682"/>
      <c r="D3" s="134" t="s">
        <v>249</v>
      </c>
      <c r="E3" s="136"/>
      <c r="F3" s="134" t="s">
        <v>251</v>
      </c>
      <c r="G3" s="134"/>
      <c r="H3" s="134" t="s">
        <v>252</v>
      </c>
      <c r="I3" s="166" t="s">
        <v>243</v>
      </c>
      <c r="J3" s="166"/>
      <c r="K3" s="310"/>
      <c r="L3" s="166" t="s">
        <v>245</v>
      </c>
      <c r="M3" s="207"/>
    </row>
    <row r="4" spans="1:13" ht="33" customHeight="1">
      <c r="A4" s="133" t="s">
        <v>3371</v>
      </c>
      <c r="B4" s="2105"/>
      <c r="C4" s="2106"/>
      <c r="D4" s="2106"/>
      <c r="E4" s="2107"/>
      <c r="F4" s="134"/>
      <c r="G4" s="134"/>
      <c r="H4" s="134"/>
      <c r="I4" s="134"/>
      <c r="J4" s="15" t="s">
        <v>565</v>
      </c>
      <c r="K4" s="15"/>
      <c r="L4" s="15" t="s">
        <v>255</v>
      </c>
      <c r="M4" s="207"/>
    </row>
    <row r="5" spans="1:13" ht="66" customHeight="1">
      <c r="A5" s="133" t="s">
        <v>260</v>
      </c>
      <c r="B5" s="2045" t="s">
        <v>3423</v>
      </c>
      <c r="C5" s="2046"/>
      <c r="D5" s="2097"/>
      <c r="E5" s="2045" t="s">
        <v>3424</v>
      </c>
      <c r="F5" s="2046"/>
      <c r="G5" s="2097"/>
      <c r="H5" s="356"/>
      <c r="I5" s="356"/>
      <c r="J5" s="1697"/>
      <c r="K5" s="1697"/>
      <c r="L5" s="1697"/>
      <c r="M5" s="1846"/>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950000000000003" customHeight="1">
      <c r="A7" s="202"/>
      <c r="B7" s="699"/>
      <c r="C7" s="699"/>
      <c r="D7" s="200">
        <f>B7</f>
        <v>0</v>
      </c>
      <c r="E7" s="200">
        <f>C7</f>
        <v>0</v>
      </c>
      <c r="F7" s="200"/>
      <c r="G7" s="180"/>
      <c r="H7" s="201"/>
      <c r="I7" s="200"/>
      <c r="J7" s="200"/>
      <c r="K7" s="200"/>
      <c r="L7" s="200">
        <f>E7-J7</f>
        <v>0</v>
      </c>
      <c r="M7" s="715"/>
    </row>
    <row r="8" spans="1:13" ht="33.950000000000003" customHeight="1">
      <c r="A8" s="324" t="s">
        <v>3425</v>
      </c>
      <c r="B8" s="180">
        <v>3345.2</v>
      </c>
      <c r="C8" s="700">
        <v>1333700.3999999999</v>
      </c>
      <c r="D8" s="180">
        <f>D7+B8</f>
        <v>3345.2</v>
      </c>
      <c r="E8" s="180">
        <f>E7+C8</f>
        <v>1333700.3999999999</v>
      </c>
      <c r="F8" s="701"/>
      <c r="G8" s="180">
        <f>E8*0.2</f>
        <v>266740.08</v>
      </c>
      <c r="H8" s="180"/>
      <c r="I8" s="180"/>
      <c r="J8" s="180"/>
      <c r="K8" s="180">
        <f t="shared" ref="K8:K21" si="0">K7+H8-I8</f>
        <v>0</v>
      </c>
      <c r="L8" s="200">
        <f>E8-J8</f>
        <v>1333700.3999999999</v>
      </c>
      <c r="M8" s="716"/>
    </row>
    <row r="9" spans="1:13" ht="33.950000000000003" customHeight="1">
      <c r="A9" s="324" t="s">
        <v>3426</v>
      </c>
      <c r="B9" s="180">
        <v>6461</v>
      </c>
      <c r="C9" s="442">
        <v>2551430</v>
      </c>
      <c r="D9" s="180">
        <f t="shared" ref="D9:D36" si="1">D8+B9</f>
        <v>9806.2000000000007</v>
      </c>
      <c r="E9" s="180">
        <f t="shared" ref="E9:E36" si="2">E8+C9</f>
        <v>3885130.4</v>
      </c>
      <c r="F9" s="180"/>
      <c r="G9" s="180">
        <f>E9*0.2</f>
        <v>777026.08000000007</v>
      </c>
      <c r="H9" s="180">
        <f>C8*0.8</f>
        <v>1066960.32</v>
      </c>
      <c r="I9" s="180"/>
      <c r="J9" s="180"/>
      <c r="K9" s="180">
        <f t="shared" si="0"/>
        <v>1066960.32</v>
      </c>
      <c r="L9" s="200">
        <f t="shared" ref="L9:L21" si="3">E9-J9</f>
        <v>3885130.4</v>
      </c>
      <c r="M9" s="443"/>
    </row>
    <row r="10" spans="1:13" ht="33.950000000000003" customHeight="1">
      <c r="A10" s="702" t="s">
        <v>3427</v>
      </c>
      <c r="B10" s="703"/>
      <c r="C10" s="703">
        <v>-67011.100000000006</v>
      </c>
      <c r="D10" s="180">
        <f t="shared" si="1"/>
        <v>9806.2000000000007</v>
      </c>
      <c r="E10" s="180">
        <f t="shared" si="2"/>
        <v>3818119.3</v>
      </c>
      <c r="F10" s="180"/>
      <c r="G10" s="180">
        <f>E10*0.2-C10</f>
        <v>830634.96</v>
      </c>
      <c r="H10" s="180">
        <f t="shared" ref="H10:H21" si="4">C9*0.8</f>
        <v>2041144</v>
      </c>
      <c r="I10" s="180"/>
      <c r="J10" s="180"/>
      <c r="K10" s="180">
        <f t="shared" si="0"/>
        <v>3108104.3200000003</v>
      </c>
      <c r="L10" s="200">
        <f t="shared" si="3"/>
        <v>3818119.3</v>
      </c>
      <c r="M10" s="444"/>
    </row>
    <row r="11" spans="1:13" ht="33.950000000000003" customHeight="1">
      <c r="A11" s="324" t="s">
        <v>3428</v>
      </c>
      <c r="B11" s="340">
        <v>8788.7999999999993</v>
      </c>
      <c r="C11" s="340">
        <v>3432935.3</v>
      </c>
      <c r="D11" s="180">
        <f t="shared" si="1"/>
        <v>18595</v>
      </c>
      <c r="E11" s="180">
        <f t="shared" si="2"/>
        <v>7251054.5999999996</v>
      </c>
      <c r="F11" s="180"/>
      <c r="G11" s="180">
        <f>E11*0.2</f>
        <v>1450210.92</v>
      </c>
      <c r="H11" s="180">
        <f t="shared" si="4"/>
        <v>-53608.880000000005</v>
      </c>
      <c r="I11" s="224">
        <v>2000000</v>
      </c>
      <c r="J11" s="224">
        <f>J10+I11</f>
        <v>2000000</v>
      </c>
      <c r="K11" s="180">
        <f t="shared" si="0"/>
        <v>1054495.4400000004</v>
      </c>
      <c r="L11" s="200">
        <f t="shared" si="3"/>
        <v>5251054.5999999996</v>
      </c>
      <c r="M11" s="444" t="s">
        <v>3429</v>
      </c>
    </row>
    <row r="12" spans="1:13" ht="33.950000000000003" customHeight="1">
      <c r="A12" s="324" t="s">
        <v>3430</v>
      </c>
      <c r="B12" s="340">
        <v>10352.9</v>
      </c>
      <c r="C12" s="340">
        <v>3892516.73</v>
      </c>
      <c r="D12" s="180">
        <f t="shared" si="1"/>
        <v>28947.9</v>
      </c>
      <c r="E12" s="180">
        <f t="shared" si="2"/>
        <v>11143571.33</v>
      </c>
      <c r="F12" s="180"/>
      <c r="G12" s="180">
        <f t="shared" ref="G12:G21" si="5">E12*0.2</f>
        <v>2228714.2660000003</v>
      </c>
      <c r="H12" s="180">
        <f t="shared" si="4"/>
        <v>2746348.24</v>
      </c>
      <c r="I12" s="224">
        <v>1108104.32</v>
      </c>
      <c r="J12" s="224">
        <f t="shared" ref="J12:J36" si="6">J11+I12</f>
        <v>3108104.3200000003</v>
      </c>
      <c r="K12" s="180">
        <f t="shared" si="0"/>
        <v>2692739.3600000003</v>
      </c>
      <c r="L12" s="200">
        <f t="shared" si="3"/>
        <v>8035467.0099999998</v>
      </c>
      <c r="M12" s="444" t="s">
        <v>3431</v>
      </c>
    </row>
    <row r="13" spans="1:13" ht="33.950000000000003" customHeight="1">
      <c r="A13" s="324" t="s">
        <v>2136</v>
      </c>
      <c r="B13" s="340">
        <v>9428.5</v>
      </c>
      <c r="C13" s="340">
        <v>3433360.1</v>
      </c>
      <c r="D13" s="180">
        <f t="shared" si="1"/>
        <v>38376.400000000001</v>
      </c>
      <c r="E13" s="180">
        <f t="shared" si="2"/>
        <v>14576931.43</v>
      </c>
      <c r="F13" s="180"/>
      <c r="G13" s="180">
        <f t="shared" si="5"/>
        <v>2915386.2860000003</v>
      </c>
      <c r="H13" s="180">
        <f t="shared" si="4"/>
        <v>3114013.3840000001</v>
      </c>
      <c r="I13" s="224">
        <v>2092739.37</v>
      </c>
      <c r="J13" s="224">
        <f t="shared" si="6"/>
        <v>5200843.6900000004</v>
      </c>
      <c r="K13" s="180">
        <f t="shared" si="0"/>
        <v>3714013.3740000008</v>
      </c>
      <c r="L13" s="200">
        <f t="shared" si="3"/>
        <v>9376087.7399999984</v>
      </c>
      <c r="M13" s="444" t="s">
        <v>3432</v>
      </c>
    </row>
    <row r="14" spans="1:13" ht="35.1" customHeight="1">
      <c r="A14" s="324" t="s">
        <v>3433</v>
      </c>
      <c r="B14" s="340">
        <v>4560</v>
      </c>
      <c r="C14" s="340">
        <v>1630304.98</v>
      </c>
      <c r="D14" s="180">
        <f t="shared" si="1"/>
        <v>42936.4</v>
      </c>
      <c r="E14" s="180">
        <f t="shared" si="2"/>
        <v>16207236.41</v>
      </c>
      <c r="F14" s="701"/>
      <c r="G14" s="180">
        <f t="shared" si="5"/>
        <v>3241447.2820000001</v>
      </c>
      <c r="H14" s="180">
        <f t="shared" si="4"/>
        <v>2746688.08</v>
      </c>
      <c r="I14" s="224">
        <v>3000000</v>
      </c>
      <c r="J14" s="224">
        <f t="shared" si="6"/>
        <v>8200843.6900000004</v>
      </c>
      <c r="K14" s="180">
        <f t="shared" si="0"/>
        <v>3460701.4540000008</v>
      </c>
      <c r="L14" s="200">
        <f t="shared" si="3"/>
        <v>8006392.7199999997</v>
      </c>
      <c r="M14" s="444" t="s">
        <v>3434</v>
      </c>
    </row>
    <row r="15" spans="1:13" ht="33" customHeight="1">
      <c r="A15" s="324" t="s">
        <v>3435</v>
      </c>
      <c r="B15" s="340">
        <v>1632.5</v>
      </c>
      <c r="C15" s="704">
        <v>579058.19999999995</v>
      </c>
      <c r="D15" s="180">
        <f t="shared" si="1"/>
        <v>44568.9</v>
      </c>
      <c r="E15" s="180">
        <f t="shared" si="2"/>
        <v>16786294.609999999</v>
      </c>
      <c r="F15" s="701"/>
      <c r="G15" s="180">
        <f t="shared" si="5"/>
        <v>3357258.9220000003</v>
      </c>
      <c r="H15" s="180">
        <f t="shared" si="4"/>
        <v>1304243.9840000002</v>
      </c>
      <c r="I15" s="224">
        <v>4000000</v>
      </c>
      <c r="J15" s="224">
        <f t="shared" si="6"/>
        <v>12200843.690000001</v>
      </c>
      <c r="K15" s="180">
        <f t="shared" si="0"/>
        <v>764945.43800000101</v>
      </c>
      <c r="L15" s="200">
        <f t="shared" si="3"/>
        <v>4585450.9199999981</v>
      </c>
      <c r="M15" s="444" t="s">
        <v>3436</v>
      </c>
    </row>
    <row r="16" spans="1:13" ht="33" customHeight="1">
      <c r="A16" s="324" t="s">
        <v>2142</v>
      </c>
      <c r="B16" s="180">
        <v>10048</v>
      </c>
      <c r="C16" s="442">
        <v>3479014</v>
      </c>
      <c r="D16" s="180">
        <f t="shared" si="1"/>
        <v>54616.9</v>
      </c>
      <c r="E16" s="180">
        <f t="shared" si="2"/>
        <v>20265308.609999999</v>
      </c>
      <c r="F16" s="701"/>
      <c r="G16" s="180">
        <f t="shared" si="5"/>
        <v>4053061.7220000001</v>
      </c>
      <c r="H16" s="180">
        <f t="shared" si="4"/>
        <v>463246.56</v>
      </c>
      <c r="I16" s="224">
        <v>1228192</v>
      </c>
      <c r="J16" s="224">
        <f t="shared" si="6"/>
        <v>13429035.690000001</v>
      </c>
      <c r="K16" s="180">
        <f t="shared" si="0"/>
        <v>-1.9999989308416843E-3</v>
      </c>
      <c r="L16" s="200">
        <f t="shared" si="3"/>
        <v>6836272.9199999981</v>
      </c>
      <c r="M16" s="180" t="s">
        <v>3437</v>
      </c>
    </row>
    <row r="17" spans="1:13" ht="33" customHeight="1">
      <c r="A17" s="324" t="s">
        <v>2144</v>
      </c>
      <c r="B17" s="180">
        <v>9429</v>
      </c>
      <c r="C17" s="442">
        <v>2889455</v>
      </c>
      <c r="D17" s="180">
        <f t="shared" si="1"/>
        <v>64045.9</v>
      </c>
      <c r="E17" s="180">
        <f t="shared" si="2"/>
        <v>23154763.609999999</v>
      </c>
      <c r="F17" s="701"/>
      <c r="G17" s="180">
        <f t="shared" si="5"/>
        <v>4630952.7220000001</v>
      </c>
      <c r="H17" s="180">
        <f t="shared" si="4"/>
        <v>2783211.2</v>
      </c>
      <c r="I17" s="224">
        <v>2183211.2000000002</v>
      </c>
      <c r="J17" s="224">
        <f t="shared" si="6"/>
        <v>15612246.890000001</v>
      </c>
      <c r="K17" s="180">
        <f t="shared" si="0"/>
        <v>599999.99800000107</v>
      </c>
      <c r="L17" s="200">
        <f t="shared" si="3"/>
        <v>7542516.7199999988</v>
      </c>
      <c r="M17" s="180" t="s">
        <v>3438</v>
      </c>
    </row>
    <row r="18" spans="1:13" ht="33" customHeight="1">
      <c r="A18" s="702" t="s">
        <v>786</v>
      </c>
      <c r="B18" s="251"/>
      <c r="C18" s="705">
        <v>-722785.8</v>
      </c>
      <c r="D18" s="180">
        <f t="shared" si="1"/>
        <v>64045.9</v>
      </c>
      <c r="E18" s="180">
        <f t="shared" si="2"/>
        <v>22431977.809999999</v>
      </c>
      <c r="F18" s="706"/>
      <c r="G18" s="180">
        <f t="shared" si="5"/>
        <v>4486395.5619999999</v>
      </c>
      <c r="H18" s="180">
        <f t="shared" si="4"/>
        <v>2311564</v>
      </c>
      <c r="I18" s="499"/>
      <c r="J18" s="224">
        <f t="shared" si="6"/>
        <v>15612246.890000001</v>
      </c>
      <c r="K18" s="180">
        <f t="shared" si="0"/>
        <v>2911563.9980000011</v>
      </c>
      <c r="L18" s="200">
        <f t="shared" si="3"/>
        <v>6819730.9199999981</v>
      </c>
      <c r="M18" s="706"/>
    </row>
    <row r="19" spans="1:13" ht="42.95" customHeight="1">
      <c r="A19" s="405" t="s">
        <v>3439</v>
      </c>
      <c r="B19" s="180">
        <v>3405</v>
      </c>
      <c r="C19" s="442">
        <v>1035895</v>
      </c>
      <c r="D19" s="180">
        <f t="shared" si="1"/>
        <v>67450.899999999994</v>
      </c>
      <c r="E19" s="180">
        <f t="shared" si="2"/>
        <v>23467872.809999999</v>
      </c>
      <c r="F19" s="701"/>
      <c r="G19" s="180">
        <f t="shared" si="5"/>
        <v>4693574.5619999999</v>
      </c>
      <c r="H19" s="180">
        <f t="shared" si="4"/>
        <v>-578228.64</v>
      </c>
      <c r="I19" s="224"/>
      <c r="J19" s="224">
        <f t="shared" si="6"/>
        <v>15612246.890000001</v>
      </c>
      <c r="K19" s="180">
        <f t="shared" si="0"/>
        <v>2333335.3580000009</v>
      </c>
      <c r="L19" s="200">
        <f t="shared" si="3"/>
        <v>7855625.9199999981</v>
      </c>
      <c r="M19" s="701"/>
    </row>
    <row r="20" spans="1:13" ht="33" customHeight="1">
      <c r="A20" s="405" t="s">
        <v>787</v>
      </c>
      <c r="B20" s="180"/>
      <c r="C20" s="442">
        <v>-462395.78</v>
      </c>
      <c r="D20" s="180">
        <f t="shared" si="1"/>
        <v>67450.899999999994</v>
      </c>
      <c r="E20" s="180">
        <f t="shared" si="2"/>
        <v>23005477.029999997</v>
      </c>
      <c r="F20" s="701"/>
      <c r="G20" s="180">
        <f t="shared" si="5"/>
        <v>4601095.4059999995</v>
      </c>
      <c r="H20" s="180">
        <f t="shared" si="4"/>
        <v>828716</v>
      </c>
      <c r="I20" s="224"/>
      <c r="J20" s="224">
        <f t="shared" si="6"/>
        <v>15612246.890000001</v>
      </c>
      <c r="K20" s="180">
        <f t="shared" si="0"/>
        <v>3162051.3580000009</v>
      </c>
      <c r="L20" s="200">
        <f t="shared" si="3"/>
        <v>7393230.1399999969</v>
      </c>
      <c r="M20" s="701"/>
    </row>
    <row r="21" spans="1:13" ht="33" customHeight="1">
      <c r="A21" s="405" t="s">
        <v>3440</v>
      </c>
      <c r="B21" s="180">
        <v>794</v>
      </c>
      <c r="C21" s="707">
        <f>241730</f>
        <v>241730</v>
      </c>
      <c r="D21" s="180">
        <f t="shared" si="1"/>
        <v>68244.899999999994</v>
      </c>
      <c r="E21" s="180">
        <f t="shared" si="2"/>
        <v>23247207.029999997</v>
      </c>
      <c r="F21" s="701"/>
      <c r="G21" s="180">
        <f t="shared" si="5"/>
        <v>4649441.4059999995</v>
      </c>
      <c r="H21" s="180">
        <f t="shared" si="4"/>
        <v>-369916.62400000007</v>
      </c>
      <c r="I21" s="224">
        <v>2333335.36</v>
      </c>
      <c r="J21" s="224">
        <f t="shared" si="6"/>
        <v>17945582.25</v>
      </c>
      <c r="K21" s="180">
        <f t="shared" si="0"/>
        <v>458799.37400000123</v>
      </c>
      <c r="L21" s="200">
        <f t="shared" si="3"/>
        <v>5301624.7799999975</v>
      </c>
      <c r="M21" s="701"/>
    </row>
    <row r="22" spans="1:13" ht="33" customHeight="1">
      <c r="A22" s="405" t="s">
        <v>3441</v>
      </c>
      <c r="B22" s="180"/>
      <c r="C22" s="707">
        <v>18150</v>
      </c>
      <c r="D22" s="180">
        <f t="shared" si="1"/>
        <v>68244.899999999994</v>
      </c>
      <c r="E22" s="180">
        <f t="shared" si="2"/>
        <v>23265357.029999997</v>
      </c>
      <c r="F22" s="701"/>
      <c r="G22" s="180"/>
      <c r="H22" s="180"/>
      <c r="I22" s="224"/>
      <c r="J22" s="224">
        <f t="shared" si="6"/>
        <v>17945582.25</v>
      </c>
      <c r="K22" s="180">
        <f t="shared" ref="K22:K37" si="7">K21+H22-I22</f>
        <v>458799.37400000123</v>
      </c>
      <c r="L22" s="200">
        <f t="shared" ref="L22:L36" si="8">E22-J22</f>
        <v>5319774.7799999975</v>
      </c>
      <c r="M22" s="701"/>
    </row>
    <row r="23" spans="1:13" ht="33" customHeight="1">
      <c r="A23" s="405" t="s">
        <v>789</v>
      </c>
      <c r="B23" s="180"/>
      <c r="C23" s="442">
        <f>(-317579)+(-20.85)</f>
        <v>-317599.84999999998</v>
      </c>
      <c r="D23" s="180">
        <f t="shared" si="1"/>
        <v>68244.899999999994</v>
      </c>
      <c r="E23" s="180">
        <f t="shared" si="2"/>
        <v>22947757.179999996</v>
      </c>
      <c r="F23" s="701"/>
      <c r="G23" s="180">
        <f>E23*0.2</f>
        <v>4589551.4359999998</v>
      </c>
      <c r="H23" s="180">
        <f>C21*0.8</f>
        <v>193384</v>
      </c>
      <c r="I23" s="224"/>
      <c r="J23" s="224">
        <f t="shared" si="6"/>
        <v>17945582.25</v>
      </c>
      <c r="K23" s="180">
        <f t="shared" si="7"/>
        <v>652183.37400000123</v>
      </c>
      <c r="L23" s="200">
        <f t="shared" si="8"/>
        <v>5002174.929999996</v>
      </c>
      <c r="M23" s="180" t="s">
        <v>3442</v>
      </c>
    </row>
    <row r="24" spans="1:13" ht="33" customHeight="1">
      <c r="A24" s="405" t="s">
        <v>3443</v>
      </c>
      <c r="B24" s="708">
        <v>823.5</v>
      </c>
      <c r="C24" s="709">
        <v>260782.5</v>
      </c>
      <c r="D24" s="180">
        <f t="shared" si="1"/>
        <v>69068.399999999994</v>
      </c>
      <c r="E24" s="180">
        <f t="shared" si="2"/>
        <v>23208539.679999996</v>
      </c>
      <c r="F24" s="701"/>
      <c r="G24" s="180">
        <f>E23*0.2/4*3</f>
        <v>3442163.5769999996</v>
      </c>
      <c r="H24" s="180">
        <f>C23*0.8</f>
        <v>-254079.88</v>
      </c>
      <c r="I24" s="224">
        <v>652183.37</v>
      </c>
      <c r="J24" s="224">
        <f t="shared" si="6"/>
        <v>18597765.620000001</v>
      </c>
      <c r="K24" s="180">
        <f t="shared" si="7"/>
        <v>-254079.87599999877</v>
      </c>
      <c r="L24" s="200">
        <f t="shared" si="8"/>
        <v>4610774.0599999949</v>
      </c>
      <c r="M24" s="180" t="s">
        <v>3444</v>
      </c>
    </row>
    <row r="25" spans="1:13" ht="33" customHeight="1">
      <c r="A25" s="405" t="s">
        <v>3445</v>
      </c>
      <c r="B25" s="180">
        <v>429</v>
      </c>
      <c r="C25" s="442">
        <v>135222.5</v>
      </c>
      <c r="D25" s="180">
        <f t="shared" si="1"/>
        <v>69497.399999999994</v>
      </c>
      <c r="E25" s="180">
        <f t="shared" si="2"/>
        <v>23343762.179999996</v>
      </c>
      <c r="F25" s="701"/>
      <c r="G25" s="180">
        <f>E23*0.2/4*2</f>
        <v>2294775.7179999999</v>
      </c>
      <c r="H25" s="180">
        <f>E23*0.2/4+C24</f>
        <v>1408170.3589999999</v>
      </c>
      <c r="I25" s="224"/>
      <c r="J25" s="224">
        <f t="shared" si="6"/>
        <v>18597765.620000001</v>
      </c>
      <c r="K25" s="180">
        <f t="shared" si="7"/>
        <v>1154090.4830000012</v>
      </c>
      <c r="L25" s="200">
        <f t="shared" si="8"/>
        <v>4745996.5599999949</v>
      </c>
      <c r="M25" s="711"/>
    </row>
    <row r="26" spans="1:13" ht="33" customHeight="1">
      <c r="A26" s="405" t="s">
        <v>3446</v>
      </c>
      <c r="B26" s="180">
        <v>160</v>
      </c>
      <c r="C26" s="442">
        <v>45745</v>
      </c>
      <c r="D26" s="180">
        <f t="shared" si="1"/>
        <v>69657.399999999994</v>
      </c>
      <c r="E26" s="180">
        <f t="shared" si="2"/>
        <v>23389507.179999996</v>
      </c>
      <c r="F26" s="701"/>
      <c r="G26" s="180">
        <f>E23*0.2/4</f>
        <v>1147387.8589999999</v>
      </c>
      <c r="H26" s="180">
        <f>E23*0.2/4+C25</f>
        <v>1282610.3589999999</v>
      </c>
      <c r="I26" s="224"/>
      <c r="J26" s="224">
        <f t="shared" si="6"/>
        <v>18597765.620000001</v>
      </c>
      <c r="K26" s="180">
        <f t="shared" si="7"/>
        <v>2436700.8420000011</v>
      </c>
      <c r="L26" s="200">
        <f t="shared" si="8"/>
        <v>4791741.5599999949</v>
      </c>
      <c r="M26" s="711"/>
    </row>
    <row r="27" spans="1:13" ht="33" customHeight="1">
      <c r="A27" s="405" t="s">
        <v>1572</v>
      </c>
      <c r="B27" s="180"/>
      <c r="C27" s="442">
        <v>-5787.47</v>
      </c>
      <c r="D27" s="180">
        <f t="shared" si="1"/>
        <v>69657.399999999994</v>
      </c>
      <c r="E27" s="180">
        <f t="shared" si="2"/>
        <v>23383719.709999997</v>
      </c>
      <c r="F27" s="701"/>
      <c r="G27" s="180"/>
      <c r="H27" s="180">
        <f>E23*0.2/4+C26</f>
        <v>1193132.8589999999</v>
      </c>
      <c r="I27" s="224"/>
      <c r="J27" s="224">
        <f t="shared" si="6"/>
        <v>18597765.620000001</v>
      </c>
      <c r="K27" s="180">
        <f t="shared" si="7"/>
        <v>3629833.7010000013</v>
      </c>
      <c r="L27" s="200">
        <f t="shared" si="8"/>
        <v>4785954.0899999961</v>
      </c>
      <c r="M27" s="711"/>
    </row>
    <row r="28" spans="1:13" ht="33" customHeight="1">
      <c r="A28" s="405" t="s">
        <v>3447</v>
      </c>
      <c r="B28" s="180">
        <v>80</v>
      </c>
      <c r="C28" s="442">
        <v>20060</v>
      </c>
      <c r="D28" s="180">
        <f t="shared" si="1"/>
        <v>69737.399999999994</v>
      </c>
      <c r="E28" s="180">
        <f t="shared" si="2"/>
        <v>23403779.709999997</v>
      </c>
      <c r="F28" s="701"/>
      <c r="G28" s="180"/>
      <c r="H28" s="180">
        <f>E23*0.2/4+C27</f>
        <v>1141600.389</v>
      </c>
      <c r="I28" s="224">
        <v>1247887.98</v>
      </c>
      <c r="J28" s="224">
        <f t="shared" si="6"/>
        <v>19845653.600000001</v>
      </c>
      <c r="K28" s="180">
        <f t="shared" si="7"/>
        <v>3523546.1100000017</v>
      </c>
      <c r="L28" s="200">
        <f t="shared" si="8"/>
        <v>3558126.1099999957</v>
      </c>
      <c r="M28" s="180" t="s">
        <v>3448</v>
      </c>
    </row>
    <row r="29" spans="1:13" ht="33" customHeight="1">
      <c r="A29" s="405" t="s">
        <v>3449</v>
      </c>
      <c r="B29" s="710">
        <v>517</v>
      </c>
      <c r="C29" s="710">
        <v>142110</v>
      </c>
      <c r="D29" s="180">
        <f t="shared" si="1"/>
        <v>70254.399999999994</v>
      </c>
      <c r="E29" s="180">
        <f t="shared" si="2"/>
        <v>23545889.709999997</v>
      </c>
      <c r="F29" s="701"/>
      <c r="G29" s="180"/>
      <c r="H29" s="180">
        <f t="shared" ref="H29:H37" si="9">C28</f>
        <v>20060</v>
      </c>
      <c r="I29" s="224"/>
      <c r="J29" s="224">
        <f t="shared" si="6"/>
        <v>19845653.600000001</v>
      </c>
      <c r="K29" s="180">
        <f t="shared" si="7"/>
        <v>3543606.1100000017</v>
      </c>
      <c r="L29" s="200">
        <f t="shared" si="8"/>
        <v>3700236.1099999957</v>
      </c>
      <c r="M29" s="711" t="s">
        <v>3450</v>
      </c>
    </row>
    <row r="30" spans="1:13" ht="33" customHeight="1">
      <c r="A30" s="405" t="s">
        <v>3451</v>
      </c>
      <c r="B30" s="711"/>
      <c r="C30" s="712">
        <v>8850</v>
      </c>
      <c r="D30" s="180">
        <f t="shared" si="1"/>
        <v>70254.399999999994</v>
      </c>
      <c r="E30" s="180">
        <f t="shared" si="2"/>
        <v>23554739.709999997</v>
      </c>
      <c r="F30" s="701"/>
      <c r="G30" s="180"/>
      <c r="H30" s="180">
        <f t="shared" si="9"/>
        <v>142110</v>
      </c>
      <c r="I30" s="224">
        <v>1282255.8600000001</v>
      </c>
      <c r="J30" s="224">
        <f t="shared" si="6"/>
        <v>21127909.460000001</v>
      </c>
      <c r="K30" s="180">
        <f t="shared" si="7"/>
        <v>2403460.2500000019</v>
      </c>
      <c r="L30" s="200">
        <f t="shared" si="8"/>
        <v>2426830.2499999963</v>
      </c>
      <c r="M30" s="701"/>
    </row>
    <row r="31" spans="1:13" ht="33" customHeight="1">
      <c r="A31" s="405" t="s">
        <v>3452</v>
      </c>
      <c r="B31" s="710">
        <v>506.5</v>
      </c>
      <c r="C31" s="713">
        <v>132665</v>
      </c>
      <c r="D31" s="180">
        <f t="shared" si="1"/>
        <v>70760.899999999994</v>
      </c>
      <c r="E31" s="180">
        <f t="shared" si="2"/>
        <v>23687404.709999997</v>
      </c>
      <c r="F31" s="701"/>
      <c r="G31" s="180"/>
      <c r="H31" s="180">
        <f t="shared" si="9"/>
        <v>8850</v>
      </c>
      <c r="I31" s="224"/>
      <c r="J31" s="224">
        <f t="shared" si="6"/>
        <v>21127909.460000001</v>
      </c>
      <c r="K31" s="180">
        <f t="shared" si="7"/>
        <v>2412310.2500000019</v>
      </c>
      <c r="L31" s="200">
        <f t="shared" si="8"/>
        <v>2559495.2499999963</v>
      </c>
      <c r="M31" s="701"/>
    </row>
    <row r="32" spans="1:13" ht="33" customHeight="1">
      <c r="A32" s="409" t="s">
        <v>3453</v>
      </c>
      <c r="B32" s="714">
        <v>198.5</v>
      </c>
      <c r="C32" s="714">
        <v>53565</v>
      </c>
      <c r="D32" s="180">
        <f t="shared" si="1"/>
        <v>70959.399999999994</v>
      </c>
      <c r="E32" s="180">
        <f t="shared" si="2"/>
        <v>23740969.709999997</v>
      </c>
      <c r="F32" s="701"/>
      <c r="G32" s="180"/>
      <c r="H32" s="180">
        <f t="shared" si="9"/>
        <v>132665</v>
      </c>
      <c r="I32" s="224"/>
      <c r="J32" s="224">
        <f t="shared" si="6"/>
        <v>21127909.460000001</v>
      </c>
      <c r="K32" s="180">
        <f t="shared" si="7"/>
        <v>2544975.2500000019</v>
      </c>
      <c r="L32" s="200">
        <f t="shared" si="8"/>
        <v>2613060.2499999963</v>
      </c>
      <c r="M32" s="180" t="s">
        <v>3454</v>
      </c>
    </row>
    <row r="33" spans="1:13" ht="33" customHeight="1">
      <c r="A33" s="405" t="s">
        <v>1574</v>
      </c>
      <c r="B33" s="710"/>
      <c r="C33" s="710">
        <v>-329.86</v>
      </c>
      <c r="D33" s="180">
        <f t="shared" si="1"/>
        <v>70959.399999999994</v>
      </c>
      <c r="E33" s="180">
        <f t="shared" si="2"/>
        <v>23740639.849999998</v>
      </c>
      <c r="F33" s="701"/>
      <c r="G33" s="180"/>
      <c r="H33" s="180">
        <f t="shared" si="9"/>
        <v>53565</v>
      </c>
      <c r="I33" s="224">
        <v>2374580.39</v>
      </c>
      <c r="J33" s="224">
        <f t="shared" si="6"/>
        <v>23502489.850000001</v>
      </c>
      <c r="K33" s="180">
        <f t="shared" si="7"/>
        <v>223959.86000000173</v>
      </c>
      <c r="L33" s="200">
        <f t="shared" si="8"/>
        <v>238149.99999999627</v>
      </c>
      <c r="M33" s="701"/>
    </row>
    <row r="34" spans="1:13" ht="33" customHeight="1">
      <c r="A34" s="405" t="s">
        <v>3455</v>
      </c>
      <c r="B34" s="710">
        <v>511</v>
      </c>
      <c r="C34" s="710">
        <v>140665</v>
      </c>
      <c r="D34" s="180">
        <f t="shared" si="1"/>
        <v>71470.399999999994</v>
      </c>
      <c r="E34" s="180">
        <f t="shared" si="2"/>
        <v>23881304.849999998</v>
      </c>
      <c r="F34" s="701"/>
      <c r="G34" s="180"/>
      <c r="H34" s="180">
        <f t="shared" si="9"/>
        <v>-329.86</v>
      </c>
      <c r="I34" s="180"/>
      <c r="J34" s="224">
        <f t="shared" si="6"/>
        <v>23502489.850000001</v>
      </c>
      <c r="K34" s="180">
        <f t="shared" si="7"/>
        <v>223630.00000000175</v>
      </c>
      <c r="L34" s="200">
        <f t="shared" si="8"/>
        <v>378814.99999999627</v>
      </c>
      <c r="M34" s="701"/>
    </row>
    <row r="35" spans="1:13" ht="33" customHeight="1">
      <c r="A35" s="405">
        <v>42522</v>
      </c>
      <c r="B35" s="710">
        <v>10</v>
      </c>
      <c r="C35" s="710">
        <v>2500</v>
      </c>
      <c r="D35" s="180">
        <f t="shared" si="1"/>
        <v>71480.399999999994</v>
      </c>
      <c r="E35" s="180">
        <f t="shared" si="2"/>
        <v>23883804.849999998</v>
      </c>
      <c r="F35" s="701"/>
      <c r="G35" s="180"/>
      <c r="H35" s="180">
        <f t="shared" si="9"/>
        <v>140665</v>
      </c>
      <c r="I35" s="180"/>
      <c r="J35" s="224">
        <f t="shared" si="6"/>
        <v>23502489.850000001</v>
      </c>
      <c r="K35" s="180">
        <f t="shared" si="7"/>
        <v>364295.00000000175</v>
      </c>
      <c r="L35" s="200">
        <f t="shared" si="8"/>
        <v>381314.99999999627</v>
      </c>
      <c r="M35" s="701"/>
    </row>
    <row r="36" spans="1:13" ht="33" customHeight="1">
      <c r="A36" s="405">
        <v>42644</v>
      </c>
      <c r="B36" s="710">
        <v>12</v>
      </c>
      <c r="C36" s="710">
        <v>3480</v>
      </c>
      <c r="D36" s="180">
        <f t="shared" si="1"/>
        <v>71492.399999999994</v>
      </c>
      <c r="E36" s="180">
        <f t="shared" si="2"/>
        <v>23887284.849999998</v>
      </c>
      <c r="F36" s="701"/>
      <c r="G36" s="180"/>
      <c r="H36" s="180">
        <f t="shared" si="9"/>
        <v>2500</v>
      </c>
      <c r="I36" s="180">
        <v>343165</v>
      </c>
      <c r="J36" s="224">
        <f t="shared" si="6"/>
        <v>23845654.850000001</v>
      </c>
      <c r="K36" s="180">
        <f t="shared" si="7"/>
        <v>23630.000000001746</v>
      </c>
      <c r="L36" s="200">
        <f t="shared" si="8"/>
        <v>41629.999999996275</v>
      </c>
      <c r="M36" s="701" t="s">
        <v>3456</v>
      </c>
    </row>
    <row r="37" spans="1:13" ht="33" customHeight="1">
      <c r="A37" s="405"/>
      <c r="B37" s="710"/>
      <c r="C37" s="710"/>
      <c r="D37" s="180"/>
      <c r="E37" s="180"/>
      <c r="F37" s="701"/>
      <c r="G37" s="180"/>
      <c r="H37" s="180">
        <f t="shared" si="9"/>
        <v>3480</v>
      </c>
      <c r="I37" s="180"/>
      <c r="J37" s="180"/>
      <c r="K37" s="180">
        <f t="shared" si="7"/>
        <v>27110.000000001746</v>
      </c>
      <c r="L37" s="180"/>
      <c r="M37" s="701"/>
    </row>
    <row r="38" spans="1:13" ht="33" customHeight="1">
      <c r="A38" s="405"/>
      <c r="B38" s="710"/>
      <c r="C38" s="710"/>
      <c r="D38" s="180"/>
      <c r="E38" s="180"/>
      <c r="F38" s="701"/>
      <c r="G38" s="180"/>
      <c r="H38" s="180"/>
      <c r="I38" s="180"/>
      <c r="J38" s="180"/>
      <c r="K38" s="180"/>
      <c r="L38" s="180"/>
      <c r="M38" s="701"/>
    </row>
    <row r="39" spans="1:13" ht="33" customHeight="1">
      <c r="A39" s="405"/>
      <c r="B39" s="710"/>
      <c r="C39" s="710"/>
      <c r="D39" s="180"/>
      <c r="E39" s="180"/>
      <c r="F39" s="701"/>
      <c r="G39" s="180"/>
      <c r="H39" s="180"/>
      <c r="I39" s="180"/>
      <c r="J39" s="180"/>
      <c r="K39" s="180"/>
      <c r="L39" s="180"/>
      <c r="M39" s="701"/>
    </row>
    <row r="40" spans="1:13" ht="33" customHeight="1">
      <c r="A40" s="405"/>
      <c r="B40" s="180"/>
      <c r="C40" s="442"/>
      <c r="D40" s="180"/>
      <c r="E40" s="180"/>
      <c r="F40" s="701"/>
      <c r="G40" s="180"/>
      <c r="H40" s="180"/>
      <c r="I40" s="180"/>
      <c r="J40" s="180"/>
      <c r="K40" s="180"/>
      <c r="L40" s="180"/>
      <c r="M40" s="701"/>
    </row>
  </sheetData>
  <mergeCells count="12">
    <mergeCell ref="B2:C2"/>
    <mergeCell ref="E2:H2"/>
    <mergeCell ref="B3:C3"/>
    <mergeCell ref="B4:E4"/>
    <mergeCell ref="B5:D5"/>
    <mergeCell ref="E5:G5"/>
    <mergeCell ref="J5:M5"/>
    <mergeCell ref="I1:I2"/>
    <mergeCell ref="M1:M2"/>
    <mergeCell ref="J1:L2"/>
    <mergeCell ref="D1:F1"/>
    <mergeCell ref="G1:H1"/>
  </mergeCells>
  <phoneticPr fontId="84" type="noConversion"/>
  <pageMargins left="0.75" right="0.75" top="1" bottom="1" header="0.51" footer="0.51"/>
  <pageSetup paperSize="9" orientation="portrait" verticalDpi="200"/>
  <headerFooter scaleWithDoc="0" alignWithMargins="0"/>
  <drawing r:id="rId1"/>
  <legacyDrawing r:id="rId2"/>
</worksheet>
</file>

<file path=xl/worksheets/sheet1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4"/>
  <sheetViews>
    <sheetView topLeftCell="A37" zoomScaleSheetLayoutView="100" workbookViewId="0">
      <selection activeCell="A43" sqref="A43"/>
    </sheetView>
  </sheetViews>
  <sheetFormatPr defaultColWidth="9" defaultRowHeight="14.25"/>
  <cols>
    <col min="1" max="1" width="14.75" customWidth="1"/>
    <col min="2" max="2" width="12.875" customWidth="1"/>
    <col min="3" max="3" width="17.625" customWidth="1"/>
    <col min="4" max="4" width="14.25" customWidth="1"/>
    <col min="5" max="5" width="15.625" customWidth="1"/>
    <col min="6" max="6" width="17.25" customWidth="1"/>
    <col min="7" max="7" width="12.875" bestFit="1" customWidth="1"/>
    <col min="8" max="8" width="16.625" customWidth="1"/>
    <col min="9" max="10" width="13.625" customWidth="1"/>
    <col min="11" max="11" width="15.375" customWidth="1"/>
    <col min="12" max="12" width="15" customWidth="1"/>
    <col min="13" max="13" width="38.125" customWidth="1"/>
  </cols>
  <sheetData>
    <row r="1" spans="1:13" ht="110.1" customHeight="1">
      <c r="A1" s="349"/>
      <c r="B1" s="350"/>
      <c r="C1" s="377" t="s">
        <v>3457</v>
      </c>
      <c r="D1" s="2112" t="s">
        <v>3367</v>
      </c>
      <c r="E1" s="2112"/>
      <c r="F1" s="2112"/>
      <c r="G1" s="2113"/>
      <c r="H1" s="2113"/>
      <c r="I1" s="134" t="s">
        <v>560</v>
      </c>
      <c r="J1" s="2080" t="s">
        <v>3458</v>
      </c>
      <c r="K1" s="2080"/>
      <c r="L1" s="2080"/>
      <c r="M1" s="680" t="s">
        <v>3459</v>
      </c>
    </row>
    <row r="2" spans="1:13" ht="41.1" customHeight="1">
      <c r="A2" s="133" t="s">
        <v>240</v>
      </c>
      <c r="B2" s="1682" t="s">
        <v>3460</v>
      </c>
      <c r="C2" s="1682"/>
      <c r="D2" s="134" t="s">
        <v>242</v>
      </c>
      <c r="E2" s="1689"/>
      <c r="F2" s="1689"/>
      <c r="G2" s="1689"/>
      <c r="H2" s="1689"/>
      <c r="I2" s="166" t="s">
        <v>243</v>
      </c>
      <c r="J2" s="166"/>
      <c r="K2" s="310"/>
      <c r="L2" s="166" t="s">
        <v>245</v>
      </c>
      <c r="M2" s="167" t="s">
        <v>1966</v>
      </c>
    </row>
    <row r="3" spans="1:13" ht="39" customHeight="1">
      <c r="A3" s="133" t="s">
        <v>247</v>
      </c>
      <c r="B3" s="1682" t="s">
        <v>3461</v>
      </c>
      <c r="C3" s="1682"/>
      <c r="D3" s="134" t="s">
        <v>249</v>
      </c>
      <c r="E3" s="136"/>
      <c r="F3" s="134" t="s">
        <v>251</v>
      </c>
      <c r="G3" s="134"/>
      <c r="H3" s="134" t="s">
        <v>252</v>
      </c>
      <c r="I3" s="134"/>
      <c r="J3" s="15" t="s">
        <v>565</v>
      </c>
      <c r="K3" s="15"/>
      <c r="L3" s="15" t="s">
        <v>255</v>
      </c>
      <c r="M3" s="207"/>
    </row>
    <row r="4" spans="1:13" ht="57.95" customHeight="1">
      <c r="A4" s="133" t="s">
        <v>260</v>
      </c>
      <c r="B4" s="2045" t="s">
        <v>3462</v>
      </c>
      <c r="C4" s="2046"/>
      <c r="D4" s="2046"/>
      <c r="E4" s="1690" t="s">
        <v>3463</v>
      </c>
      <c r="F4" s="1690"/>
      <c r="G4" s="2045"/>
      <c r="H4" s="2046"/>
      <c r="I4" s="2097"/>
      <c r="J4" s="1697"/>
      <c r="K4" s="1697"/>
      <c r="L4" s="1697"/>
      <c r="M4" s="1846"/>
    </row>
    <row r="5" spans="1:13" ht="30.75">
      <c r="A5" s="357" t="s">
        <v>266</v>
      </c>
      <c r="B5" s="20" t="s">
        <v>267</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41852</v>
      </c>
      <c r="B6" s="200">
        <v>17</v>
      </c>
      <c r="C6" s="200">
        <v>5750</v>
      </c>
      <c r="D6" s="200">
        <f>B6</f>
        <v>17</v>
      </c>
      <c r="E6" s="200">
        <f>C6</f>
        <v>5750</v>
      </c>
      <c r="F6" s="200"/>
      <c r="G6" s="180">
        <f>C6</f>
        <v>5750</v>
      </c>
      <c r="H6" s="201"/>
      <c r="I6" s="200"/>
      <c r="J6" s="200"/>
      <c r="K6" s="200"/>
      <c r="L6" s="200">
        <f t="shared" ref="L6:L42" si="0">E6-J6</f>
        <v>5750</v>
      </c>
      <c r="M6" s="681"/>
    </row>
    <row r="7" spans="1:13" ht="29.1" customHeight="1">
      <c r="A7" s="676">
        <v>41883</v>
      </c>
      <c r="B7" s="200">
        <v>1024</v>
      </c>
      <c r="C7" s="200">
        <v>365000.5</v>
      </c>
      <c r="D7" s="200">
        <f t="shared" ref="D7:D42" si="1">D6+B7</f>
        <v>1041</v>
      </c>
      <c r="E7" s="200">
        <f t="shared" ref="E7:E42" si="2">E6+C7</f>
        <v>370750.5</v>
      </c>
      <c r="F7" s="200"/>
      <c r="G7" s="180">
        <f>C6*0.1</f>
        <v>575</v>
      </c>
      <c r="H7" s="201"/>
      <c r="I7" s="200"/>
      <c r="J7" s="200"/>
      <c r="K7" s="200"/>
      <c r="L7" s="200">
        <f t="shared" si="0"/>
        <v>370750.5</v>
      </c>
      <c r="M7" s="681"/>
    </row>
    <row r="8" spans="1:13" ht="29.1" customHeight="1">
      <c r="A8" s="324">
        <v>41913</v>
      </c>
      <c r="B8" s="180">
        <v>535</v>
      </c>
      <c r="C8" s="180">
        <v>275212</v>
      </c>
      <c r="D8" s="200">
        <f t="shared" si="1"/>
        <v>1576</v>
      </c>
      <c r="E8" s="200">
        <f t="shared" si="2"/>
        <v>645962.5</v>
      </c>
      <c r="F8" s="180"/>
      <c r="G8" s="180">
        <f>E7*0.1</f>
        <v>37075.050000000003</v>
      </c>
      <c r="H8" s="180">
        <f t="shared" ref="H8:H34" si="3">C6*0.9</f>
        <v>5175</v>
      </c>
      <c r="I8" s="180"/>
      <c r="J8" s="180"/>
      <c r="K8" s="180">
        <f t="shared" ref="K8:K43" si="4">K7+H8-I8</f>
        <v>5175</v>
      </c>
      <c r="L8" s="200">
        <f t="shared" si="0"/>
        <v>645962.5</v>
      </c>
      <c r="M8" s="682"/>
    </row>
    <row r="9" spans="1:13" ht="29.1" customHeight="1">
      <c r="A9" s="676">
        <v>41944</v>
      </c>
      <c r="B9" s="180">
        <v>1571.5</v>
      </c>
      <c r="C9" s="180">
        <v>940996.5</v>
      </c>
      <c r="D9" s="200">
        <f t="shared" si="1"/>
        <v>3147.5</v>
      </c>
      <c r="E9" s="200">
        <f t="shared" si="2"/>
        <v>1586959</v>
      </c>
      <c r="F9" s="180"/>
      <c r="G9" s="180">
        <f>E8*0.1</f>
        <v>64596.25</v>
      </c>
      <c r="H9" s="180">
        <f t="shared" si="3"/>
        <v>328500.45</v>
      </c>
      <c r="I9" s="180">
        <v>268040</v>
      </c>
      <c r="J9" s="251">
        <f>I9</f>
        <v>268040</v>
      </c>
      <c r="K9" s="180">
        <f t="shared" si="4"/>
        <v>65635.450000000012</v>
      </c>
      <c r="L9" s="211">
        <f t="shared" si="0"/>
        <v>1318919</v>
      </c>
      <c r="M9" s="682" t="s">
        <v>3464</v>
      </c>
    </row>
    <row r="10" spans="1:13" ht="29.1" customHeight="1">
      <c r="A10" s="324">
        <v>41974</v>
      </c>
      <c r="B10" s="180">
        <v>2800</v>
      </c>
      <c r="C10" s="180">
        <v>1477493</v>
      </c>
      <c r="D10" s="200">
        <f t="shared" si="1"/>
        <v>5947.5</v>
      </c>
      <c r="E10" s="200">
        <f t="shared" si="2"/>
        <v>3064452</v>
      </c>
      <c r="F10" s="180"/>
      <c r="G10" s="180">
        <f t="shared" ref="G10:G34" si="5">E9*0.1+C10</f>
        <v>1636188.9</v>
      </c>
      <c r="H10" s="180">
        <f t="shared" si="3"/>
        <v>247690.80000000002</v>
      </c>
      <c r="I10" s="695"/>
      <c r="J10" s="180">
        <f t="shared" ref="J10:J42" si="6">J9+I10</f>
        <v>268040</v>
      </c>
      <c r="K10" s="180">
        <f t="shared" si="4"/>
        <v>313326.25</v>
      </c>
      <c r="L10" s="200">
        <f t="shared" si="0"/>
        <v>2796412</v>
      </c>
      <c r="M10" s="696"/>
    </row>
    <row r="11" spans="1:13" ht="29.1" customHeight="1">
      <c r="A11" s="439">
        <v>42005</v>
      </c>
      <c r="B11" s="340">
        <v>2213.5</v>
      </c>
      <c r="C11" s="340">
        <v>982370.5</v>
      </c>
      <c r="D11" s="200">
        <f t="shared" si="1"/>
        <v>8161</v>
      </c>
      <c r="E11" s="200">
        <f t="shared" si="2"/>
        <v>4046822.5</v>
      </c>
      <c r="F11" s="180"/>
      <c r="G11" s="180">
        <f t="shared" si="5"/>
        <v>1288815.7</v>
      </c>
      <c r="H11" s="180">
        <f t="shared" si="3"/>
        <v>846896.85</v>
      </c>
      <c r="I11" s="697"/>
      <c r="J11" s="180">
        <f t="shared" si="6"/>
        <v>268040</v>
      </c>
      <c r="K11" s="180">
        <f t="shared" si="4"/>
        <v>1160223.1000000001</v>
      </c>
      <c r="L11" s="200">
        <f t="shared" si="0"/>
        <v>3778782.5</v>
      </c>
      <c r="M11" s="698"/>
    </row>
    <row r="12" spans="1:13" ht="29.1" customHeight="1">
      <c r="A12" s="439">
        <v>42037</v>
      </c>
      <c r="B12" s="340">
        <v>799</v>
      </c>
      <c r="C12" s="340">
        <v>438161</v>
      </c>
      <c r="D12" s="200">
        <f t="shared" si="1"/>
        <v>8960</v>
      </c>
      <c r="E12" s="200">
        <f t="shared" si="2"/>
        <v>4484983.5</v>
      </c>
      <c r="F12" s="180"/>
      <c r="G12" s="180">
        <f t="shared" si="5"/>
        <v>842843.25</v>
      </c>
      <c r="H12" s="695">
        <f t="shared" si="3"/>
        <v>1329743.7</v>
      </c>
      <c r="I12" s="180">
        <f>260406+1695389</f>
        <v>1955795</v>
      </c>
      <c r="J12" s="180">
        <f t="shared" si="6"/>
        <v>2223835</v>
      </c>
      <c r="K12" s="180">
        <f t="shared" si="4"/>
        <v>534171.79999999981</v>
      </c>
      <c r="L12" s="200">
        <f t="shared" si="0"/>
        <v>2261148.5</v>
      </c>
      <c r="M12" s="698" t="s">
        <v>3465</v>
      </c>
    </row>
    <row r="13" spans="1:13" ht="29.1" customHeight="1">
      <c r="A13" s="439">
        <v>42069</v>
      </c>
      <c r="B13" s="340">
        <v>2104.5</v>
      </c>
      <c r="C13" s="340">
        <v>941255.5</v>
      </c>
      <c r="D13" s="200">
        <f t="shared" si="1"/>
        <v>11064.5</v>
      </c>
      <c r="E13" s="200">
        <f t="shared" si="2"/>
        <v>5426239</v>
      </c>
      <c r="F13" s="180"/>
      <c r="G13" s="180">
        <f t="shared" si="5"/>
        <v>1389753.85</v>
      </c>
      <c r="H13" s="695">
        <f t="shared" si="3"/>
        <v>884133.45000000007</v>
      </c>
      <c r="I13" s="180"/>
      <c r="J13" s="180">
        <f t="shared" si="6"/>
        <v>2223835</v>
      </c>
      <c r="K13" s="180">
        <f t="shared" si="4"/>
        <v>1418305.25</v>
      </c>
      <c r="L13" s="200">
        <f t="shared" si="0"/>
        <v>3202404</v>
      </c>
      <c r="M13" s="682"/>
    </row>
    <row r="14" spans="1:13" ht="29.1" customHeight="1">
      <c r="A14" s="439">
        <v>42100</v>
      </c>
      <c r="B14" s="180">
        <v>2829</v>
      </c>
      <c r="C14" s="340">
        <v>1287209</v>
      </c>
      <c r="D14" s="200">
        <f t="shared" si="1"/>
        <v>13893.5</v>
      </c>
      <c r="E14" s="200">
        <f t="shared" si="2"/>
        <v>6713448</v>
      </c>
      <c r="F14" s="180"/>
      <c r="G14" s="180">
        <f t="shared" si="5"/>
        <v>1829832.9</v>
      </c>
      <c r="H14" s="695">
        <f t="shared" si="3"/>
        <v>394344.9</v>
      </c>
      <c r="I14" s="180"/>
      <c r="J14" s="180">
        <f t="shared" si="6"/>
        <v>2223835</v>
      </c>
      <c r="K14" s="180">
        <f t="shared" si="4"/>
        <v>1812650.15</v>
      </c>
      <c r="L14" s="200">
        <f t="shared" si="0"/>
        <v>4489613</v>
      </c>
      <c r="M14" s="412"/>
    </row>
    <row r="15" spans="1:13" ht="29.1" customHeight="1">
      <c r="A15" s="405">
        <v>42125</v>
      </c>
      <c r="B15" s="180">
        <v>2600.5</v>
      </c>
      <c r="C15" s="180">
        <v>1129204</v>
      </c>
      <c r="D15" s="200">
        <f t="shared" si="1"/>
        <v>16494</v>
      </c>
      <c r="E15" s="200">
        <f t="shared" si="2"/>
        <v>7842652</v>
      </c>
      <c r="F15" s="180"/>
      <c r="G15" s="180">
        <f t="shared" si="5"/>
        <v>1800548.8</v>
      </c>
      <c r="H15" s="695">
        <f t="shared" si="3"/>
        <v>847129.95000000007</v>
      </c>
      <c r="I15" s="180">
        <v>1961451.5</v>
      </c>
      <c r="J15" s="180">
        <f t="shared" si="6"/>
        <v>4185286.5</v>
      </c>
      <c r="K15" s="180">
        <f t="shared" si="4"/>
        <v>698328.60000000009</v>
      </c>
      <c r="L15" s="200">
        <f t="shared" si="0"/>
        <v>3657365.5</v>
      </c>
      <c r="M15" s="412" t="s">
        <v>3466</v>
      </c>
    </row>
    <row r="16" spans="1:13" ht="29.1" customHeight="1">
      <c r="A16" s="405">
        <v>42156</v>
      </c>
      <c r="B16" s="180">
        <v>2579</v>
      </c>
      <c r="C16" s="180">
        <v>1065320</v>
      </c>
      <c r="D16" s="200">
        <f t="shared" si="1"/>
        <v>19073</v>
      </c>
      <c r="E16" s="200">
        <f t="shared" si="2"/>
        <v>8907972</v>
      </c>
      <c r="F16" s="180"/>
      <c r="G16" s="180">
        <f t="shared" si="5"/>
        <v>1849585.2000000002</v>
      </c>
      <c r="H16" s="695">
        <f t="shared" si="3"/>
        <v>1158488.1000000001</v>
      </c>
      <c r="I16" s="180"/>
      <c r="J16" s="180">
        <f t="shared" si="6"/>
        <v>4185286.5</v>
      </c>
      <c r="K16" s="180">
        <f t="shared" si="4"/>
        <v>1856816.7000000002</v>
      </c>
      <c r="L16" s="200">
        <f t="shared" si="0"/>
        <v>4722685.5</v>
      </c>
      <c r="M16" s="412"/>
    </row>
    <row r="17" spans="1:13" ht="29.1" customHeight="1">
      <c r="A17" s="405">
        <v>42186</v>
      </c>
      <c r="B17" s="180">
        <v>2597.5</v>
      </c>
      <c r="C17" s="180">
        <v>1107033.5</v>
      </c>
      <c r="D17" s="200">
        <f t="shared" si="1"/>
        <v>21670.5</v>
      </c>
      <c r="E17" s="200">
        <f t="shared" si="2"/>
        <v>10015005.5</v>
      </c>
      <c r="F17" s="180"/>
      <c r="G17" s="180">
        <f t="shared" si="5"/>
        <v>1997830.7000000002</v>
      </c>
      <c r="H17" s="695">
        <f t="shared" si="3"/>
        <v>1016283.6</v>
      </c>
      <c r="I17" s="180">
        <f>740383+1274959.5</f>
        <v>2015342.5</v>
      </c>
      <c r="J17" s="180">
        <f t="shared" si="6"/>
        <v>6200629</v>
      </c>
      <c r="K17" s="180">
        <f t="shared" si="4"/>
        <v>857757.80000000028</v>
      </c>
      <c r="L17" s="200">
        <f t="shared" si="0"/>
        <v>3814376.5</v>
      </c>
      <c r="M17" s="412" t="s">
        <v>3467</v>
      </c>
    </row>
    <row r="18" spans="1:13" ht="29.1" customHeight="1">
      <c r="A18" s="405">
        <v>42217</v>
      </c>
      <c r="B18" s="180">
        <v>1971</v>
      </c>
      <c r="C18" s="180">
        <v>803324</v>
      </c>
      <c r="D18" s="200">
        <f t="shared" si="1"/>
        <v>23641.5</v>
      </c>
      <c r="E18" s="200">
        <f t="shared" si="2"/>
        <v>10818329.5</v>
      </c>
      <c r="F18" s="180"/>
      <c r="G18" s="180">
        <f t="shared" si="5"/>
        <v>1804824.55</v>
      </c>
      <c r="H18" s="695">
        <f t="shared" si="3"/>
        <v>958788</v>
      </c>
      <c r="I18" s="180"/>
      <c r="J18" s="180">
        <f t="shared" si="6"/>
        <v>6200629</v>
      </c>
      <c r="K18" s="180">
        <f t="shared" si="4"/>
        <v>1816545.8000000003</v>
      </c>
      <c r="L18" s="200">
        <f t="shared" si="0"/>
        <v>4617700.5</v>
      </c>
      <c r="M18" s="412" t="s">
        <v>3468</v>
      </c>
    </row>
    <row r="19" spans="1:13" ht="29.1" customHeight="1">
      <c r="A19" s="405">
        <v>42248</v>
      </c>
      <c r="B19" s="180">
        <v>2253</v>
      </c>
      <c r="C19" s="180">
        <v>897498</v>
      </c>
      <c r="D19" s="200">
        <f t="shared" si="1"/>
        <v>25894.5</v>
      </c>
      <c r="E19" s="200">
        <f t="shared" si="2"/>
        <v>11715827.5</v>
      </c>
      <c r="F19" s="180"/>
      <c r="G19" s="180">
        <f t="shared" si="5"/>
        <v>1979330.95</v>
      </c>
      <c r="H19" s="695">
        <f t="shared" si="3"/>
        <v>996330.15</v>
      </c>
      <c r="I19" s="180">
        <v>1033919</v>
      </c>
      <c r="J19" s="180">
        <f t="shared" si="6"/>
        <v>7234548</v>
      </c>
      <c r="K19" s="180">
        <f t="shared" si="4"/>
        <v>1778956.9500000002</v>
      </c>
      <c r="L19" s="200">
        <f t="shared" si="0"/>
        <v>4481279.5</v>
      </c>
      <c r="M19" s="412" t="s">
        <v>3469</v>
      </c>
    </row>
    <row r="20" spans="1:13" ht="29.1" customHeight="1">
      <c r="A20" s="405">
        <v>42278</v>
      </c>
      <c r="B20" s="180">
        <v>2396</v>
      </c>
      <c r="C20" s="180">
        <v>957591</v>
      </c>
      <c r="D20" s="200">
        <f t="shared" si="1"/>
        <v>28290.5</v>
      </c>
      <c r="E20" s="200">
        <f t="shared" si="2"/>
        <v>12673418.5</v>
      </c>
      <c r="F20" s="180"/>
      <c r="G20" s="180">
        <f t="shared" si="5"/>
        <v>2129173.75</v>
      </c>
      <c r="H20" s="695">
        <f t="shared" si="3"/>
        <v>722991.6</v>
      </c>
      <c r="I20" s="180">
        <v>1135163</v>
      </c>
      <c r="J20" s="180">
        <f t="shared" si="6"/>
        <v>8369711</v>
      </c>
      <c r="K20" s="180">
        <f t="shared" si="4"/>
        <v>1366785.5500000003</v>
      </c>
      <c r="L20" s="200">
        <f t="shared" si="0"/>
        <v>4303707.5</v>
      </c>
      <c r="M20" s="405" t="s">
        <v>3470</v>
      </c>
    </row>
    <row r="21" spans="1:13" ht="29.1" customHeight="1">
      <c r="A21" s="405">
        <v>42309</v>
      </c>
      <c r="B21" s="180">
        <v>1572</v>
      </c>
      <c r="C21" s="180">
        <v>557342</v>
      </c>
      <c r="D21" s="200">
        <f t="shared" si="1"/>
        <v>29862.5</v>
      </c>
      <c r="E21" s="200">
        <f t="shared" si="2"/>
        <v>13230760.5</v>
      </c>
      <c r="F21" s="180"/>
      <c r="G21" s="180">
        <f t="shared" si="5"/>
        <v>1824683.85</v>
      </c>
      <c r="H21" s="695">
        <f t="shared" si="3"/>
        <v>807748.20000000007</v>
      </c>
      <c r="I21" s="180">
        <v>1033231.5</v>
      </c>
      <c r="J21" s="180">
        <f t="shared" si="6"/>
        <v>9402942.5</v>
      </c>
      <c r="K21" s="180">
        <f t="shared" si="4"/>
        <v>1141302.2500000005</v>
      </c>
      <c r="L21" s="200">
        <f t="shared" si="0"/>
        <v>3827818</v>
      </c>
      <c r="M21" s="412"/>
    </row>
    <row r="22" spans="1:13" ht="29.1" customHeight="1">
      <c r="A22" s="405">
        <v>42339</v>
      </c>
      <c r="B22" s="180">
        <v>1986</v>
      </c>
      <c r="C22" s="180">
        <v>769518</v>
      </c>
      <c r="D22" s="200">
        <f t="shared" si="1"/>
        <v>31848.5</v>
      </c>
      <c r="E22" s="200">
        <f t="shared" si="2"/>
        <v>14000278.5</v>
      </c>
      <c r="F22" s="180"/>
      <c r="G22" s="180">
        <f t="shared" si="5"/>
        <v>2092594.05</v>
      </c>
      <c r="H22" s="695">
        <f t="shared" si="3"/>
        <v>861831.9</v>
      </c>
      <c r="I22" s="180"/>
      <c r="J22" s="180">
        <f t="shared" si="6"/>
        <v>9402942.5</v>
      </c>
      <c r="K22" s="180">
        <f t="shared" si="4"/>
        <v>2003134.1500000004</v>
      </c>
      <c r="L22" s="200">
        <f t="shared" si="0"/>
        <v>4597336</v>
      </c>
      <c r="M22" s="412" t="s">
        <v>3471</v>
      </c>
    </row>
    <row r="23" spans="1:13" ht="29.1" customHeight="1">
      <c r="A23" s="405">
        <v>42370</v>
      </c>
      <c r="B23" s="180">
        <v>1439.5</v>
      </c>
      <c r="C23" s="180">
        <v>587665</v>
      </c>
      <c r="D23" s="200">
        <f t="shared" si="1"/>
        <v>33288</v>
      </c>
      <c r="E23" s="200">
        <f t="shared" si="2"/>
        <v>14587943.5</v>
      </c>
      <c r="F23" s="180"/>
      <c r="G23" s="180">
        <f t="shared" si="5"/>
        <v>1987692.85</v>
      </c>
      <c r="H23" s="695">
        <f t="shared" si="3"/>
        <v>501607.8</v>
      </c>
      <c r="I23" s="180">
        <v>1888071</v>
      </c>
      <c r="J23" s="180">
        <f t="shared" si="6"/>
        <v>11291013.5</v>
      </c>
      <c r="K23" s="180">
        <f t="shared" si="4"/>
        <v>616670.95000000019</v>
      </c>
      <c r="L23" s="200">
        <f t="shared" si="0"/>
        <v>3296930</v>
      </c>
      <c r="M23" s="412" t="s">
        <v>3472</v>
      </c>
    </row>
    <row r="24" spans="1:13" ht="29.1" customHeight="1">
      <c r="A24" s="405">
        <v>42401</v>
      </c>
      <c r="B24" s="180">
        <v>66</v>
      </c>
      <c r="C24" s="180">
        <v>31680</v>
      </c>
      <c r="D24" s="200">
        <f t="shared" si="1"/>
        <v>33354</v>
      </c>
      <c r="E24" s="200">
        <f t="shared" si="2"/>
        <v>14619623.5</v>
      </c>
      <c r="F24" s="180"/>
      <c r="G24" s="180">
        <f t="shared" si="5"/>
        <v>1490474.35</v>
      </c>
      <c r="H24" s="695">
        <f t="shared" si="3"/>
        <v>692566.20000000007</v>
      </c>
      <c r="I24" s="180">
        <v>778466</v>
      </c>
      <c r="J24" s="180">
        <f t="shared" si="6"/>
        <v>12069479.5</v>
      </c>
      <c r="K24" s="180">
        <f t="shared" si="4"/>
        <v>530771.15000000037</v>
      </c>
      <c r="L24" s="200">
        <f t="shared" si="0"/>
        <v>2550144</v>
      </c>
      <c r="M24" s="412"/>
    </row>
    <row r="25" spans="1:13" ht="29.1" customHeight="1">
      <c r="A25" s="405">
        <v>42430</v>
      </c>
      <c r="B25" s="180">
        <v>1528</v>
      </c>
      <c r="C25" s="180">
        <v>592550</v>
      </c>
      <c r="D25" s="200">
        <f t="shared" si="1"/>
        <v>34882</v>
      </c>
      <c r="E25" s="200">
        <f t="shared" si="2"/>
        <v>15212173.5</v>
      </c>
      <c r="F25" s="180"/>
      <c r="G25" s="180">
        <f t="shared" si="5"/>
        <v>2054512.35</v>
      </c>
      <c r="H25" s="695">
        <f t="shared" si="3"/>
        <v>528898.5</v>
      </c>
      <c r="I25" s="180"/>
      <c r="J25" s="180">
        <f t="shared" si="6"/>
        <v>12069479.5</v>
      </c>
      <c r="K25" s="180">
        <f t="shared" si="4"/>
        <v>1059669.6500000004</v>
      </c>
      <c r="L25" s="200">
        <f t="shared" si="0"/>
        <v>3142694</v>
      </c>
      <c r="M25" s="412"/>
    </row>
    <row r="26" spans="1:13" ht="29.1" customHeight="1">
      <c r="A26" s="405">
        <v>42461</v>
      </c>
      <c r="B26" s="180">
        <v>1579</v>
      </c>
      <c r="C26" s="180">
        <v>550509</v>
      </c>
      <c r="D26" s="200">
        <f t="shared" si="1"/>
        <v>36461</v>
      </c>
      <c r="E26" s="200">
        <f t="shared" si="2"/>
        <v>15762682.5</v>
      </c>
      <c r="F26" s="180"/>
      <c r="G26" s="180">
        <f t="shared" si="5"/>
        <v>2071726.35</v>
      </c>
      <c r="H26" s="695">
        <f t="shared" si="3"/>
        <v>28512</v>
      </c>
      <c r="I26" s="180">
        <v>512855</v>
      </c>
      <c r="J26" s="180">
        <f t="shared" si="6"/>
        <v>12582334.5</v>
      </c>
      <c r="K26" s="180">
        <f t="shared" si="4"/>
        <v>575326.65000000037</v>
      </c>
      <c r="L26" s="200">
        <f t="shared" si="0"/>
        <v>3180348</v>
      </c>
      <c r="M26" s="412" t="s">
        <v>3473</v>
      </c>
    </row>
    <row r="27" spans="1:13" ht="29.1" customHeight="1">
      <c r="A27" s="405">
        <v>42491</v>
      </c>
      <c r="B27" s="180">
        <v>995</v>
      </c>
      <c r="C27" s="180">
        <v>369661</v>
      </c>
      <c r="D27" s="200">
        <f t="shared" si="1"/>
        <v>37456</v>
      </c>
      <c r="E27" s="200">
        <f t="shared" si="2"/>
        <v>16132343.5</v>
      </c>
      <c r="F27" s="180"/>
      <c r="G27" s="180">
        <f t="shared" si="5"/>
        <v>1945929.25</v>
      </c>
      <c r="H27" s="695">
        <f t="shared" si="3"/>
        <v>533295</v>
      </c>
      <c r="I27" s="180"/>
      <c r="J27" s="180">
        <f t="shared" si="6"/>
        <v>12582334.5</v>
      </c>
      <c r="K27" s="180">
        <f t="shared" si="4"/>
        <v>1108621.6500000004</v>
      </c>
      <c r="L27" s="200">
        <f t="shared" si="0"/>
        <v>3550009</v>
      </c>
      <c r="M27" s="412"/>
    </row>
    <row r="28" spans="1:13" ht="29.1" customHeight="1">
      <c r="A28" s="405">
        <v>42522</v>
      </c>
      <c r="B28" s="180">
        <v>310</v>
      </c>
      <c r="C28" s="180">
        <v>105995</v>
      </c>
      <c r="D28" s="200">
        <f t="shared" si="1"/>
        <v>37766</v>
      </c>
      <c r="E28" s="200">
        <f t="shared" si="2"/>
        <v>16238338.5</v>
      </c>
      <c r="F28" s="180"/>
      <c r="G28" s="180">
        <f t="shared" si="5"/>
        <v>1719229.35</v>
      </c>
      <c r="H28" s="695">
        <f t="shared" si="3"/>
        <v>495458.10000000003</v>
      </c>
      <c r="I28" s="180"/>
      <c r="J28" s="180">
        <f t="shared" si="6"/>
        <v>12582334.5</v>
      </c>
      <c r="K28" s="180">
        <f t="shared" si="4"/>
        <v>1604079.7500000005</v>
      </c>
      <c r="L28" s="200">
        <f t="shared" si="0"/>
        <v>3656004</v>
      </c>
      <c r="M28" s="412"/>
    </row>
    <row r="29" spans="1:13" ht="27" customHeight="1">
      <c r="A29" s="405">
        <v>42552</v>
      </c>
      <c r="B29" s="180">
        <v>186</v>
      </c>
      <c r="C29" s="180">
        <v>63983</v>
      </c>
      <c r="D29" s="200">
        <f t="shared" si="1"/>
        <v>37952</v>
      </c>
      <c r="E29" s="200">
        <f t="shared" si="2"/>
        <v>16302321.5</v>
      </c>
      <c r="F29" s="180"/>
      <c r="G29" s="180">
        <f t="shared" si="5"/>
        <v>1687816.85</v>
      </c>
      <c r="H29" s="695">
        <f t="shared" si="3"/>
        <v>332694.90000000002</v>
      </c>
      <c r="I29" s="180"/>
      <c r="J29" s="180">
        <f t="shared" si="6"/>
        <v>12582334.5</v>
      </c>
      <c r="K29" s="180">
        <f t="shared" si="4"/>
        <v>1936774.6500000004</v>
      </c>
      <c r="L29" s="200">
        <f t="shared" si="0"/>
        <v>3719987</v>
      </c>
      <c r="M29" s="412"/>
    </row>
    <row r="30" spans="1:13" ht="27" customHeight="1">
      <c r="A30" s="405">
        <v>42583</v>
      </c>
      <c r="B30" s="180">
        <v>227</v>
      </c>
      <c r="C30" s="180">
        <v>77911</v>
      </c>
      <c r="D30" s="200">
        <f t="shared" si="1"/>
        <v>38179</v>
      </c>
      <c r="E30" s="200">
        <f t="shared" si="2"/>
        <v>16380232.5</v>
      </c>
      <c r="F30" s="180"/>
      <c r="G30" s="180">
        <f t="shared" si="5"/>
        <v>1708143.1500000001</v>
      </c>
      <c r="H30" s="695">
        <f t="shared" si="3"/>
        <v>95395.5</v>
      </c>
      <c r="I30" s="180"/>
      <c r="J30" s="180">
        <f t="shared" si="6"/>
        <v>12582334.5</v>
      </c>
      <c r="K30" s="180">
        <f t="shared" si="4"/>
        <v>2032170.1500000004</v>
      </c>
      <c r="L30" s="200">
        <f t="shared" si="0"/>
        <v>3797898</v>
      </c>
      <c r="M30" s="412" t="s">
        <v>3474</v>
      </c>
    </row>
    <row r="31" spans="1:13" ht="27" customHeight="1">
      <c r="A31" s="405">
        <v>42614</v>
      </c>
      <c r="B31" s="180">
        <v>47.5</v>
      </c>
      <c r="C31" s="180">
        <v>17091.5</v>
      </c>
      <c r="D31" s="200">
        <f t="shared" si="1"/>
        <v>38226.5</v>
      </c>
      <c r="E31" s="200">
        <f t="shared" si="2"/>
        <v>16397324</v>
      </c>
      <c r="F31" s="180"/>
      <c r="G31" s="180">
        <f t="shared" si="5"/>
        <v>1655114.75</v>
      </c>
      <c r="H31" s="695">
        <f t="shared" si="3"/>
        <v>57584.700000000004</v>
      </c>
      <c r="I31" s="180">
        <v>710095</v>
      </c>
      <c r="J31" s="180">
        <f t="shared" si="6"/>
        <v>13292429.5</v>
      </c>
      <c r="K31" s="180">
        <f t="shared" si="4"/>
        <v>1379659.8500000003</v>
      </c>
      <c r="L31" s="200">
        <f t="shared" si="0"/>
        <v>3104894.5</v>
      </c>
      <c r="M31" s="412"/>
    </row>
    <row r="32" spans="1:13" ht="27" customHeight="1">
      <c r="A32" s="405">
        <v>42644</v>
      </c>
      <c r="B32" s="180">
        <v>121</v>
      </c>
      <c r="C32" s="180">
        <v>44617</v>
      </c>
      <c r="D32" s="200">
        <f t="shared" si="1"/>
        <v>38347.5</v>
      </c>
      <c r="E32" s="200">
        <f t="shared" si="2"/>
        <v>16441941</v>
      </c>
      <c r="F32" s="180"/>
      <c r="G32" s="180">
        <f t="shared" si="5"/>
        <v>1684349.4000000001</v>
      </c>
      <c r="H32" s="695">
        <f t="shared" si="3"/>
        <v>70119.900000000009</v>
      </c>
      <c r="I32" s="180"/>
      <c r="J32" s="180">
        <f t="shared" si="6"/>
        <v>13292429.5</v>
      </c>
      <c r="K32" s="180">
        <f t="shared" si="4"/>
        <v>1449779.7500000002</v>
      </c>
      <c r="L32" s="200">
        <f t="shared" si="0"/>
        <v>3149511.5</v>
      </c>
      <c r="M32" s="412" t="s">
        <v>3475</v>
      </c>
    </row>
    <row r="33" spans="1:13" ht="27" customHeight="1">
      <c r="A33" s="405">
        <v>42675</v>
      </c>
      <c r="B33" s="180">
        <v>184.5</v>
      </c>
      <c r="C33" s="180">
        <v>72269.5</v>
      </c>
      <c r="D33" s="200">
        <f t="shared" si="1"/>
        <v>38532</v>
      </c>
      <c r="E33" s="200">
        <f t="shared" si="2"/>
        <v>16514210.5</v>
      </c>
      <c r="F33" s="180"/>
      <c r="G33" s="180">
        <f t="shared" si="5"/>
        <v>1716463.6</v>
      </c>
      <c r="H33" s="695">
        <f t="shared" si="3"/>
        <v>15382.35</v>
      </c>
      <c r="I33" s="180"/>
      <c r="J33" s="180">
        <f t="shared" si="6"/>
        <v>13292429.5</v>
      </c>
      <c r="K33" s="180">
        <f t="shared" si="4"/>
        <v>1465162.1000000003</v>
      </c>
      <c r="L33" s="200">
        <f t="shared" si="0"/>
        <v>3221781</v>
      </c>
      <c r="M33" s="412"/>
    </row>
    <row r="34" spans="1:13" ht="29.1" customHeight="1">
      <c r="A34" s="405">
        <v>42705</v>
      </c>
      <c r="B34" s="180">
        <v>268</v>
      </c>
      <c r="C34" s="180">
        <v>97118</v>
      </c>
      <c r="D34" s="200">
        <f t="shared" si="1"/>
        <v>38800</v>
      </c>
      <c r="E34" s="200">
        <f t="shared" si="2"/>
        <v>16611328.5</v>
      </c>
      <c r="F34" s="180"/>
      <c r="G34" s="180">
        <f t="shared" si="5"/>
        <v>1748539.05</v>
      </c>
      <c r="H34" s="695">
        <f t="shared" si="3"/>
        <v>40155.300000000003</v>
      </c>
      <c r="I34" s="180">
        <v>1607675</v>
      </c>
      <c r="J34" s="180">
        <f t="shared" si="6"/>
        <v>14900104.5</v>
      </c>
      <c r="K34" s="180">
        <f t="shared" si="4"/>
        <v>-102357.59999999963</v>
      </c>
      <c r="L34" s="200">
        <f t="shared" si="0"/>
        <v>1711224</v>
      </c>
      <c r="M34" s="412" t="s">
        <v>3476</v>
      </c>
    </row>
    <row r="35" spans="1:13" ht="29.1" customHeight="1">
      <c r="A35" s="405">
        <v>42736</v>
      </c>
      <c r="B35" s="180">
        <v>101.5</v>
      </c>
      <c r="C35" s="180">
        <v>38197</v>
      </c>
      <c r="D35" s="200">
        <f t="shared" si="1"/>
        <v>38901.5</v>
      </c>
      <c r="E35" s="200">
        <f t="shared" si="2"/>
        <v>16649525.5</v>
      </c>
      <c r="F35" s="180"/>
      <c r="G35" s="180">
        <f t="shared" ref="G35:G42" si="7">C35</f>
        <v>38197</v>
      </c>
      <c r="H35" s="695">
        <f>C33+E32*0.1</f>
        <v>1716463.6</v>
      </c>
      <c r="I35" s="180">
        <v>836396</v>
      </c>
      <c r="J35" s="180">
        <f t="shared" si="6"/>
        <v>15736500.5</v>
      </c>
      <c r="K35" s="180">
        <f t="shared" si="4"/>
        <v>777710.00000000047</v>
      </c>
      <c r="L35" s="200">
        <f t="shared" si="0"/>
        <v>913025</v>
      </c>
      <c r="M35" s="412"/>
    </row>
    <row r="36" spans="1:13" ht="29.1" customHeight="1">
      <c r="A36" s="405">
        <v>42767</v>
      </c>
      <c r="B36" s="180">
        <v>28.5</v>
      </c>
      <c r="C36" s="180">
        <v>9435</v>
      </c>
      <c r="D36" s="200">
        <f t="shared" si="1"/>
        <v>38930</v>
      </c>
      <c r="E36" s="200">
        <f t="shared" si="2"/>
        <v>16658960.5</v>
      </c>
      <c r="F36" s="180"/>
      <c r="G36" s="180">
        <f t="shared" si="7"/>
        <v>9435</v>
      </c>
      <c r="H36" s="695">
        <f t="shared" ref="H36:H43" si="8">C34</f>
        <v>97118</v>
      </c>
      <c r="I36" s="180">
        <v>171277.5</v>
      </c>
      <c r="J36" s="180">
        <f t="shared" si="6"/>
        <v>15907778</v>
      </c>
      <c r="K36" s="180">
        <f t="shared" si="4"/>
        <v>703550.50000000047</v>
      </c>
      <c r="L36" s="200">
        <f t="shared" si="0"/>
        <v>751182.5</v>
      </c>
      <c r="M36" s="412" t="s">
        <v>3477</v>
      </c>
    </row>
    <row r="37" spans="1:13" ht="29.1" customHeight="1">
      <c r="A37" s="405">
        <v>42795</v>
      </c>
      <c r="B37" s="180">
        <v>615.5</v>
      </c>
      <c r="C37" s="180">
        <v>217887</v>
      </c>
      <c r="D37" s="200">
        <f t="shared" si="1"/>
        <v>39545.5</v>
      </c>
      <c r="E37" s="200">
        <f t="shared" si="2"/>
        <v>16876847.5</v>
      </c>
      <c r="F37" s="180"/>
      <c r="G37" s="180">
        <f t="shared" si="7"/>
        <v>217887</v>
      </c>
      <c r="H37" s="695">
        <f t="shared" si="8"/>
        <v>38197</v>
      </c>
      <c r="I37" s="180"/>
      <c r="J37" s="180">
        <f t="shared" si="6"/>
        <v>15907778</v>
      </c>
      <c r="K37" s="180">
        <f t="shared" si="4"/>
        <v>741747.50000000047</v>
      </c>
      <c r="L37" s="200">
        <f t="shared" si="0"/>
        <v>969069.5</v>
      </c>
      <c r="M37" s="412"/>
    </row>
    <row r="38" spans="1:13" ht="29.1" customHeight="1">
      <c r="A38" s="405">
        <v>42826</v>
      </c>
      <c r="B38" s="180">
        <v>721.5</v>
      </c>
      <c r="C38" s="180">
        <v>259288.5</v>
      </c>
      <c r="D38" s="200">
        <f t="shared" si="1"/>
        <v>40267</v>
      </c>
      <c r="E38" s="200">
        <f t="shared" si="2"/>
        <v>17136136</v>
      </c>
      <c r="F38" s="180"/>
      <c r="G38" s="180">
        <f t="shared" si="7"/>
        <v>259288.5</v>
      </c>
      <c r="H38" s="695">
        <f t="shared" si="8"/>
        <v>9435</v>
      </c>
      <c r="I38" s="180">
        <v>441262.5</v>
      </c>
      <c r="J38" s="180">
        <f t="shared" si="6"/>
        <v>16349040.5</v>
      </c>
      <c r="K38" s="180">
        <f t="shared" si="4"/>
        <v>309920.00000000047</v>
      </c>
      <c r="L38" s="200">
        <f t="shared" si="0"/>
        <v>787095.5</v>
      </c>
      <c r="M38" s="412" t="s">
        <v>3478</v>
      </c>
    </row>
    <row r="39" spans="1:13" ht="29.1" customHeight="1">
      <c r="A39" s="405">
        <v>42856</v>
      </c>
      <c r="B39" s="180">
        <v>610</v>
      </c>
      <c r="C39" s="180">
        <v>219129</v>
      </c>
      <c r="D39" s="200">
        <f t="shared" si="1"/>
        <v>40877</v>
      </c>
      <c r="E39" s="200">
        <f t="shared" si="2"/>
        <v>17355265</v>
      </c>
      <c r="F39" s="180"/>
      <c r="G39" s="180">
        <f t="shared" si="7"/>
        <v>219129</v>
      </c>
      <c r="H39" s="695">
        <f t="shared" si="8"/>
        <v>217887</v>
      </c>
      <c r="I39" s="180"/>
      <c r="J39" s="180">
        <f t="shared" si="6"/>
        <v>16349040.5</v>
      </c>
      <c r="K39" s="180">
        <f t="shared" si="4"/>
        <v>527807.00000000047</v>
      </c>
      <c r="L39" s="200">
        <f t="shared" si="0"/>
        <v>1006224.5</v>
      </c>
      <c r="M39" s="412"/>
    </row>
    <row r="40" spans="1:13" ht="29.1" customHeight="1">
      <c r="A40" s="405">
        <v>42887</v>
      </c>
      <c r="B40" s="180">
        <v>486.5</v>
      </c>
      <c r="C40" s="180">
        <v>183407</v>
      </c>
      <c r="D40" s="200">
        <f t="shared" si="1"/>
        <v>41363.5</v>
      </c>
      <c r="E40" s="200">
        <f t="shared" si="2"/>
        <v>17538672</v>
      </c>
      <c r="F40" s="180"/>
      <c r="G40" s="180">
        <f t="shared" si="7"/>
        <v>183407</v>
      </c>
      <c r="H40" s="695">
        <f t="shared" si="8"/>
        <v>259288.5</v>
      </c>
      <c r="I40" s="180"/>
      <c r="J40" s="180">
        <f t="shared" si="6"/>
        <v>16349040.5</v>
      </c>
      <c r="K40" s="180">
        <f t="shared" si="4"/>
        <v>787095.50000000047</v>
      </c>
      <c r="L40" s="200">
        <f t="shared" si="0"/>
        <v>1189631.5</v>
      </c>
      <c r="M40" s="412" t="s">
        <v>3479</v>
      </c>
    </row>
    <row r="41" spans="1:13" ht="29.1" customHeight="1">
      <c r="A41" s="405">
        <v>42917</v>
      </c>
      <c r="B41" s="180">
        <v>117</v>
      </c>
      <c r="C41" s="180">
        <v>38182</v>
      </c>
      <c r="D41" s="200">
        <f t="shared" si="1"/>
        <v>41480.5</v>
      </c>
      <c r="E41" s="200">
        <f t="shared" si="2"/>
        <v>17576854</v>
      </c>
      <c r="F41" s="180"/>
      <c r="G41" s="180">
        <f t="shared" si="7"/>
        <v>38182</v>
      </c>
      <c r="H41" s="695">
        <f t="shared" si="8"/>
        <v>219129</v>
      </c>
      <c r="I41" s="180">
        <v>199782.5</v>
      </c>
      <c r="J41" s="180">
        <f t="shared" si="6"/>
        <v>16548823</v>
      </c>
      <c r="K41" s="180">
        <f t="shared" si="4"/>
        <v>806442.00000000047</v>
      </c>
      <c r="L41" s="200">
        <f t="shared" si="0"/>
        <v>1028031</v>
      </c>
      <c r="M41" s="412"/>
    </row>
    <row r="42" spans="1:13" ht="29.1" customHeight="1">
      <c r="A42" s="405">
        <v>42948</v>
      </c>
      <c r="B42" s="180">
        <v>1221.5</v>
      </c>
      <c r="C42" s="180">
        <f>B42*300</f>
        <v>366450</v>
      </c>
      <c r="D42" s="200">
        <f t="shared" si="1"/>
        <v>42702</v>
      </c>
      <c r="E42" s="200">
        <f t="shared" si="2"/>
        <v>17943304</v>
      </c>
      <c r="F42" s="180"/>
      <c r="G42" s="180">
        <f t="shared" si="7"/>
        <v>366450</v>
      </c>
      <c r="H42" s="695">
        <f t="shared" si="8"/>
        <v>183407</v>
      </c>
      <c r="I42" s="180"/>
      <c r="J42" s="180">
        <f t="shared" si="6"/>
        <v>16548823</v>
      </c>
      <c r="K42" s="180">
        <f t="shared" si="4"/>
        <v>989849.00000000047</v>
      </c>
      <c r="L42" s="200">
        <f t="shared" si="0"/>
        <v>1394481</v>
      </c>
      <c r="M42" s="412"/>
    </row>
    <row r="43" spans="1:13" ht="29.1" customHeight="1">
      <c r="A43" s="405"/>
      <c r="B43" s="180"/>
      <c r="C43" s="180"/>
      <c r="D43" s="180"/>
      <c r="E43" s="180"/>
      <c r="F43" s="180"/>
      <c r="G43" s="180"/>
      <c r="H43" s="695">
        <f t="shared" si="8"/>
        <v>38182</v>
      </c>
      <c r="I43" s="180"/>
      <c r="J43" s="180"/>
      <c r="K43" s="180">
        <f t="shared" si="4"/>
        <v>1028031.0000000005</v>
      </c>
      <c r="L43" s="180"/>
      <c r="M43" s="412"/>
    </row>
    <row r="44" spans="1:13" ht="29.1" customHeight="1">
      <c r="A44" s="405"/>
      <c r="B44" s="180"/>
      <c r="C44" s="180"/>
      <c r="D44" s="180"/>
      <c r="E44" s="180"/>
      <c r="F44" s="180"/>
      <c r="G44" s="180"/>
      <c r="H44" s="180"/>
      <c r="I44" s="180"/>
      <c r="J44" s="180"/>
      <c r="K44" s="180"/>
      <c r="L44" s="180"/>
      <c r="M44" s="412"/>
    </row>
  </sheetData>
  <mergeCells count="10">
    <mergeCell ref="B4:D4"/>
    <mergeCell ref="E4:F4"/>
    <mergeCell ref="G4:I4"/>
    <mergeCell ref="J4:M4"/>
    <mergeCell ref="D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1"/>
  <sheetViews>
    <sheetView topLeftCell="A10" zoomScaleSheetLayoutView="100" workbookViewId="0"/>
  </sheetViews>
  <sheetFormatPr defaultColWidth="9" defaultRowHeight="14.25"/>
  <cols>
    <col min="1" max="1" width="14.75" customWidth="1"/>
    <col min="2" max="2" width="12.875" customWidth="1"/>
    <col min="3" max="3" width="20.375" customWidth="1"/>
    <col min="4" max="4" width="16.75" customWidth="1"/>
    <col min="5" max="5" width="18.25" customWidth="1"/>
    <col min="6" max="6" width="17.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3480</v>
      </c>
      <c r="B1" s="350"/>
      <c r="C1" s="377" t="s">
        <v>3481</v>
      </c>
      <c r="D1" s="413" t="s">
        <v>3367</v>
      </c>
      <c r="E1" s="413"/>
      <c r="F1" s="413" t="s">
        <v>1561</v>
      </c>
      <c r="G1" s="2113" t="s">
        <v>3482</v>
      </c>
      <c r="H1" s="2113"/>
      <c r="I1" s="134" t="s">
        <v>744</v>
      </c>
      <c r="J1" s="2080" t="s">
        <v>3483</v>
      </c>
      <c r="K1" s="2080"/>
      <c r="L1" s="2080"/>
      <c r="M1" s="680" t="s">
        <v>3484</v>
      </c>
    </row>
    <row r="2" spans="1:13" ht="41.1" customHeight="1">
      <c r="A2" s="133" t="s">
        <v>240</v>
      </c>
      <c r="B2" s="1682" t="s">
        <v>3485</v>
      </c>
      <c r="C2" s="1682"/>
      <c r="D2" s="134" t="s">
        <v>242</v>
      </c>
      <c r="E2" s="694"/>
      <c r="F2" s="694"/>
      <c r="G2" s="2120"/>
      <c r="H2" s="2121"/>
      <c r="I2" s="166" t="s">
        <v>243</v>
      </c>
      <c r="J2" s="1707" t="s">
        <v>421</v>
      </c>
      <c r="K2" s="1708"/>
      <c r="L2" s="166" t="s">
        <v>245</v>
      </c>
      <c r="M2" s="167" t="s">
        <v>3486</v>
      </c>
    </row>
    <row r="3" spans="1:13" ht="39" customHeight="1">
      <c r="A3" s="133" t="s">
        <v>247</v>
      </c>
      <c r="B3" s="1682" t="s">
        <v>3487</v>
      </c>
      <c r="C3" s="1682"/>
      <c r="D3" s="134" t="s">
        <v>249</v>
      </c>
      <c r="E3" s="136" t="s">
        <v>3488</v>
      </c>
      <c r="F3" s="134" t="s">
        <v>251</v>
      </c>
      <c r="G3" s="134" t="s">
        <v>3489</v>
      </c>
      <c r="H3" s="134" t="s">
        <v>252</v>
      </c>
      <c r="I3" s="134"/>
      <c r="J3" s="15" t="s">
        <v>565</v>
      </c>
      <c r="K3" s="15" t="s">
        <v>3490</v>
      </c>
      <c r="L3" s="15" t="s">
        <v>255</v>
      </c>
      <c r="M3" s="207" t="s">
        <v>3491</v>
      </c>
    </row>
    <row r="4" spans="1:13" ht="57.95" customHeight="1">
      <c r="A4" s="133" t="s">
        <v>260</v>
      </c>
      <c r="B4" s="2045" t="s">
        <v>3492</v>
      </c>
      <c r="C4" s="2046"/>
      <c r="D4" s="2046"/>
      <c r="E4" s="1690" t="s">
        <v>3493</v>
      </c>
      <c r="F4" s="1690"/>
      <c r="G4" s="2045" t="s">
        <v>1639</v>
      </c>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42278</v>
      </c>
      <c r="B6" s="200">
        <v>1457</v>
      </c>
      <c r="C6" s="200">
        <v>436500</v>
      </c>
      <c r="D6" s="200">
        <f>B6</f>
        <v>1457</v>
      </c>
      <c r="E6" s="200">
        <f>C6</f>
        <v>436500</v>
      </c>
      <c r="F6" s="200"/>
      <c r="G6" s="180"/>
      <c r="H6" s="201"/>
      <c r="I6" s="200"/>
      <c r="J6" s="200"/>
      <c r="K6" s="200"/>
      <c r="L6" s="200">
        <f t="shared" ref="L6:L13" si="0">E6-J6</f>
        <v>436500</v>
      </c>
      <c r="M6" s="681"/>
    </row>
    <row r="7" spans="1:13" ht="29.1" customHeight="1">
      <c r="A7" s="676">
        <v>42309</v>
      </c>
      <c r="B7" s="200">
        <v>1972</v>
      </c>
      <c r="C7" s="200">
        <v>589790</v>
      </c>
      <c r="D7" s="200">
        <f t="shared" ref="D7:D13" si="1">D6+B7</f>
        <v>3429</v>
      </c>
      <c r="E7" s="200">
        <f t="shared" ref="E7:E13" si="2">E6+C7</f>
        <v>1026290</v>
      </c>
      <c r="F7" s="200"/>
      <c r="G7" s="180"/>
      <c r="H7" s="201">
        <f t="shared" ref="H7:H14" si="3">C6</f>
        <v>436500</v>
      </c>
      <c r="I7" s="200"/>
      <c r="J7" s="200"/>
      <c r="K7" s="200">
        <f t="shared" ref="K7:K13" si="4">K6+H7-I7</f>
        <v>436500</v>
      </c>
      <c r="L7" s="200">
        <f t="shared" si="0"/>
        <v>1026290</v>
      </c>
      <c r="M7" s="681"/>
    </row>
    <row r="8" spans="1:13" ht="29.1" customHeight="1">
      <c r="A8" s="676">
        <v>42339</v>
      </c>
      <c r="B8" s="200">
        <v>272.5</v>
      </c>
      <c r="C8" s="200">
        <v>80570</v>
      </c>
      <c r="D8" s="200">
        <f t="shared" si="1"/>
        <v>3701.5</v>
      </c>
      <c r="E8" s="200">
        <f t="shared" si="2"/>
        <v>1106860</v>
      </c>
      <c r="F8" s="180"/>
      <c r="G8" s="180"/>
      <c r="H8" s="201">
        <f t="shared" si="3"/>
        <v>589790</v>
      </c>
      <c r="I8" s="180">
        <v>400000</v>
      </c>
      <c r="J8" s="180">
        <f t="shared" ref="J8:J13" si="5">J7+I8</f>
        <v>400000</v>
      </c>
      <c r="K8" s="200">
        <f t="shared" si="4"/>
        <v>626290</v>
      </c>
      <c r="L8" s="200">
        <f t="shared" si="0"/>
        <v>706860</v>
      </c>
      <c r="M8" s="682" t="s">
        <v>3494</v>
      </c>
    </row>
    <row r="9" spans="1:13" ht="29.1" customHeight="1">
      <c r="A9" s="676">
        <v>42370</v>
      </c>
      <c r="B9" s="200">
        <v>144</v>
      </c>
      <c r="C9" s="200">
        <v>41760</v>
      </c>
      <c r="D9" s="200">
        <f t="shared" si="1"/>
        <v>3845.5</v>
      </c>
      <c r="E9" s="200">
        <f t="shared" si="2"/>
        <v>1148620</v>
      </c>
      <c r="F9" s="180"/>
      <c r="G9" s="180"/>
      <c r="H9" s="201">
        <f t="shared" si="3"/>
        <v>80570</v>
      </c>
      <c r="I9" s="180"/>
      <c r="J9" s="180">
        <f t="shared" si="5"/>
        <v>400000</v>
      </c>
      <c r="K9" s="200">
        <f t="shared" si="4"/>
        <v>706860</v>
      </c>
      <c r="L9" s="200">
        <f t="shared" si="0"/>
        <v>748620</v>
      </c>
      <c r="M9" s="682" t="s">
        <v>3495</v>
      </c>
    </row>
    <row r="10" spans="1:13" ht="29.1" customHeight="1">
      <c r="A10" s="677">
        <v>42401</v>
      </c>
      <c r="B10" s="211">
        <v>30</v>
      </c>
      <c r="C10" s="211">
        <v>8700</v>
      </c>
      <c r="D10" s="200">
        <f t="shared" si="1"/>
        <v>3875.5</v>
      </c>
      <c r="E10" s="200">
        <f t="shared" si="2"/>
        <v>1157320</v>
      </c>
      <c r="F10" s="180"/>
      <c r="G10" s="180"/>
      <c r="H10" s="201">
        <f t="shared" si="3"/>
        <v>41760</v>
      </c>
      <c r="I10" s="180">
        <v>350000</v>
      </c>
      <c r="J10" s="180">
        <f t="shared" si="5"/>
        <v>750000</v>
      </c>
      <c r="K10" s="200">
        <f t="shared" si="4"/>
        <v>398620</v>
      </c>
      <c r="L10" s="200">
        <f t="shared" si="0"/>
        <v>407320</v>
      </c>
      <c r="M10" s="412" t="s">
        <v>3496</v>
      </c>
    </row>
    <row r="11" spans="1:13" ht="29.1" customHeight="1">
      <c r="A11" s="678">
        <v>42491</v>
      </c>
      <c r="B11" s="211">
        <v>20</v>
      </c>
      <c r="C11" s="211">
        <v>5800</v>
      </c>
      <c r="D11" s="200">
        <f t="shared" si="1"/>
        <v>3895.5</v>
      </c>
      <c r="E11" s="200">
        <f t="shared" si="2"/>
        <v>1163120</v>
      </c>
      <c r="F11" s="180"/>
      <c r="G11" s="180"/>
      <c r="H11" s="201">
        <f t="shared" si="3"/>
        <v>8700</v>
      </c>
      <c r="I11" s="180">
        <v>300000</v>
      </c>
      <c r="J11" s="180">
        <f t="shared" si="5"/>
        <v>1050000</v>
      </c>
      <c r="K11" s="200">
        <f t="shared" si="4"/>
        <v>107320</v>
      </c>
      <c r="L11" s="200">
        <f t="shared" si="0"/>
        <v>113120</v>
      </c>
      <c r="M11" s="412"/>
    </row>
    <row r="12" spans="1:13" ht="29.1" customHeight="1">
      <c r="A12" s="678">
        <v>42552</v>
      </c>
      <c r="B12" s="211">
        <v>497</v>
      </c>
      <c r="C12" s="211">
        <v>148610</v>
      </c>
      <c r="D12" s="200">
        <f t="shared" si="1"/>
        <v>4392.5</v>
      </c>
      <c r="E12" s="200">
        <f t="shared" si="2"/>
        <v>1311730</v>
      </c>
      <c r="F12" s="180"/>
      <c r="G12" s="180"/>
      <c r="H12" s="201">
        <f t="shared" si="3"/>
        <v>5800</v>
      </c>
      <c r="I12" s="180">
        <v>150000</v>
      </c>
      <c r="J12" s="180">
        <f t="shared" si="5"/>
        <v>1200000</v>
      </c>
      <c r="K12" s="200">
        <f t="shared" si="4"/>
        <v>-36880</v>
      </c>
      <c r="L12" s="200">
        <f t="shared" si="0"/>
        <v>111730</v>
      </c>
      <c r="M12" s="412" t="s">
        <v>3497</v>
      </c>
    </row>
    <row r="13" spans="1:13" ht="29.1" customHeight="1">
      <c r="A13" s="678">
        <v>42583</v>
      </c>
      <c r="B13" s="211">
        <v>0</v>
      </c>
      <c r="C13" s="211">
        <v>0</v>
      </c>
      <c r="D13" s="200">
        <f t="shared" si="1"/>
        <v>4392.5</v>
      </c>
      <c r="E13" s="200">
        <f t="shared" si="2"/>
        <v>1311730</v>
      </c>
      <c r="F13" s="180"/>
      <c r="G13" s="180"/>
      <c r="H13" s="201">
        <f t="shared" si="3"/>
        <v>148610</v>
      </c>
      <c r="I13" s="180">
        <v>122530</v>
      </c>
      <c r="J13" s="180">
        <f t="shared" si="5"/>
        <v>1322530</v>
      </c>
      <c r="K13" s="200">
        <f t="shared" si="4"/>
        <v>-10800</v>
      </c>
      <c r="L13" s="200">
        <f t="shared" si="0"/>
        <v>-10800</v>
      </c>
      <c r="M13" s="412" t="s">
        <v>3498</v>
      </c>
    </row>
    <row r="14" spans="1:13" ht="29.1" customHeight="1">
      <c r="A14" s="676"/>
      <c r="B14" s="200"/>
      <c r="C14" s="200"/>
      <c r="D14" s="200"/>
      <c r="E14" s="482"/>
      <c r="F14" s="180"/>
      <c r="G14" s="180"/>
      <c r="H14" s="201">
        <f t="shared" si="3"/>
        <v>0</v>
      </c>
      <c r="I14" s="180"/>
      <c r="J14" s="180"/>
      <c r="K14" s="200"/>
      <c r="L14" s="180"/>
      <c r="M14" s="412"/>
    </row>
    <row r="15" spans="1:13" ht="29.1" customHeight="1">
      <c r="A15" s="676"/>
      <c r="B15" s="200"/>
      <c r="C15" s="200"/>
      <c r="D15" s="200"/>
      <c r="E15" s="482"/>
      <c r="F15" s="180"/>
      <c r="G15" s="180"/>
      <c r="H15" s="180"/>
      <c r="I15" s="180"/>
      <c r="J15" s="180"/>
      <c r="K15" s="200"/>
      <c r="L15" s="180"/>
      <c r="M15" s="412"/>
    </row>
    <row r="16" spans="1:13" ht="29.1" customHeight="1">
      <c r="A16" s="676"/>
      <c r="B16" s="200"/>
      <c r="C16" s="200"/>
      <c r="D16" s="200"/>
      <c r="E16" s="482"/>
      <c r="F16" s="180"/>
      <c r="G16" s="180"/>
      <c r="H16" s="180"/>
      <c r="I16" s="180"/>
      <c r="J16" s="180"/>
      <c r="K16" s="200"/>
      <c r="L16" s="180"/>
      <c r="M16" s="412"/>
    </row>
    <row r="17" spans="1:13" ht="29.1" customHeight="1">
      <c r="A17" s="676"/>
      <c r="B17" s="200"/>
      <c r="C17" s="200"/>
      <c r="D17" s="200"/>
      <c r="E17" s="482"/>
      <c r="F17" s="180"/>
      <c r="G17" s="180"/>
      <c r="H17" s="180"/>
      <c r="I17" s="180"/>
      <c r="J17" s="180"/>
      <c r="K17" s="180"/>
      <c r="L17" s="180"/>
      <c r="M17" s="412"/>
    </row>
    <row r="18" spans="1:13" ht="29.1" customHeight="1">
      <c r="A18" s="676"/>
      <c r="B18" s="211"/>
      <c r="C18" s="211"/>
      <c r="D18" s="200"/>
      <c r="E18" s="482"/>
      <c r="F18" s="180"/>
      <c r="G18" s="180"/>
      <c r="H18" s="180"/>
      <c r="I18" s="180"/>
      <c r="J18" s="180"/>
      <c r="K18" s="180"/>
      <c r="L18" s="180"/>
      <c r="M18" s="412"/>
    </row>
    <row r="19" spans="1:13" ht="29.1" customHeight="1">
      <c r="A19" s="676"/>
      <c r="B19" s="211"/>
      <c r="C19" s="211"/>
      <c r="D19" s="200"/>
      <c r="E19" s="482"/>
      <c r="F19" s="180"/>
      <c r="G19" s="180"/>
      <c r="H19" s="180"/>
      <c r="I19" s="180"/>
      <c r="J19" s="180"/>
      <c r="K19" s="180"/>
      <c r="L19" s="180"/>
      <c r="M19" s="412"/>
    </row>
    <row r="20" spans="1:13" ht="29.1" customHeight="1">
      <c r="A20" s="676"/>
      <c r="B20" s="211"/>
      <c r="C20" s="211"/>
      <c r="D20" s="180"/>
      <c r="E20" s="679"/>
      <c r="F20" s="180"/>
      <c r="G20" s="180"/>
      <c r="H20" s="180"/>
      <c r="I20" s="180"/>
      <c r="J20" s="180"/>
      <c r="K20" s="180"/>
      <c r="L20" s="180"/>
      <c r="M20" s="412"/>
    </row>
    <row r="21" spans="1:13">
      <c r="A21" s="678"/>
      <c r="B21" s="211"/>
      <c r="C21" s="211"/>
    </row>
  </sheetData>
  <mergeCells count="10">
    <mergeCell ref="B4:D4"/>
    <mergeCell ref="E4:F4"/>
    <mergeCell ref="G4:I4"/>
    <mergeCell ref="J4:M4"/>
    <mergeCell ref="G1:H1"/>
    <mergeCell ref="J1:L1"/>
    <mergeCell ref="B2:C2"/>
    <mergeCell ref="G2:H2"/>
    <mergeCell ref="J2:K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7"/>
  <sheetViews>
    <sheetView topLeftCell="A16" zoomScaleSheetLayoutView="100" workbookViewId="0">
      <selection activeCell="B23" sqref="B23:M23"/>
    </sheetView>
  </sheetViews>
  <sheetFormatPr defaultColWidth="9" defaultRowHeight="14.25"/>
  <cols>
    <col min="1" max="1" width="18.25" customWidth="1"/>
    <col min="2" max="2" width="12.875" customWidth="1"/>
    <col min="3" max="3" width="20.375" customWidth="1"/>
    <col min="4" max="4" width="16.75" customWidth="1"/>
    <col min="5" max="5" width="18.25" customWidth="1"/>
    <col min="6" max="6" width="17.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273" t="s">
        <v>556</v>
      </c>
      <c r="B1" s="274"/>
      <c r="C1" s="683" t="s">
        <v>3499</v>
      </c>
      <c r="D1" s="413" t="s">
        <v>3367</v>
      </c>
      <c r="E1" s="413"/>
      <c r="F1" s="674" t="s">
        <v>1561</v>
      </c>
      <c r="G1" s="2113" t="s">
        <v>3500</v>
      </c>
      <c r="H1" s="2113"/>
      <c r="I1" s="134" t="s">
        <v>744</v>
      </c>
      <c r="J1" s="2080" t="s">
        <v>3501</v>
      </c>
      <c r="K1" s="2080"/>
      <c r="L1" s="2080"/>
      <c r="M1" s="680" t="s">
        <v>3502</v>
      </c>
    </row>
    <row r="2" spans="1:13" ht="41.1" customHeight="1">
      <c r="A2" s="133" t="s">
        <v>240</v>
      </c>
      <c r="B2" s="1682" t="s">
        <v>3503</v>
      </c>
      <c r="C2" s="1682"/>
      <c r="D2" s="134" t="s">
        <v>242</v>
      </c>
      <c r="E2" s="2120" t="s">
        <v>3504</v>
      </c>
      <c r="F2" s="2121"/>
      <c r="G2" s="2120"/>
      <c r="H2" s="2121"/>
      <c r="I2" s="166" t="s">
        <v>243</v>
      </c>
      <c r="J2" s="1707" t="s">
        <v>3505</v>
      </c>
      <c r="K2" s="1708"/>
      <c r="L2" s="166" t="s">
        <v>245</v>
      </c>
      <c r="M2" s="167" t="s">
        <v>3506</v>
      </c>
    </row>
    <row r="3" spans="1:13" ht="39" customHeight="1">
      <c r="A3" s="133" t="s">
        <v>247</v>
      </c>
      <c r="B3" s="1682" t="s">
        <v>3507</v>
      </c>
      <c r="C3" s="1682"/>
      <c r="D3" s="134" t="s">
        <v>249</v>
      </c>
      <c r="E3" s="136" t="s">
        <v>3488</v>
      </c>
      <c r="F3" s="134" t="s">
        <v>251</v>
      </c>
      <c r="G3" s="134" t="s">
        <v>3508</v>
      </c>
      <c r="H3" s="134" t="s">
        <v>252</v>
      </c>
      <c r="I3" s="134">
        <v>18934373000</v>
      </c>
      <c r="J3" s="15" t="s">
        <v>565</v>
      </c>
      <c r="K3" s="15" t="s">
        <v>3509</v>
      </c>
      <c r="L3" s="15" t="s">
        <v>255</v>
      </c>
      <c r="M3" s="207" t="s">
        <v>3510</v>
      </c>
    </row>
    <row r="4" spans="1:13" ht="114" customHeight="1">
      <c r="A4" s="133" t="s">
        <v>260</v>
      </c>
      <c r="B4" s="2032" t="s">
        <v>3511</v>
      </c>
      <c r="C4" s="2033"/>
      <c r="D4" s="2033"/>
      <c r="E4" s="1690" t="s">
        <v>3512</v>
      </c>
      <c r="F4" s="1690"/>
      <c r="G4" s="2032" t="s">
        <v>3513</v>
      </c>
      <c r="H4" s="2033"/>
      <c r="I4" s="2033"/>
      <c r="J4" s="2034"/>
      <c r="K4" s="420"/>
      <c r="L4" s="420"/>
      <c r="M4" s="170"/>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t="s">
        <v>3514</v>
      </c>
      <c r="B6" s="200">
        <v>8821</v>
      </c>
      <c r="C6" s="200">
        <v>2397495</v>
      </c>
      <c r="D6" s="200">
        <f>B6</f>
        <v>8821</v>
      </c>
      <c r="E6" s="200">
        <f>C6</f>
        <v>2397495</v>
      </c>
      <c r="F6" s="200"/>
      <c r="G6" s="180">
        <f>C6</f>
        <v>2397495</v>
      </c>
      <c r="H6" s="201"/>
      <c r="I6" s="200"/>
      <c r="J6" s="200"/>
      <c r="K6" s="200"/>
      <c r="L6" s="200">
        <f t="shared" ref="L6:L21" si="0">E6-J6</f>
        <v>2397495</v>
      </c>
      <c r="M6" s="681"/>
    </row>
    <row r="7" spans="1:13" ht="29.1" customHeight="1">
      <c r="A7" s="676" t="s">
        <v>3515</v>
      </c>
      <c r="B7" s="200">
        <v>7010.5</v>
      </c>
      <c r="C7" s="218">
        <v>1917315</v>
      </c>
      <c r="D7" s="200">
        <f t="shared" ref="D7:D21" si="1">D6+B7</f>
        <v>15831.5</v>
      </c>
      <c r="E7" s="200">
        <f t="shared" ref="E7:E21" si="2">E6+C7</f>
        <v>4314810</v>
      </c>
      <c r="F7" s="200"/>
      <c r="G7" s="180">
        <f>E7</f>
        <v>4314810</v>
      </c>
      <c r="H7" s="201"/>
      <c r="I7" s="200"/>
      <c r="J7" s="200"/>
      <c r="K7" s="200"/>
      <c r="L7" s="200">
        <f t="shared" si="0"/>
        <v>4314810</v>
      </c>
      <c r="M7" s="681"/>
    </row>
    <row r="8" spans="1:13" ht="29.1" customHeight="1">
      <c r="A8" s="676" t="s">
        <v>3516</v>
      </c>
      <c r="B8" s="200">
        <v>4291</v>
      </c>
      <c r="C8" s="218">
        <v>1206960</v>
      </c>
      <c r="D8" s="200">
        <f t="shared" si="1"/>
        <v>20122.5</v>
      </c>
      <c r="E8" s="200">
        <f t="shared" si="2"/>
        <v>5521770</v>
      </c>
      <c r="F8" s="200"/>
      <c r="G8" s="180">
        <f>E6*0.2+C7+C8</f>
        <v>3603774</v>
      </c>
      <c r="H8" s="180"/>
      <c r="I8" s="180"/>
      <c r="J8" s="180">
        <f>J7+I8</f>
        <v>0</v>
      </c>
      <c r="K8" s="200">
        <f t="shared" ref="K8:K22" si="3">K7+H8-I8</f>
        <v>0</v>
      </c>
      <c r="L8" s="200">
        <f t="shared" si="0"/>
        <v>5521770</v>
      </c>
      <c r="M8" s="682"/>
    </row>
    <row r="9" spans="1:13" ht="29.1" customHeight="1">
      <c r="A9" s="676" t="s">
        <v>3517</v>
      </c>
      <c r="B9" s="200">
        <v>8121</v>
      </c>
      <c r="C9" s="200">
        <v>2383136</v>
      </c>
      <c r="D9" s="200">
        <f t="shared" si="1"/>
        <v>28243.5</v>
      </c>
      <c r="E9" s="200">
        <f t="shared" si="2"/>
        <v>7904906</v>
      </c>
      <c r="F9" s="200"/>
      <c r="G9" s="180">
        <f>E7*0.2+C8+C9</f>
        <v>4453058</v>
      </c>
      <c r="H9" s="180">
        <f>C6*0.8</f>
        <v>1917996</v>
      </c>
      <c r="I9" s="180">
        <v>1909080</v>
      </c>
      <c r="J9" s="180">
        <f>J8+I9</f>
        <v>1909080</v>
      </c>
      <c r="K9" s="200">
        <f t="shared" si="3"/>
        <v>8916</v>
      </c>
      <c r="L9" s="200">
        <f t="shared" si="0"/>
        <v>5995826</v>
      </c>
      <c r="M9" s="693" t="s">
        <v>3518</v>
      </c>
    </row>
    <row r="10" spans="1:13" ht="29.1" customHeight="1">
      <c r="A10" s="677" t="s">
        <v>3519</v>
      </c>
      <c r="B10" s="211">
        <v>10278</v>
      </c>
      <c r="C10" s="211">
        <v>3039305.5</v>
      </c>
      <c r="D10" s="200">
        <f t="shared" si="1"/>
        <v>38521.5</v>
      </c>
      <c r="E10" s="218">
        <f t="shared" si="2"/>
        <v>10944211.5</v>
      </c>
      <c r="F10" s="200"/>
      <c r="G10" s="180">
        <f>E8*0.2+C9+C10</f>
        <v>6526795.5</v>
      </c>
      <c r="H10" s="180">
        <f>C7*0.8</f>
        <v>1533852</v>
      </c>
      <c r="I10" s="180"/>
      <c r="J10" s="180">
        <f>J9+I10</f>
        <v>1909080</v>
      </c>
      <c r="K10" s="200">
        <f t="shared" si="3"/>
        <v>1542768</v>
      </c>
      <c r="L10" s="200">
        <f t="shared" si="0"/>
        <v>9035131.5</v>
      </c>
      <c r="M10" s="412" t="s">
        <v>3520</v>
      </c>
    </row>
    <row r="11" spans="1:13" ht="29.1" customHeight="1">
      <c r="A11" s="677" t="s">
        <v>3521</v>
      </c>
      <c r="B11" s="211">
        <v>7353</v>
      </c>
      <c r="C11" s="211">
        <v>2106409</v>
      </c>
      <c r="D11" s="200">
        <f t="shared" si="1"/>
        <v>45874.5</v>
      </c>
      <c r="E11" s="200">
        <f t="shared" si="2"/>
        <v>13050620.5</v>
      </c>
      <c r="F11" s="200"/>
      <c r="G11" s="180">
        <f>E9*0.2+C10+C11</f>
        <v>6726695.7000000002</v>
      </c>
      <c r="H11" s="180">
        <f>C8*0.8</f>
        <v>965568</v>
      </c>
      <c r="I11" s="180">
        <v>1531300</v>
      </c>
      <c r="J11" s="180">
        <f t="shared" ref="J11:J21" si="4">J10+I11</f>
        <v>3440380</v>
      </c>
      <c r="K11" s="200">
        <f t="shared" si="3"/>
        <v>977036</v>
      </c>
      <c r="L11" s="200">
        <f t="shared" si="0"/>
        <v>9610240.5</v>
      </c>
      <c r="M11" s="412" t="s">
        <v>3522</v>
      </c>
    </row>
    <row r="12" spans="1:13" ht="29.1" customHeight="1">
      <c r="A12" s="677" t="s">
        <v>3523</v>
      </c>
      <c r="B12" s="211">
        <v>5789</v>
      </c>
      <c r="C12" s="211">
        <v>1613776</v>
      </c>
      <c r="D12" s="200">
        <f t="shared" si="1"/>
        <v>51663.5</v>
      </c>
      <c r="E12" s="200">
        <f t="shared" si="2"/>
        <v>14664396.5</v>
      </c>
      <c r="F12" s="200"/>
      <c r="G12" s="180">
        <f>E10*0.2+C11+C12</f>
        <v>5909027.3000000007</v>
      </c>
      <c r="H12" s="180">
        <f>C9*0.8</f>
        <v>1906508.8</v>
      </c>
      <c r="I12" s="180">
        <v>964170</v>
      </c>
      <c r="J12" s="180">
        <f t="shared" si="4"/>
        <v>4404550</v>
      </c>
      <c r="K12" s="200">
        <f t="shared" si="3"/>
        <v>1919374.7999999998</v>
      </c>
      <c r="L12" s="200">
        <f t="shared" si="0"/>
        <v>10259846.5</v>
      </c>
      <c r="M12" s="412" t="s">
        <v>3524</v>
      </c>
    </row>
    <row r="13" spans="1:13" ht="29.1" customHeight="1">
      <c r="A13" s="677" t="s">
        <v>3525</v>
      </c>
      <c r="B13" s="211">
        <v>754</v>
      </c>
      <c r="C13" s="211">
        <v>213045</v>
      </c>
      <c r="D13" s="200">
        <f t="shared" si="1"/>
        <v>52417.5</v>
      </c>
      <c r="E13" s="200">
        <f t="shared" si="2"/>
        <v>14877441.5</v>
      </c>
      <c r="F13" s="200"/>
      <c r="G13" s="180">
        <f>E10*0.2*5/6+C12+C13+C14</f>
        <v>3763332.25</v>
      </c>
      <c r="H13" s="180">
        <f>C10*0.8</f>
        <v>2431444.4</v>
      </c>
      <c r="I13" s="180">
        <v>1889160</v>
      </c>
      <c r="J13" s="180">
        <f t="shared" si="4"/>
        <v>6293710</v>
      </c>
      <c r="K13" s="200">
        <f t="shared" si="3"/>
        <v>2461659.1999999993</v>
      </c>
      <c r="L13" s="200">
        <f t="shared" si="0"/>
        <v>8583731.5</v>
      </c>
      <c r="M13" s="412" t="s">
        <v>3526</v>
      </c>
    </row>
    <row r="14" spans="1:13" ht="29.1" customHeight="1">
      <c r="A14" s="677" t="s">
        <v>3527</v>
      </c>
      <c r="B14" s="211">
        <v>357</v>
      </c>
      <c r="C14" s="211">
        <v>112476</v>
      </c>
      <c r="D14" s="200">
        <f t="shared" si="1"/>
        <v>52774.5</v>
      </c>
      <c r="E14" s="200">
        <f t="shared" si="2"/>
        <v>14989917.5</v>
      </c>
      <c r="F14" s="200"/>
      <c r="G14" s="180">
        <f>E10*0.2*4/6+C13+C14</f>
        <v>1784749.2000000002</v>
      </c>
      <c r="H14" s="180">
        <f>E10*0.2*1/6+C11</f>
        <v>2471216.0499999998</v>
      </c>
      <c r="I14" s="180">
        <f>1641400+1907300</f>
        <v>3548700</v>
      </c>
      <c r="J14" s="180">
        <f t="shared" si="4"/>
        <v>9842410</v>
      </c>
      <c r="K14" s="200">
        <f t="shared" si="3"/>
        <v>1384175.2499999991</v>
      </c>
      <c r="L14" s="200">
        <f t="shared" si="0"/>
        <v>5147507.5</v>
      </c>
      <c r="M14" s="412"/>
    </row>
    <row r="15" spans="1:13" ht="29.1" customHeight="1">
      <c r="A15" s="677" t="s">
        <v>3528</v>
      </c>
      <c r="B15" s="211">
        <v>0</v>
      </c>
      <c r="C15" s="211">
        <v>0</v>
      </c>
      <c r="D15" s="200">
        <f t="shared" si="1"/>
        <v>52774.5</v>
      </c>
      <c r="E15" s="200">
        <f t="shared" si="2"/>
        <v>14989917.5</v>
      </c>
      <c r="F15" s="200"/>
      <c r="G15" s="180">
        <f>E10*0.2*3/6+C14+C15</f>
        <v>1206897.1500000001</v>
      </c>
      <c r="H15" s="180">
        <f>E10*0.2*1/6+C12</f>
        <v>1978583.05</v>
      </c>
      <c r="I15" s="180"/>
      <c r="J15" s="180">
        <f t="shared" si="4"/>
        <v>9842410</v>
      </c>
      <c r="K15" s="200">
        <f t="shared" si="3"/>
        <v>3362758.2999999989</v>
      </c>
      <c r="L15" s="200">
        <f t="shared" si="0"/>
        <v>5147507.5</v>
      </c>
      <c r="M15" s="412"/>
    </row>
    <row r="16" spans="1:13" ht="29.1" customHeight="1">
      <c r="A16" s="678" t="s">
        <v>3529</v>
      </c>
      <c r="B16" s="211">
        <v>141</v>
      </c>
      <c r="C16" s="211">
        <v>41215</v>
      </c>
      <c r="D16" s="200">
        <f t="shared" si="1"/>
        <v>52915.5</v>
      </c>
      <c r="E16" s="200">
        <f t="shared" si="2"/>
        <v>15031132.5</v>
      </c>
      <c r="F16" s="200"/>
      <c r="G16" s="180">
        <f>E10*0.2*2/6+C15+C16</f>
        <v>770829.10000000009</v>
      </c>
      <c r="H16" s="180">
        <f>E10*0.2*1/6+C13</f>
        <v>577852.05000000005</v>
      </c>
      <c r="I16" s="180">
        <f>500000+788593+500000</f>
        <v>1788593</v>
      </c>
      <c r="J16" s="180">
        <f t="shared" si="4"/>
        <v>11631003</v>
      </c>
      <c r="K16" s="200">
        <f t="shared" si="3"/>
        <v>2152017.3499999987</v>
      </c>
      <c r="L16" s="200">
        <f t="shared" si="0"/>
        <v>3400129.5</v>
      </c>
      <c r="M16" s="412" t="s">
        <v>3530</v>
      </c>
    </row>
    <row r="17" spans="1:13" ht="29.1" customHeight="1">
      <c r="A17" s="692" t="s">
        <v>3531</v>
      </c>
      <c r="B17" s="685">
        <v>177.5</v>
      </c>
      <c r="C17" s="685">
        <v>56042.5</v>
      </c>
      <c r="D17" s="200">
        <f t="shared" si="1"/>
        <v>53093</v>
      </c>
      <c r="E17" s="200">
        <f t="shared" si="2"/>
        <v>15087175</v>
      </c>
      <c r="F17" s="200"/>
      <c r="G17" s="180">
        <f>E10*0.2*1/6+C16+C17</f>
        <v>462064.55000000005</v>
      </c>
      <c r="H17" s="180">
        <f>E10*0.2*1/6+C14</f>
        <v>477283.05000000005</v>
      </c>
      <c r="I17" s="180">
        <f>20000+260416</f>
        <v>280416</v>
      </c>
      <c r="J17" s="180">
        <f t="shared" si="4"/>
        <v>11911419</v>
      </c>
      <c r="K17" s="200">
        <f t="shared" si="3"/>
        <v>2348884.3999999985</v>
      </c>
      <c r="L17" s="200">
        <f t="shared" si="0"/>
        <v>3175756</v>
      </c>
      <c r="M17" s="412" t="s">
        <v>3532</v>
      </c>
    </row>
    <row r="18" spans="1:13" ht="29.1" customHeight="1">
      <c r="A18" s="678" t="s">
        <v>3533</v>
      </c>
      <c r="B18" s="211">
        <v>989</v>
      </c>
      <c r="C18" s="211">
        <v>300500</v>
      </c>
      <c r="D18" s="200">
        <f t="shared" si="1"/>
        <v>54082</v>
      </c>
      <c r="E18" s="200">
        <f t="shared" si="2"/>
        <v>15387675</v>
      </c>
      <c r="F18" s="180"/>
      <c r="G18" s="180">
        <f>C17+C18</f>
        <v>356542.5</v>
      </c>
      <c r="H18" s="180">
        <f>E10*0.2*1/6+C15</f>
        <v>364807.05000000005</v>
      </c>
      <c r="I18" s="180">
        <v>1000000</v>
      </c>
      <c r="J18" s="180">
        <f t="shared" si="4"/>
        <v>12911419</v>
      </c>
      <c r="K18" s="200">
        <f t="shared" si="3"/>
        <v>1713691.4499999983</v>
      </c>
      <c r="L18" s="200">
        <f t="shared" si="0"/>
        <v>2476256</v>
      </c>
      <c r="M18" s="412" t="s">
        <v>3534</v>
      </c>
    </row>
    <row r="19" spans="1:13" ht="29.1" customHeight="1">
      <c r="A19" s="678" t="s">
        <v>3535</v>
      </c>
      <c r="B19" s="211">
        <v>595</v>
      </c>
      <c r="C19" s="211">
        <v>180745</v>
      </c>
      <c r="D19" s="200">
        <f t="shared" si="1"/>
        <v>54677</v>
      </c>
      <c r="E19" s="200">
        <f t="shared" si="2"/>
        <v>15568420</v>
      </c>
      <c r="F19" s="180"/>
      <c r="G19" s="180">
        <f>C18+C19</f>
        <v>481245</v>
      </c>
      <c r="H19" s="180">
        <f>E10*0.2*1/6+C16</f>
        <v>406022.05000000005</v>
      </c>
      <c r="I19" s="180">
        <v>1056442.5</v>
      </c>
      <c r="J19" s="180">
        <f t="shared" si="4"/>
        <v>13967861.5</v>
      </c>
      <c r="K19" s="200">
        <f t="shared" si="3"/>
        <v>1063270.9999999981</v>
      </c>
      <c r="L19" s="200">
        <f t="shared" si="0"/>
        <v>1600558.5</v>
      </c>
      <c r="M19" s="412" t="s">
        <v>3536</v>
      </c>
    </row>
    <row r="20" spans="1:13" ht="29.1" customHeight="1">
      <c r="A20" s="678" t="s">
        <v>3537</v>
      </c>
      <c r="B20" s="211">
        <v>660.5</v>
      </c>
      <c r="C20" s="211">
        <v>199377.5</v>
      </c>
      <c r="D20" s="200">
        <f t="shared" si="1"/>
        <v>55337.5</v>
      </c>
      <c r="E20" s="200">
        <f t="shared" si="2"/>
        <v>15767797.5</v>
      </c>
      <c r="F20" s="180"/>
      <c r="G20" s="180">
        <f>C19+C20</f>
        <v>380122.5</v>
      </c>
      <c r="H20" s="180">
        <f>C17</f>
        <v>56042.5</v>
      </c>
      <c r="I20" s="180"/>
      <c r="J20" s="180">
        <f t="shared" si="4"/>
        <v>13967861.5</v>
      </c>
      <c r="K20" s="200">
        <f t="shared" si="3"/>
        <v>1119313.4999999981</v>
      </c>
      <c r="L20" s="200">
        <f t="shared" si="0"/>
        <v>1799936</v>
      </c>
      <c r="M20" s="412" t="s">
        <v>3538</v>
      </c>
    </row>
    <row r="21" spans="1:13" ht="29.1" customHeight="1">
      <c r="A21" s="678" t="s">
        <v>3539</v>
      </c>
      <c r="B21" s="211">
        <v>90.5</v>
      </c>
      <c r="C21" s="211">
        <v>26472.5</v>
      </c>
      <c r="D21" s="200">
        <f t="shared" si="1"/>
        <v>55428</v>
      </c>
      <c r="E21" s="200">
        <f t="shared" si="2"/>
        <v>15794270</v>
      </c>
      <c r="F21" s="180"/>
      <c r="G21" s="180">
        <f>C20+C21</f>
        <v>225850</v>
      </c>
      <c r="H21" s="180">
        <f>C18</f>
        <v>300500</v>
      </c>
      <c r="I21" s="180"/>
      <c r="J21" s="180">
        <f t="shared" si="4"/>
        <v>13967861.5</v>
      </c>
      <c r="K21" s="200">
        <f t="shared" si="3"/>
        <v>1419813.4999999981</v>
      </c>
      <c r="L21" s="200">
        <f t="shared" si="0"/>
        <v>1826408.5</v>
      </c>
      <c r="M21" s="412"/>
    </row>
    <row r="22" spans="1:13" ht="29.1" customHeight="1">
      <c r="A22" s="678"/>
      <c r="B22" s="211"/>
      <c r="C22" s="211"/>
      <c r="D22" s="200"/>
      <c r="E22" s="482"/>
      <c r="F22" s="180"/>
      <c r="G22" s="180"/>
      <c r="H22" s="180">
        <f>C19</f>
        <v>180745</v>
      </c>
      <c r="I22" s="180"/>
      <c r="J22" s="180"/>
      <c r="K22" s="200">
        <f t="shared" si="3"/>
        <v>1600558.4999999981</v>
      </c>
      <c r="L22" s="180"/>
      <c r="M22" s="412"/>
    </row>
    <row r="23" spans="1:13" ht="29.1" customHeight="1">
      <c r="A23" s="678">
        <v>42979</v>
      </c>
      <c r="B23" s="211">
        <v>90.5</v>
      </c>
      <c r="C23" s="211">
        <v>26472.5</v>
      </c>
      <c r="D23" s="200">
        <v>55428</v>
      </c>
      <c r="E23" s="482">
        <v>15794270</v>
      </c>
      <c r="F23" s="180"/>
      <c r="G23" s="180">
        <v>225850</v>
      </c>
      <c r="H23" s="180">
        <v>300500</v>
      </c>
      <c r="I23" s="180"/>
      <c r="J23" s="180">
        <v>13967861.5</v>
      </c>
      <c r="K23" s="200">
        <v>1419813.4999999981</v>
      </c>
      <c r="L23" s="180">
        <v>1826408.5</v>
      </c>
      <c r="M23" s="412"/>
    </row>
    <row r="24" spans="1:13" ht="29.1" customHeight="1">
      <c r="A24" s="678"/>
      <c r="B24" s="211"/>
      <c r="C24" s="211"/>
      <c r="D24" s="200"/>
      <c r="E24" s="482"/>
      <c r="F24" s="180"/>
      <c r="G24" s="180"/>
      <c r="H24" s="180"/>
      <c r="I24" s="180"/>
      <c r="J24" s="180"/>
      <c r="K24" s="200"/>
      <c r="L24" s="180"/>
      <c r="M24" s="412"/>
    </row>
    <row r="25" spans="1:13" ht="29.1" customHeight="1">
      <c r="A25" s="678"/>
      <c r="B25" s="211"/>
      <c r="C25" s="211"/>
      <c r="D25" s="200"/>
      <c r="E25" s="482"/>
      <c r="F25" s="180"/>
      <c r="G25" s="180"/>
      <c r="H25" s="180"/>
      <c r="I25" s="180"/>
      <c r="J25" s="180"/>
      <c r="K25" s="200"/>
      <c r="L25" s="180"/>
      <c r="M25" s="412"/>
    </row>
    <row r="26" spans="1:13" ht="29.1" customHeight="1">
      <c r="A26" s="678"/>
      <c r="B26" s="211"/>
      <c r="C26" s="211"/>
      <c r="D26" s="200"/>
      <c r="E26" s="482"/>
      <c r="F26" s="180"/>
      <c r="G26" s="180"/>
      <c r="H26" s="180"/>
      <c r="I26" s="180"/>
      <c r="J26" s="180"/>
      <c r="K26" s="200"/>
      <c r="L26" s="180"/>
      <c r="M26" s="412"/>
    </row>
    <row r="27" spans="1:13" ht="29.1" customHeight="1">
      <c r="A27" s="216"/>
      <c r="B27" s="216"/>
      <c r="C27" s="216"/>
      <c r="D27" s="180"/>
      <c r="E27" s="679"/>
      <c r="F27" s="180"/>
      <c r="G27" s="180"/>
      <c r="H27" s="180"/>
      <c r="I27" s="180"/>
      <c r="J27" s="180"/>
      <c r="K27" s="180"/>
      <c r="L27" s="180"/>
      <c r="M27" s="412"/>
    </row>
  </sheetData>
  <mergeCells count="10">
    <mergeCell ref="B3:C3"/>
    <mergeCell ref="B4:D4"/>
    <mergeCell ref="E4:F4"/>
    <mergeCell ref="G4:J4"/>
    <mergeCell ref="G1:H1"/>
    <mergeCell ref="J1:L1"/>
    <mergeCell ref="B2:C2"/>
    <mergeCell ref="E2:F2"/>
    <mergeCell ref="G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1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2"/>
  <sheetViews>
    <sheetView topLeftCell="A10" zoomScaleSheetLayoutView="100" workbookViewId="0">
      <selection activeCell="E21" sqref="E21"/>
    </sheetView>
  </sheetViews>
  <sheetFormatPr defaultColWidth="9" defaultRowHeight="14.25"/>
  <cols>
    <col min="1" max="1" width="18.25" customWidth="1"/>
    <col min="2" max="2" width="12.875" customWidth="1"/>
    <col min="3" max="3" width="20.375" customWidth="1"/>
    <col min="4" max="4" width="16.75" customWidth="1"/>
    <col min="5" max="5" width="18.25" customWidth="1"/>
    <col min="6" max="6" width="17.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c r="C1" s="377" t="s">
        <v>1719</v>
      </c>
      <c r="D1" s="413" t="s">
        <v>3367</v>
      </c>
      <c r="E1" s="413"/>
      <c r="F1" s="674" t="s">
        <v>1561</v>
      </c>
      <c r="G1" s="2113"/>
      <c r="H1" s="2113"/>
      <c r="I1" s="134" t="s">
        <v>744</v>
      </c>
      <c r="J1" s="2080" t="s">
        <v>3540</v>
      </c>
      <c r="K1" s="2080"/>
      <c r="L1" s="2080"/>
      <c r="M1" s="680" t="s">
        <v>3502</v>
      </c>
    </row>
    <row r="2" spans="1:13" ht="41.1" customHeight="1">
      <c r="A2" s="133" t="s">
        <v>240</v>
      </c>
      <c r="B2" s="1682" t="s">
        <v>3504</v>
      </c>
      <c r="C2" s="1682"/>
      <c r="D2" s="134" t="s">
        <v>242</v>
      </c>
      <c r="E2" s="2120" t="s">
        <v>3503</v>
      </c>
      <c r="F2" s="2121"/>
      <c r="G2" s="2120"/>
      <c r="H2" s="2121"/>
      <c r="I2" s="166" t="s">
        <v>243</v>
      </c>
      <c r="J2" s="1707" t="s">
        <v>3505</v>
      </c>
      <c r="K2" s="1708"/>
      <c r="L2" s="166" t="s">
        <v>245</v>
      </c>
      <c r="M2" s="167" t="s">
        <v>3506</v>
      </c>
    </row>
    <row r="3" spans="1:13" ht="39" customHeight="1">
      <c r="A3" s="133" t="s">
        <v>247</v>
      </c>
      <c r="B3" s="1682" t="s">
        <v>3541</v>
      </c>
      <c r="C3" s="1682"/>
      <c r="D3" s="134" t="s">
        <v>249</v>
      </c>
      <c r="E3" s="136" t="s">
        <v>3488</v>
      </c>
      <c r="F3" s="134" t="s">
        <v>251</v>
      </c>
      <c r="G3" s="134" t="s">
        <v>3508</v>
      </c>
      <c r="H3" s="134" t="s">
        <v>252</v>
      </c>
      <c r="I3" s="134">
        <v>18934373000</v>
      </c>
      <c r="J3" s="15" t="s">
        <v>565</v>
      </c>
      <c r="K3" s="15" t="s">
        <v>3509</v>
      </c>
      <c r="L3" s="15" t="s">
        <v>255</v>
      </c>
      <c r="M3" s="207" t="s">
        <v>3510</v>
      </c>
    </row>
    <row r="4" spans="1:13" ht="119.1" customHeight="1">
      <c r="A4" s="133" t="s">
        <v>260</v>
      </c>
      <c r="B4" s="2032" t="s">
        <v>3511</v>
      </c>
      <c r="C4" s="2033"/>
      <c r="D4" s="2033"/>
      <c r="E4" s="1690" t="s">
        <v>3512</v>
      </c>
      <c r="F4" s="1690"/>
      <c r="G4" s="2032" t="s">
        <v>3513</v>
      </c>
      <c r="H4" s="2033"/>
      <c r="I4" s="2033"/>
      <c r="J4" s="2034"/>
      <c r="K4" s="420"/>
      <c r="L4" s="420"/>
      <c r="M4" s="170"/>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t="s">
        <v>3542</v>
      </c>
      <c r="B6" s="200">
        <v>631.5</v>
      </c>
      <c r="C6" s="200">
        <v>163605.5</v>
      </c>
      <c r="D6" s="200">
        <f>B6</f>
        <v>631.5</v>
      </c>
      <c r="E6" s="200">
        <f>C6</f>
        <v>163605.5</v>
      </c>
      <c r="F6" s="200"/>
      <c r="G6" s="180">
        <f>C6</f>
        <v>163605.5</v>
      </c>
      <c r="H6" s="201"/>
      <c r="I6" s="200"/>
      <c r="J6" s="200"/>
      <c r="K6" s="200"/>
      <c r="L6" s="200">
        <f t="shared" ref="L6:L13" si="0">E6-J6</f>
        <v>163605.5</v>
      </c>
      <c r="M6" s="681"/>
    </row>
    <row r="7" spans="1:13" ht="29.1" customHeight="1">
      <c r="A7" s="676" t="s">
        <v>3543</v>
      </c>
      <c r="B7" s="200">
        <v>201.5</v>
      </c>
      <c r="C7" s="200">
        <v>53922.5</v>
      </c>
      <c r="D7" s="200">
        <f t="shared" ref="D7:D13" si="1">D6+B7</f>
        <v>833</v>
      </c>
      <c r="E7" s="200">
        <f t="shared" ref="E7:E13" si="2">E6+C7</f>
        <v>217528</v>
      </c>
      <c r="F7" s="200"/>
      <c r="G7" s="180">
        <f>E7</f>
        <v>217528</v>
      </c>
      <c r="H7" s="201"/>
      <c r="I7" s="200"/>
      <c r="J7" s="200"/>
      <c r="K7" s="200">
        <f t="shared" ref="K7:K14" si="3">K6+H7-I7</f>
        <v>0</v>
      </c>
      <c r="L7" s="200">
        <f t="shared" si="0"/>
        <v>217528</v>
      </c>
      <c r="M7" s="681"/>
    </row>
    <row r="8" spans="1:13" ht="29.1" customHeight="1">
      <c r="A8" s="676" t="s">
        <v>3544</v>
      </c>
      <c r="B8" s="200">
        <v>714</v>
      </c>
      <c r="C8" s="200">
        <v>188645.5</v>
      </c>
      <c r="D8" s="200">
        <f t="shared" si="1"/>
        <v>1547</v>
      </c>
      <c r="E8" s="200">
        <f t="shared" si="2"/>
        <v>406173.5</v>
      </c>
      <c r="F8" s="180"/>
      <c r="G8" s="180">
        <f>C6*0.2+C7+C8</f>
        <v>275289.09999999998</v>
      </c>
      <c r="H8" s="180"/>
      <c r="I8" s="180"/>
      <c r="J8" s="180">
        <f>I8</f>
        <v>0</v>
      </c>
      <c r="K8" s="200">
        <f t="shared" si="3"/>
        <v>0</v>
      </c>
      <c r="L8" s="200">
        <f t="shared" si="0"/>
        <v>406173.5</v>
      </c>
      <c r="M8" s="682"/>
    </row>
    <row r="9" spans="1:13" ht="29.1" customHeight="1">
      <c r="A9" s="676" t="s">
        <v>3545</v>
      </c>
      <c r="B9" s="200">
        <v>4843.5</v>
      </c>
      <c r="C9" s="200">
        <v>1300318.5</v>
      </c>
      <c r="D9" s="200">
        <f t="shared" si="1"/>
        <v>6390.5</v>
      </c>
      <c r="E9" s="200">
        <f t="shared" si="2"/>
        <v>1706492</v>
      </c>
      <c r="F9" s="180"/>
      <c r="G9" s="180">
        <f>E7*0.2+C8+C9</f>
        <v>1532469.6</v>
      </c>
      <c r="H9" s="180">
        <f t="shared" ref="H9:H14" si="4">C6*0.8</f>
        <v>130884.40000000001</v>
      </c>
      <c r="I9" s="180"/>
      <c r="J9" s="180">
        <f>I9+J8</f>
        <v>0</v>
      </c>
      <c r="K9" s="200">
        <f t="shared" si="3"/>
        <v>130884.40000000001</v>
      </c>
      <c r="L9" s="200">
        <f t="shared" si="0"/>
        <v>1706492</v>
      </c>
      <c r="M9" s="682"/>
    </row>
    <row r="10" spans="1:13" ht="29.1" customHeight="1">
      <c r="A10" s="676">
        <v>42491</v>
      </c>
      <c r="B10" s="211">
        <v>0</v>
      </c>
      <c r="C10" s="211">
        <v>0</v>
      </c>
      <c r="D10" s="200">
        <f t="shared" si="1"/>
        <v>6390.5</v>
      </c>
      <c r="E10" s="200">
        <f t="shared" si="2"/>
        <v>1706492</v>
      </c>
      <c r="F10" s="180"/>
      <c r="G10" s="180">
        <f>E8*0.2+C9+C10</f>
        <v>1381553.2</v>
      </c>
      <c r="H10" s="180">
        <f t="shared" si="4"/>
        <v>43138</v>
      </c>
      <c r="I10" s="180"/>
      <c r="J10" s="180">
        <f>I10+J9</f>
        <v>0</v>
      </c>
      <c r="K10" s="200">
        <f t="shared" si="3"/>
        <v>174022.40000000002</v>
      </c>
      <c r="L10" s="200">
        <f t="shared" si="0"/>
        <v>1706492</v>
      </c>
      <c r="M10" s="691"/>
    </row>
    <row r="11" spans="1:13" ht="29.1" customHeight="1">
      <c r="A11" s="676">
        <v>42522</v>
      </c>
      <c r="B11" s="211">
        <v>0</v>
      </c>
      <c r="C11" s="211">
        <v>0</v>
      </c>
      <c r="D11" s="200">
        <f t="shared" si="1"/>
        <v>6390.5</v>
      </c>
      <c r="E11" s="200">
        <f t="shared" si="2"/>
        <v>1706492</v>
      </c>
      <c r="F11" s="180"/>
      <c r="G11" s="180">
        <f>E9*0.2+C10+C11</f>
        <v>341298.4</v>
      </c>
      <c r="H11" s="180">
        <f t="shared" si="4"/>
        <v>150916.4</v>
      </c>
      <c r="I11" s="180"/>
      <c r="J11" s="180">
        <f>I11+J10</f>
        <v>0</v>
      </c>
      <c r="K11" s="200">
        <f t="shared" si="3"/>
        <v>324938.80000000005</v>
      </c>
      <c r="L11" s="200">
        <f t="shared" si="0"/>
        <v>1706492</v>
      </c>
      <c r="M11" s="691"/>
    </row>
    <row r="12" spans="1:13" ht="29.1" customHeight="1">
      <c r="A12" s="676">
        <v>42552</v>
      </c>
      <c r="B12" s="211">
        <v>173</v>
      </c>
      <c r="C12" s="211">
        <v>43129</v>
      </c>
      <c r="D12" s="200">
        <f t="shared" si="1"/>
        <v>6563.5</v>
      </c>
      <c r="E12" s="200">
        <f t="shared" si="2"/>
        <v>1749621</v>
      </c>
      <c r="F12" s="180"/>
      <c r="G12" s="180">
        <f>E10*0.2+C11+C12</f>
        <v>384427.4</v>
      </c>
      <c r="H12" s="180">
        <f t="shared" si="4"/>
        <v>1040254.8</v>
      </c>
      <c r="I12" s="180">
        <v>321850</v>
      </c>
      <c r="J12" s="180">
        <f>I12+J11</f>
        <v>321850</v>
      </c>
      <c r="K12" s="200">
        <f t="shared" si="3"/>
        <v>1043343.6000000001</v>
      </c>
      <c r="L12" s="200">
        <f t="shared" si="0"/>
        <v>1427771</v>
      </c>
      <c r="M12" s="412" t="s">
        <v>3546</v>
      </c>
    </row>
    <row r="13" spans="1:13" ht="29.1" customHeight="1">
      <c r="A13" s="678">
        <v>42583</v>
      </c>
      <c r="B13" s="211">
        <v>0</v>
      </c>
      <c r="C13" s="211">
        <v>0</v>
      </c>
      <c r="D13" s="200">
        <f t="shared" si="1"/>
        <v>6563.5</v>
      </c>
      <c r="E13" s="200">
        <f t="shared" si="2"/>
        <v>1749621</v>
      </c>
      <c r="F13" s="180"/>
      <c r="G13" s="180">
        <f>E11*0.2+C12+C13</f>
        <v>384427.4</v>
      </c>
      <c r="H13" s="180">
        <f t="shared" si="4"/>
        <v>0</v>
      </c>
      <c r="I13" s="180">
        <f>458809.5+584420.5</f>
        <v>1043230</v>
      </c>
      <c r="J13" s="180">
        <f>I13+J12</f>
        <v>1365080</v>
      </c>
      <c r="K13" s="200">
        <f t="shared" si="3"/>
        <v>113.60000000009313</v>
      </c>
      <c r="L13" s="200">
        <f t="shared" si="0"/>
        <v>384541</v>
      </c>
      <c r="M13" s="412"/>
    </row>
    <row r="14" spans="1:13" ht="29.1" customHeight="1">
      <c r="A14" s="678"/>
      <c r="B14" s="211"/>
      <c r="C14" s="211"/>
      <c r="D14" s="200"/>
      <c r="E14" s="200"/>
      <c r="F14" s="180"/>
      <c r="G14" s="180"/>
      <c r="H14" s="180">
        <f t="shared" si="4"/>
        <v>0</v>
      </c>
      <c r="I14" s="180"/>
      <c r="J14" s="180"/>
      <c r="K14" s="200">
        <f t="shared" si="3"/>
        <v>113.60000000009313</v>
      </c>
      <c r="L14" s="211"/>
      <c r="M14" s="412" t="s">
        <v>3547</v>
      </c>
    </row>
    <row r="15" spans="1:13" ht="29.1" customHeight="1">
      <c r="A15" s="678"/>
      <c r="B15" s="211"/>
      <c r="C15" s="211"/>
      <c r="D15" s="200"/>
      <c r="E15" s="200"/>
      <c r="F15" s="180"/>
      <c r="G15" s="180"/>
      <c r="H15" s="180"/>
      <c r="I15" s="180"/>
      <c r="J15" s="180"/>
      <c r="K15" s="200"/>
      <c r="L15" s="211"/>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200"/>
      <c r="L17" s="180"/>
      <c r="M17" s="412"/>
    </row>
    <row r="18" spans="1:13" ht="29.1" customHeight="1">
      <c r="A18" s="678"/>
      <c r="B18" s="211"/>
      <c r="C18" s="211"/>
      <c r="D18" s="200"/>
      <c r="E18" s="482"/>
      <c r="F18" s="180"/>
      <c r="G18" s="180"/>
      <c r="H18" s="180"/>
      <c r="I18" s="180"/>
      <c r="J18" s="180"/>
      <c r="K18" s="200"/>
      <c r="L18" s="180"/>
      <c r="M18" s="412"/>
    </row>
    <row r="19" spans="1:13" ht="29.1" customHeight="1">
      <c r="A19" s="678"/>
      <c r="B19" s="211"/>
      <c r="C19" s="211"/>
      <c r="D19" s="200"/>
      <c r="E19" s="482"/>
      <c r="F19" s="180"/>
      <c r="G19" s="180"/>
      <c r="H19" s="180"/>
      <c r="I19" s="180"/>
      <c r="J19" s="180"/>
      <c r="K19" s="180"/>
      <c r="L19" s="180"/>
      <c r="M19" s="412"/>
    </row>
    <row r="20" spans="1:13" ht="29.1" customHeight="1">
      <c r="A20" s="678"/>
      <c r="B20" s="211"/>
      <c r="C20" s="211"/>
      <c r="D20" s="200"/>
      <c r="E20" s="482"/>
      <c r="F20" s="180"/>
      <c r="G20" s="180"/>
      <c r="H20" s="180"/>
      <c r="I20" s="180"/>
      <c r="J20" s="180"/>
      <c r="K20" s="180"/>
      <c r="L20" s="180"/>
      <c r="M20" s="412"/>
    </row>
    <row r="21" spans="1:13" ht="29.1" customHeight="1">
      <c r="A21" s="678"/>
      <c r="B21" s="211"/>
      <c r="C21" s="211"/>
      <c r="D21" s="200"/>
      <c r="E21" s="482"/>
      <c r="F21" s="180"/>
      <c r="G21" s="180"/>
      <c r="H21" s="180"/>
      <c r="I21" s="180"/>
      <c r="J21" s="180"/>
      <c r="K21" s="180"/>
      <c r="L21" s="180"/>
      <c r="M21" s="412"/>
    </row>
    <row r="22" spans="1:13" ht="29.1" customHeight="1">
      <c r="A22" s="216"/>
      <c r="B22" s="216"/>
      <c r="C22" s="216"/>
      <c r="D22" s="180"/>
      <c r="E22" s="679"/>
      <c r="F22" s="180"/>
      <c r="G22" s="180"/>
      <c r="H22" s="180"/>
      <c r="I22" s="180"/>
      <c r="J22" s="180"/>
      <c r="K22" s="180"/>
      <c r="L22" s="180"/>
      <c r="M22" s="412"/>
    </row>
  </sheetData>
  <mergeCells count="10">
    <mergeCell ref="B3:C3"/>
    <mergeCell ref="B4:D4"/>
    <mergeCell ref="E4:F4"/>
    <mergeCell ref="G4:J4"/>
    <mergeCell ref="G1:H1"/>
    <mergeCell ref="J1:L1"/>
    <mergeCell ref="B2:C2"/>
    <mergeCell ref="E2:F2"/>
    <mergeCell ref="G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19" zoomScaleSheetLayoutView="100" workbookViewId="0">
      <selection activeCell="A29" sqref="A29"/>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17.25" customWidth="1"/>
    <col min="7" max="7" width="14.125" bestFit="1" customWidth="1"/>
    <col min="8" max="8" width="16.625" customWidth="1"/>
    <col min="9" max="10" width="13.625" customWidth="1"/>
    <col min="11" max="11" width="17.375" customWidth="1"/>
    <col min="12" max="12" width="15" customWidth="1"/>
    <col min="13" max="13" width="50.5" customWidth="1"/>
  </cols>
  <sheetData>
    <row r="1" spans="1:13" ht="81.95" customHeight="1">
      <c r="A1" s="2069" t="s">
        <v>556</v>
      </c>
      <c r="B1" s="2072" t="s">
        <v>3548</v>
      </c>
      <c r="C1" s="2129" t="s">
        <v>3549</v>
      </c>
      <c r="D1" s="2131" t="s">
        <v>3367</v>
      </c>
      <c r="E1" s="2131" t="s">
        <v>3550</v>
      </c>
      <c r="F1" s="413"/>
      <c r="G1" s="2113" t="s">
        <v>3551</v>
      </c>
      <c r="H1" s="2113"/>
      <c r="I1" s="134" t="s">
        <v>744</v>
      </c>
      <c r="J1" s="2122" t="s">
        <v>3552</v>
      </c>
      <c r="K1" s="2122"/>
      <c r="L1" s="2122"/>
      <c r="M1" s="688" t="s">
        <v>3553</v>
      </c>
    </row>
    <row r="2" spans="1:13" ht="81.95" customHeight="1">
      <c r="A2" s="1710"/>
      <c r="B2" s="1716"/>
      <c r="C2" s="2130"/>
      <c r="D2" s="1716"/>
      <c r="E2" s="1716"/>
      <c r="F2" s="413"/>
      <c r="G2" s="2123"/>
      <c r="H2" s="2124"/>
      <c r="I2" s="689" t="s">
        <v>425</v>
      </c>
      <c r="J2" s="2125" t="s">
        <v>3554</v>
      </c>
      <c r="K2" s="2125"/>
      <c r="L2" s="2125"/>
      <c r="M2" s="2126"/>
    </row>
    <row r="3" spans="1:13" ht="41.1" customHeight="1">
      <c r="A3" s="133" t="s">
        <v>240</v>
      </c>
      <c r="B3" s="1682" t="s">
        <v>3555</v>
      </c>
      <c r="C3" s="1682"/>
      <c r="D3" s="134" t="s">
        <v>242</v>
      </c>
      <c r="E3" s="1689"/>
      <c r="F3" s="1689"/>
      <c r="G3" s="1689"/>
      <c r="H3" s="1689"/>
      <c r="I3" s="166" t="s">
        <v>243</v>
      </c>
      <c r="J3" s="2127" t="s">
        <v>421</v>
      </c>
      <c r="K3" s="2128"/>
      <c r="L3" s="397" t="s">
        <v>245</v>
      </c>
      <c r="M3" s="690" t="s">
        <v>3556</v>
      </c>
    </row>
    <row r="4" spans="1:13" ht="39" customHeight="1">
      <c r="A4" s="133" t="s">
        <v>247</v>
      </c>
      <c r="B4" s="1682" t="s">
        <v>156</v>
      </c>
      <c r="C4" s="1682"/>
      <c r="D4" s="134" t="s">
        <v>249</v>
      </c>
      <c r="E4" s="136" t="s">
        <v>3161</v>
      </c>
      <c r="F4" s="134" t="s">
        <v>251</v>
      </c>
      <c r="G4" s="134" t="s">
        <v>3557</v>
      </c>
      <c r="H4" s="134" t="s">
        <v>252</v>
      </c>
      <c r="I4" s="134">
        <v>13590127538</v>
      </c>
      <c r="J4" s="15" t="s">
        <v>565</v>
      </c>
      <c r="K4" s="15" t="s">
        <v>3558</v>
      </c>
      <c r="L4" s="15" t="s">
        <v>255</v>
      </c>
      <c r="M4" s="207"/>
    </row>
    <row r="5" spans="1:13" ht="83.1" customHeight="1">
      <c r="A5" s="133" t="s">
        <v>260</v>
      </c>
      <c r="B5" s="2032" t="s">
        <v>3559</v>
      </c>
      <c r="C5" s="2033"/>
      <c r="D5" s="2033"/>
      <c r="E5" s="1726" t="s">
        <v>1854</v>
      </c>
      <c r="F5" s="1726"/>
      <c r="G5" s="2045"/>
      <c r="H5" s="2046"/>
      <c r="I5" s="2097"/>
      <c r="J5" s="1697"/>
      <c r="K5" s="1697"/>
      <c r="L5" s="1697"/>
      <c r="M5" s="1846"/>
    </row>
    <row r="6" spans="1:13" ht="28.5">
      <c r="A6" s="357" t="s">
        <v>266</v>
      </c>
      <c r="B6" s="20" t="s">
        <v>1150</v>
      </c>
      <c r="C6" s="20" t="s">
        <v>268</v>
      </c>
      <c r="D6" s="20" t="s">
        <v>269</v>
      </c>
      <c r="E6" s="20" t="s">
        <v>270</v>
      </c>
      <c r="F6" s="20" t="s">
        <v>271</v>
      </c>
      <c r="G6" s="21" t="s">
        <v>272</v>
      </c>
      <c r="H6" s="22" t="s">
        <v>273</v>
      </c>
      <c r="I6" s="20" t="s">
        <v>274</v>
      </c>
      <c r="J6" s="70" t="s">
        <v>275</v>
      </c>
      <c r="K6" s="70" t="s">
        <v>276</v>
      </c>
      <c r="L6" s="20" t="s">
        <v>277</v>
      </c>
      <c r="M6" s="71" t="s">
        <v>278</v>
      </c>
    </row>
    <row r="7" spans="1:13" ht="29.1" customHeight="1">
      <c r="A7" s="676">
        <v>42370</v>
      </c>
      <c r="B7" s="200">
        <v>17</v>
      </c>
      <c r="C7" s="200">
        <v>4940</v>
      </c>
      <c r="D7" s="200">
        <f>B7</f>
        <v>17</v>
      </c>
      <c r="E7" s="200">
        <f>C7</f>
        <v>4940</v>
      </c>
      <c r="F7" s="200"/>
      <c r="G7" s="180">
        <f>E7</f>
        <v>4940</v>
      </c>
      <c r="H7" s="201"/>
      <c r="I7" s="200"/>
      <c r="J7" s="200"/>
      <c r="K7" s="200"/>
      <c r="L7" s="200">
        <f t="shared" ref="L7:L16" si="0">E7-J7</f>
        <v>4940</v>
      </c>
      <c r="M7" s="681"/>
    </row>
    <row r="8" spans="1:13" ht="29.1" customHeight="1">
      <c r="A8" s="676">
        <v>42401</v>
      </c>
      <c r="B8" s="200">
        <v>187</v>
      </c>
      <c r="C8" s="200">
        <v>50740</v>
      </c>
      <c r="D8" s="200">
        <f t="shared" ref="D8:D17" si="1">D7+B8</f>
        <v>204</v>
      </c>
      <c r="E8" s="200">
        <f t="shared" ref="E8:E17" si="2">E7+C8</f>
        <v>55680</v>
      </c>
      <c r="F8" s="200"/>
      <c r="G8" s="180">
        <f>E8</f>
        <v>55680</v>
      </c>
      <c r="H8" s="201"/>
      <c r="I8" s="200"/>
      <c r="J8" s="200"/>
      <c r="K8" s="200">
        <f t="shared" ref="K8:K16" si="3">K7+H8-I8</f>
        <v>0</v>
      </c>
      <c r="L8" s="200">
        <f t="shared" si="0"/>
        <v>55680</v>
      </c>
      <c r="M8" s="681"/>
    </row>
    <row r="9" spans="1:13" ht="29.1" customHeight="1">
      <c r="A9" s="676">
        <v>42430</v>
      </c>
      <c r="B9" s="200">
        <v>141</v>
      </c>
      <c r="C9" s="200">
        <v>39915</v>
      </c>
      <c r="D9" s="200">
        <f t="shared" si="1"/>
        <v>345</v>
      </c>
      <c r="E9" s="200">
        <f t="shared" si="2"/>
        <v>95595</v>
      </c>
      <c r="F9" s="180"/>
      <c r="G9" s="180">
        <f>C7*0.3+C8+C9</f>
        <v>92137</v>
      </c>
      <c r="H9" s="180"/>
      <c r="I9" s="180"/>
      <c r="J9" s="180"/>
      <c r="K9" s="200">
        <f t="shared" si="3"/>
        <v>0</v>
      </c>
      <c r="L9" s="200">
        <f t="shared" si="0"/>
        <v>95595</v>
      </c>
      <c r="M9" s="682"/>
    </row>
    <row r="10" spans="1:13" ht="29.1" customHeight="1">
      <c r="A10" s="676">
        <v>42461</v>
      </c>
      <c r="B10" s="200">
        <v>396</v>
      </c>
      <c r="C10" s="200">
        <v>110710</v>
      </c>
      <c r="D10" s="200">
        <f t="shared" si="1"/>
        <v>741</v>
      </c>
      <c r="E10" s="200">
        <f t="shared" si="2"/>
        <v>206305</v>
      </c>
      <c r="F10" s="180"/>
      <c r="G10" s="180">
        <f t="shared" ref="G10:G17" si="4">E8*0.3+C9+C10</f>
        <v>167329</v>
      </c>
      <c r="H10" s="180">
        <f>C7*0.7</f>
        <v>3458</v>
      </c>
      <c r="I10" s="180"/>
      <c r="J10" s="180"/>
      <c r="K10" s="200">
        <f t="shared" si="3"/>
        <v>3458</v>
      </c>
      <c r="L10" s="200">
        <f t="shared" si="0"/>
        <v>206305</v>
      </c>
      <c r="M10" s="682"/>
    </row>
    <row r="11" spans="1:13" ht="29.1" customHeight="1">
      <c r="A11" s="677">
        <v>42491</v>
      </c>
      <c r="B11" s="211">
        <v>2165</v>
      </c>
      <c r="C11" s="211">
        <v>616930</v>
      </c>
      <c r="D11" s="200">
        <f t="shared" si="1"/>
        <v>2906</v>
      </c>
      <c r="E11" s="200">
        <f t="shared" si="2"/>
        <v>823235</v>
      </c>
      <c r="F11" s="180"/>
      <c r="G11" s="180">
        <f t="shared" si="4"/>
        <v>756318.5</v>
      </c>
      <c r="H11" s="180">
        <f t="shared" ref="H11:H18" si="5">C8*0.7</f>
        <v>35518</v>
      </c>
      <c r="I11" s="180"/>
      <c r="J11" s="180"/>
      <c r="K11" s="200">
        <f t="shared" si="3"/>
        <v>38976</v>
      </c>
      <c r="L11" s="200">
        <f t="shared" si="0"/>
        <v>823235</v>
      </c>
      <c r="M11" s="682"/>
    </row>
    <row r="12" spans="1:13" ht="29.1" customHeight="1">
      <c r="A12" s="677">
        <v>42522</v>
      </c>
      <c r="B12" s="211">
        <v>3259.5</v>
      </c>
      <c r="C12" s="211">
        <v>961460</v>
      </c>
      <c r="D12" s="200">
        <f t="shared" si="1"/>
        <v>6165.5</v>
      </c>
      <c r="E12" s="200">
        <f t="shared" si="2"/>
        <v>1784695</v>
      </c>
      <c r="F12" s="180"/>
      <c r="G12" s="180">
        <f t="shared" si="4"/>
        <v>1640281.5</v>
      </c>
      <c r="H12" s="180">
        <f t="shared" si="5"/>
        <v>27940.5</v>
      </c>
      <c r="I12" s="180"/>
      <c r="J12" s="180"/>
      <c r="K12" s="200">
        <f t="shared" si="3"/>
        <v>66916.5</v>
      </c>
      <c r="L12" s="200">
        <f t="shared" si="0"/>
        <v>1784695</v>
      </c>
      <c r="M12" s="682"/>
    </row>
    <row r="13" spans="1:13" ht="29.1" customHeight="1">
      <c r="A13" s="678">
        <v>42552</v>
      </c>
      <c r="B13" s="211">
        <v>2153</v>
      </c>
      <c r="C13" s="211">
        <v>649660</v>
      </c>
      <c r="D13" s="200">
        <f t="shared" si="1"/>
        <v>8318.5</v>
      </c>
      <c r="E13" s="200">
        <f t="shared" si="2"/>
        <v>2434355</v>
      </c>
      <c r="F13" s="180"/>
      <c r="G13" s="180">
        <f t="shared" si="4"/>
        <v>1858090.5</v>
      </c>
      <c r="H13" s="180">
        <f t="shared" si="5"/>
        <v>77497</v>
      </c>
      <c r="I13" s="180"/>
      <c r="J13" s="180"/>
      <c r="K13" s="200">
        <f t="shared" si="3"/>
        <v>144413.5</v>
      </c>
      <c r="L13" s="200">
        <f t="shared" si="0"/>
        <v>2434355</v>
      </c>
      <c r="M13" s="682" t="s">
        <v>3560</v>
      </c>
    </row>
    <row r="14" spans="1:13" ht="29.1" customHeight="1">
      <c r="A14" s="678">
        <v>42583</v>
      </c>
      <c r="B14" s="211">
        <v>2002</v>
      </c>
      <c r="C14" s="211">
        <v>592170</v>
      </c>
      <c r="D14" s="200">
        <f t="shared" si="1"/>
        <v>10320.5</v>
      </c>
      <c r="E14" s="200">
        <f t="shared" si="2"/>
        <v>3026525</v>
      </c>
      <c r="F14" s="180"/>
      <c r="G14" s="180">
        <f t="shared" si="4"/>
        <v>1777238.5</v>
      </c>
      <c r="H14" s="180">
        <f t="shared" si="5"/>
        <v>431851</v>
      </c>
      <c r="I14" s="180">
        <v>570000</v>
      </c>
      <c r="J14" s="180">
        <f>I14</f>
        <v>570000</v>
      </c>
      <c r="K14" s="200">
        <f t="shared" si="3"/>
        <v>6264.5</v>
      </c>
      <c r="L14" s="200">
        <f t="shared" si="0"/>
        <v>2456525</v>
      </c>
      <c r="M14" s="682"/>
    </row>
    <row r="15" spans="1:13" ht="29.1" customHeight="1">
      <c r="A15" s="678">
        <v>42614</v>
      </c>
      <c r="B15" s="211">
        <v>1960.5</v>
      </c>
      <c r="C15" s="211">
        <v>591635</v>
      </c>
      <c r="D15" s="200">
        <f t="shared" si="1"/>
        <v>12281</v>
      </c>
      <c r="E15" s="218">
        <f t="shared" si="2"/>
        <v>3618160</v>
      </c>
      <c r="F15" s="180"/>
      <c r="G15" s="180">
        <f t="shared" si="4"/>
        <v>1914111.5</v>
      </c>
      <c r="H15" s="180">
        <f t="shared" si="5"/>
        <v>673022</v>
      </c>
      <c r="I15" s="180">
        <v>670000</v>
      </c>
      <c r="J15" s="180">
        <f>I15+J14</f>
        <v>1240000</v>
      </c>
      <c r="K15" s="200">
        <f t="shared" si="3"/>
        <v>9286.5</v>
      </c>
      <c r="L15" s="200">
        <f t="shared" si="0"/>
        <v>2378160</v>
      </c>
      <c r="M15" s="682" t="s">
        <v>3561</v>
      </c>
    </row>
    <row r="16" spans="1:13" ht="29.1" customHeight="1">
      <c r="A16" s="678">
        <v>42644</v>
      </c>
      <c r="B16" s="211">
        <v>2005</v>
      </c>
      <c r="C16" s="685">
        <v>598045</v>
      </c>
      <c r="D16" s="200">
        <f t="shared" si="1"/>
        <v>14286</v>
      </c>
      <c r="E16" s="200">
        <f t="shared" si="2"/>
        <v>4216205</v>
      </c>
      <c r="F16" s="180"/>
      <c r="G16" s="180">
        <f t="shared" si="4"/>
        <v>2097637.5</v>
      </c>
      <c r="H16" s="180">
        <f t="shared" si="5"/>
        <v>454762</v>
      </c>
      <c r="I16" s="180"/>
      <c r="J16" s="180">
        <f>I16+J15</f>
        <v>1240000</v>
      </c>
      <c r="K16" s="200">
        <f t="shared" si="3"/>
        <v>464048.5</v>
      </c>
      <c r="L16" s="200">
        <f t="shared" si="0"/>
        <v>2976205</v>
      </c>
      <c r="M16" s="682" t="s">
        <v>3562</v>
      </c>
    </row>
    <row r="17" spans="1:13" ht="29.1" customHeight="1">
      <c r="A17" s="678">
        <v>42675</v>
      </c>
      <c r="B17" s="211">
        <v>881.5</v>
      </c>
      <c r="C17" s="211">
        <v>263532.5</v>
      </c>
      <c r="D17" s="200">
        <f t="shared" si="1"/>
        <v>15167.5</v>
      </c>
      <c r="E17" s="200">
        <f t="shared" si="2"/>
        <v>4479737.5</v>
      </c>
      <c r="F17" s="180"/>
      <c r="G17" s="180">
        <f t="shared" si="4"/>
        <v>1947025.5</v>
      </c>
      <c r="H17" s="180">
        <f t="shared" si="5"/>
        <v>414519</v>
      </c>
      <c r="I17" s="180">
        <v>450000</v>
      </c>
      <c r="J17" s="180">
        <f>I17+J16</f>
        <v>1690000</v>
      </c>
      <c r="K17" s="200">
        <f t="shared" ref="K17:K29" si="6">K16+H17-I17</f>
        <v>428567.5</v>
      </c>
      <c r="L17" s="200">
        <f>E17-J17</f>
        <v>2789737.5</v>
      </c>
      <c r="M17" s="682"/>
    </row>
    <row r="18" spans="1:13" ht="29.1" customHeight="1">
      <c r="A18" s="678">
        <v>42705</v>
      </c>
      <c r="B18" s="211">
        <v>486</v>
      </c>
      <c r="C18" s="211">
        <v>147415</v>
      </c>
      <c r="D18" s="200">
        <f t="shared" ref="D18:D28" si="7">D17+B18</f>
        <v>15653.5</v>
      </c>
      <c r="E18" s="200">
        <f t="shared" ref="E18:E28" si="8">E17+C18</f>
        <v>4627152.5</v>
      </c>
      <c r="F18" s="180"/>
      <c r="G18" s="180">
        <f>E15*0.3*2/3+C17+C18+C22</f>
        <v>1181944.5</v>
      </c>
      <c r="H18" s="180">
        <f t="shared" si="5"/>
        <v>414144.5</v>
      </c>
      <c r="I18" s="180">
        <v>830000</v>
      </c>
      <c r="J18" s="180">
        <f t="shared" ref="J18:J28" si="9">I18+J17</f>
        <v>2520000</v>
      </c>
      <c r="K18" s="200">
        <f t="shared" si="6"/>
        <v>12712</v>
      </c>
      <c r="L18" s="200">
        <f>E18-J18</f>
        <v>2107152.5</v>
      </c>
      <c r="M18" s="682" t="s">
        <v>3563</v>
      </c>
    </row>
    <row r="19" spans="1:13" ht="29.1" customHeight="1">
      <c r="A19" s="686" t="s">
        <v>3564</v>
      </c>
      <c r="B19" s="687"/>
      <c r="C19" s="687">
        <f>28490.5/2</f>
        <v>14245.25</v>
      </c>
      <c r="D19" s="200">
        <f t="shared" si="7"/>
        <v>15653.5</v>
      </c>
      <c r="E19" s="200">
        <f t="shared" si="8"/>
        <v>4641397.75</v>
      </c>
      <c r="F19" s="180"/>
      <c r="G19" s="180"/>
      <c r="H19" s="180">
        <f>C19</f>
        <v>14245.25</v>
      </c>
      <c r="I19" s="180"/>
      <c r="J19" s="180">
        <f t="shared" si="9"/>
        <v>2520000</v>
      </c>
      <c r="K19" s="200">
        <f t="shared" si="6"/>
        <v>26957.25</v>
      </c>
      <c r="L19" s="200">
        <f>E19-J19</f>
        <v>2121397.75</v>
      </c>
      <c r="M19" s="682"/>
    </row>
    <row r="20" spans="1:13" ht="29.1" customHeight="1">
      <c r="A20" s="686" t="s">
        <v>1403</v>
      </c>
      <c r="B20" s="687"/>
      <c r="C20" s="687">
        <f>74556.5/2</f>
        <v>37278.25</v>
      </c>
      <c r="D20" s="200">
        <f t="shared" si="7"/>
        <v>15653.5</v>
      </c>
      <c r="E20" s="200">
        <f t="shared" si="8"/>
        <v>4678676</v>
      </c>
      <c r="F20" s="180"/>
      <c r="G20" s="180"/>
      <c r="H20" s="180">
        <f>C20</f>
        <v>37278.25</v>
      </c>
      <c r="I20" s="180"/>
      <c r="J20" s="180">
        <f t="shared" si="9"/>
        <v>2520000</v>
      </c>
      <c r="K20" s="200">
        <f t="shared" si="6"/>
        <v>64235.5</v>
      </c>
      <c r="L20" s="200">
        <f>E20-J20</f>
        <v>2158676</v>
      </c>
      <c r="M20" s="682"/>
    </row>
    <row r="21" spans="1:13" ht="29.1" customHeight="1">
      <c r="A21" s="686" t="s">
        <v>1404</v>
      </c>
      <c r="B21" s="687"/>
      <c r="C21" s="687">
        <f>69643/2</f>
        <v>34821.5</v>
      </c>
      <c r="D21" s="200">
        <f t="shared" si="7"/>
        <v>15653.5</v>
      </c>
      <c r="E21" s="200">
        <f t="shared" si="8"/>
        <v>4713497.5</v>
      </c>
      <c r="F21" s="180"/>
      <c r="G21" s="180"/>
      <c r="H21" s="180">
        <f>C21</f>
        <v>34821.5</v>
      </c>
      <c r="I21" s="180"/>
      <c r="J21" s="180">
        <f t="shared" si="9"/>
        <v>2520000</v>
      </c>
      <c r="K21" s="200">
        <f t="shared" si="6"/>
        <v>99057</v>
      </c>
      <c r="L21" s="200">
        <f>E21-J21</f>
        <v>2193497.5</v>
      </c>
      <c r="M21" s="682"/>
    </row>
    <row r="22" spans="1:13" ht="29.1" customHeight="1">
      <c r="A22" s="678">
        <v>42736</v>
      </c>
      <c r="B22" s="211">
        <v>139</v>
      </c>
      <c r="C22" s="211">
        <v>47365</v>
      </c>
      <c r="D22" s="200">
        <f t="shared" si="7"/>
        <v>15792.5</v>
      </c>
      <c r="E22" s="200">
        <f t="shared" si="8"/>
        <v>4760862.5</v>
      </c>
      <c r="F22" s="180"/>
      <c r="G22" s="180">
        <f>E15*0.3*1/3+C18+C22</f>
        <v>556596</v>
      </c>
      <c r="H22" s="180">
        <f>E15*0.3*1/3+C16</f>
        <v>959861</v>
      </c>
      <c r="I22" s="180">
        <v>496910</v>
      </c>
      <c r="J22" s="180">
        <f t="shared" si="9"/>
        <v>3016910</v>
      </c>
      <c r="K22" s="200">
        <f t="shared" si="6"/>
        <v>562008</v>
      </c>
      <c r="L22" s="200">
        <f t="shared" ref="L22:L28" si="10">E22-J22</f>
        <v>1743952.5</v>
      </c>
      <c r="M22" s="682" t="s">
        <v>3565</v>
      </c>
    </row>
    <row r="23" spans="1:13" ht="29.1" customHeight="1">
      <c r="A23" s="678">
        <v>42795</v>
      </c>
      <c r="B23" s="211">
        <v>225</v>
      </c>
      <c r="C23" s="211">
        <v>69200</v>
      </c>
      <c r="D23" s="200">
        <f t="shared" si="7"/>
        <v>16017.5</v>
      </c>
      <c r="E23" s="200">
        <f t="shared" si="8"/>
        <v>4830062.5</v>
      </c>
      <c r="F23" s="180"/>
      <c r="G23" s="180">
        <f>C22+C23</f>
        <v>116565</v>
      </c>
      <c r="H23" s="180">
        <f>E15*0.3*1/3+C17</f>
        <v>625348.5</v>
      </c>
      <c r="I23" s="180"/>
      <c r="J23" s="180">
        <f t="shared" si="9"/>
        <v>3016910</v>
      </c>
      <c r="K23" s="200">
        <f t="shared" si="6"/>
        <v>1187356.5</v>
      </c>
      <c r="L23" s="200">
        <f t="shared" si="10"/>
        <v>1813152.5</v>
      </c>
      <c r="M23" s="682"/>
    </row>
    <row r="24" spans="1:13" ht="29.1" customHeight="1">
      <c r="A24" s="678">
        <v>42826</v>
      </c>
      <c r="B24" s="211">
        <v>109</v>
      </c>
      <c r="C24" s="211">
        <v>33270</v>
      </c>
      <c r="D24" s="200">
        <f t="shared" si="7"/>
        <v>16126.5</v>
      </c>
      <c r="E24" s="200">
        <f t="shared" si="8"/>
        <v>4863332.5</v>
      </c>
      <c r="F24" s="180"/>
      <c r="G24" s="180"/>
      <c r="H24" s="180"/>
      <c r="I24" s="180"/>
      <c r="J24" s="180">
        <f t="shared" si="9"/>
        <v>3016910</v>
      </c>
      <c r="K24" s="200">
        <f t="shared" si="6"/>
        <v>1187356.5</v>
      </c>
      <c r="L24" s="200">
        <f t="shared" si="10"/>
        <v>1846422.5</v>
      </c>
      <c r="M24" s="682"/>
    </row>
    <row r="25" spans="1:13" ht="29.1" customHeight="1">
      <c r="A25" s="678">
        <v>42856</v>
      </c>
      <c r="B25" s="211">
        <v>0</v>
      </c>
      <c r="C25" s="211">
        <v>0</v>
      </c>
      <c r="D25" s="200">
        <f t="shared" si="7"/>
        <v>16126.5</v>
      </c>
      <c r="E25" s="200">
        <f t="shared" si="8"/>
        <v>4863332.5</v>
      </c>
      <c r="F25" s="180"/>
      <c r="G25" s="180">
        <f>C23+C25</f>
        <v>69200</v>
      </c>
      <c r="H25" s="180">
        <f>E15*0.3*1/3+C18</f>
        <v>509231</v>
      </c>
      <c r="I25" s="180"/>
      <c r="J25" s="180">
        <f t="shared" si="9"/>
        <v>3016910</v>
      </c>
      <c r="K25" s="200">
        <f t="shared" si="6"/>
        <v>1696587.5</v>
      </c>
      <c r="L25" s="200">
        <f t="shared" si="10"/>
        <v>1846422.5</v>
      </c>
      <c r="M25" s="682"/>
    </row>
    <row r="26" spans="1:13" ht="29.1" customHeight="1">
      <c r="A26" s="678">
        <v>42887</v>
      </c>
      <c r="B26" s="211">
        <v>180</v>
      </c>
      <c r="C26" s="211">
        <v>57600</v>
      </c>
      <c r="D26" s="200">
        <f t="shared" si="7"/>
        <v>16306.5</v>
      </c>
      <c r="E26" s="200">
        <f t="shared" si="8"/>
        <v>4920932.5</v>
      </c>
      <c r="F26" s="180"/>
      <c r="G26" s="180">
        <f>+C26</f>
        <v>57600</v>
      </c>
      <c r="H26" s="180">
        <f>C22</f>
        <v>47365</v>
      </c>
      <c r="I26" s="180">
        <f>1001725.54+150000</f>
        <v>1151725.54</v>
      </c>
      <c r="J26" s="180">
        <f t="shared" si="9"/>
        <v>4168635.54</v>
      </c>
      <c r="K26" s="200">
        <f t="shared" si="6"/>
        <v>592226.96</v>
      </c>
      <c r="L26" s="200">
        <f t="shared" si="10"/>
        <v>752296.95999999996</v>
      </c>
      <c r="M26" s="682" t="s">
        <v>3566</v>
      </c>
    </row>
    <row r="27" spans="1:13" ht="29.1" customHeight="1">
      <c r="A27" s="678">
        <v>42917</v>
      </c>
      <c r="B27" s="211">
        <v>401</v>
      </c>
      <c r="C27" s="211">
        <v>128200</v>
      </c>
      <c r="D27" s="200">
        <f t="shared" si="7"/>
        <v>16707.5</v>
      </c>
      <c r="E27" s="200">
        <f t="shared" si="8"/>
        <v>5049132.5</v>
      </c>
      <c r="F27" s="180"/>
      <c r="G27" s="180">
        <f>C26+C27</f>
        <v>185800</v>
      </c>
      <c r="H27" s="180">
        <f>C23</f>
        <v>69200</v>
      </c>
      <c r="I27" s="180"/>
      <c r="J27" s="180">
        <f t="shared" si="9"/>
        <v>4168635.54</v>
      </c>
      <c r="K27" s="200">
        <f t="shared" si="6"/>
        <v>661426.96</v>
      </c>
      <c r="L27" s="200">
        <f t="shared" si="10"/>
        <v>880496.96</v>
      </c>
      <c r="M27" s="682"/>
    </row>
    <row r="28" spans="1:13" ht="29.1" customHeight="1">
      <c r="A28" s="678">
        <v>42948</v>
      </c>
      <c r="B28" s="211">
        <v>0</v>
      </c>
      <c r="C28" s="216">
        <v>0</v>
      </c>
      <c r="D28" s="200">
        <f t="shared" si="7"/>
        <v>16707.5</v>
      </c>
      <c r="E28" s="200">
        <f t="shared" si="8"/>
        <v>5049132.5</v>
      </c>
      <c r="F28" s="180"/>
      <c r="G28" s="180">
        <f>C27+C28+C26</f>
        <v>185800</v>
      </c>
      <c r="H28" s="180">
        <f>C24</f>
        <v>33270</v>
      </c>
      <c r="I28" s="180"/>
      <c r="J28" s="180">
        <f t="shared" si="9"/>
        <v>4168635.54</v>
      </c>
      <c r="K28" s="200">
        <f t="shared" si="6"/>
        <v>694696.95999999996</v>
      </c>
      <c r="L28" s="200">
        <f t="shared" si="10"/>
        <v>880496.96</v>
      </c>
      <c r="M28" s="682"/>
    </row>
    <row r="29" spans="1:13" ht="29.1" customHeight="1">
      <c r="A29" s="678"/>
      <c r="B29" s="211"/>
      <c r="C29" s="216"/>
      <c r="D29" s="200"/>
      <c r="E29" s="482"/>
      <c r="F29" s="180"/>
      <c r="G29" s="180"/>
      <c r="H29" s="180">
        <f>C25</f>
        <v>0</v>
      </c>
      <c r="I29" s="180"/>
      <c r="J29" s="180"/>
      <c r="K29" s="200">
        <f t="shared" si="6"/>
        <v>694696.95999999996</v>
      </c>
      <c r="L29" s="180"/>
      <c r="M29" s="682"/>
    </row>
    <row r="30" spans="1:13" ht="29.1" customHeight="1">
      <c r="A30" s="678"/>
      <c r="B30" s="211"/>
      <c r="C30" s="216"/>
      <c r="D30" s="200"/>
      <c r="E30" s="482"/>
      <c r="F30" s="180"/>
      <c r="G30" s="180"/>
      <c r="H30" s="180"/>
      <c r="I30" s="180"/>
      <c r="J30" s="180"/>
      <c r="K30" s="200"/>
      <c r="L30" s="180"/>
      <c r="M30" s="682"/>
    </row>
    <row r="31" spans="1:13" ht="29.1" customHeight="1">
      <c r="A31" s="678"/>
      <c r="B31" s="211"/>
      <c r="C31" s="216"/>
      <c r="D31" s="200"/>
      <c r="E31" s="482"/>
      <c r="F31" s="180"/>
      <c r="G31" s="180"/>
      <c r="H31" s="180"/>
      <c r="I31" s="180"/>
      <c r="J31" s="180"/>
      <c r="K31" s="200"/>
      <c r="L31" s="180"/>
      <c r="M31" s="682"/>
    </row>
    <row r="32" spans="1:13" ht="29.1" customHeight="1">
      <c r="A32" s="678"/>
      <c r="B32" s="211"/>
      <c r="C32" s="216"/>
      <c r="D32" s="200"/>
      <c r="E32" s="482"/>
      <c r="F32" s="180"/>
      <c r="G32" s="180"/>
      <c r="H32" s="180"/>
      <c r="I32" s="180"/>
      <c r="J32" s="180"/>
      <c r="K32" s="200"/>
      <c r="L32" s="180"/>
      <c r="M32" s="682"/>
    </row>
    <row r="33" spans="1:13" ht="29.1" customHeight="1">
      <c r="A33" s="678"/>
      <c r="B33" s="211"/>
      <c r="C33" s="216"/>
      <c r="D33" s="200"/>
      <c r="E33" s="482"/>
      <c r="F33" s="180"/>
      <c r="G33" s="180"/>
      <c r="H33" s="180"/>
      <c r="I33" s="180"/>
      <c r="J33" s="180"/>
      <c r="K33" s="200"/>
      <c r="L33" s="180"/>
      <c r="M33" s="682"/>
    </row>
    <row r="34" spans="1:13" ht="29.1" customHeight="1">
      <c r="A34" s="216"/>
      <c r="B34" s="216"/>
      <c r="C34" s="216"/>
      <c r="D34" s="180"/>
      <c r="E34" s="679"/>
      <c r="F34" s="180"/>
      <c r="G34" s="180"/>
      <c r="H34" s="180"/>
      <c r="I34" s="180"/>
      <c r="J34" s="180"/>
      <c r="K34" s="180"/>
      <c r="L34" s="180"/>
      <c r="M34" s="682"/>
    </row>
  </sheetData>
  <mergeCells count="17">
    <mergeCell ref="B4:C4"/>
    <mergeCell ref="B5:D5"/>
    <mergeCell ref="E5:F5"/>
    <mergeCell ref="G5:I5"/>
    <mergeCell ref="J5:M5"/>
    <mergeCell ref="A1:A2"/>
    <mergeCell ref="B1:B2"/>
    <mergeCell ref="C1:C2"/>
    <mergeCell ref="D1:D2"/>
    <mergeCell ref="E1:E2"/>
    <mergeCell ref="G1:H1"/>
    <mergeCell ref="J1:L1"/>
    <mergeCell ref="G2:H2"/>
    <mergeCell ref="J2:M2"/>
    <mergeCell ref="B3:C3"/>
    <mergeCell ref="E3:H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43"/>
  <sheetViews>
    <sheetView topLeftCell="A31" zoomScaleSheetLayoutView="100" workbookViewId="0">
      <selection activeCell="B37" sqref="B37:M37"/>
    </sheetView>
  </sheetViews>
  <sheetFormatPr defaultColWidth="9" defaultRowHeight="14.25"/>
  <cols>
    <col min="1" max="1" width="19.25" customWidth="1"/>
    <col min="2" max="2" width="15.5" customWidth="1"/>
    <col min="3" max="3" width="16.875" customWidth="1"/>
    <col min="4" max="4" width="13.625" customWidth="1"/>
    <col min="5" max="5" width="13.125" customWidth="1"/>
    <col min="6" max="6" width="12.125" customWidth="1"/>
    <col min="7" max="8" width="12.625" customWidth="1"/>
    <col min="9" max="9" width="13.25" customWidth="1"/>
    <col min="10" max="11" width="18.375" customWidth="1"/>
    <col min="12" max="12" width="14.125" customWidth="1"/>
    <col min="13" max="13" width="43.25" customWidth="1"/>
    <col min="17" max="18" width="13.625" customWidth="1"/>
    <col min="19" max="19" width="39.875" customWidth="1"/>
  </cols>
  <sheetData>
    <row r="1" spans="1:13" ht="125.1" customHeight="1">
      <c r="A1" s="349" t="s">
        <v>556</v>
      </c>
      <c r="B1" s="852">
        <v>42076</v>
      </c>
      <c r="C1" s="377" t="s">
        <v>557</v>
      </c>
      <c r="D1" s="1437" t="s">
        <v>558</v>
      </c>
      <c r="E1" s="1691" t="s">
        <v>559</v>
      </c>
      <c r="F1" s="1692"/>
      <c r="G1" s="1692"/>
      <c r="H1" s="1693"/>
      <c r="I1" s="500" t="s">
        <v>560</v>
      </c>
      <c r="J1" s="1694" t="s">
        <v>561</v>
      </c>
      <c r="K1" s="1694"/>
      <c r="L1" s="1695" t="s">
        <v>562</v>
      </c>
      <c r="M1" s="1696"/>
    </row>
    <row r="2" spans="1:13" ht="66.95" customHeight="1">
      <c r="A2" s="133" t="s">
        <v>240</v>
      </c>
      <c r="B2" s="1682" t="s">
        <v>563</v>
      </c>
      <c r="C2" s="1682"/>
      <c r="D2" s="134" t="s">
        <v>242</v>
      </c>
      <c r="E2" s="1689"/>
      <c r="F2" s="1689"/>
      <c r="G2" s="1689"/>
      <c r="H2" s="1689"/>
      <c r="I2" s="166" t="s">
        <v>243</v>
      </c>
      <c r="J2" s="166" t="s">
        <v>321</v>
      </c>
      <c r="K2" s="310"/>
      <c r="L2" s="166" t="s">
        <v>245</v>
      </c>
      <c r="M2" s="241" t="s">
        <v>564</v>
      </c>
    </row>
    <row r="3" spans="1:13" ht="34.5" customHeight="1">
      <c r="A3" s="133" t="s">
        <v>247</v>
      </c>
      <c r="B3" s="1682" t="s">
        <v>4</v>
      </c>
      <c r="C3" s="1682"/>
      <c r="D3" s="134" t="s">
        <v>249</v>
      </c>
      <c r="E3" s="136">
        <v>100000</v>
      </c>
      <c r="F3" s="134" t="s">
        <v>251</v>
      </c>
      <c r="G3" s="134"/>
      <c r="H3" s="134" t="s">
        <v>252</v>
      </c>
      <c r="I3" s="137"/>
      <c r="J3" s="15" t="s">
        <v>565</v>
      </c>
      <c r="K3" s="15" t="s">
        <v>566</v>
      </c>
      <c r="L3" s="15" t="s">
        <v>255</v>
      </c>
      <c r="M3" s="92" t="s">
        <v>567</v>
      </c>
    </row>
    <row r="4" spans="1:13" ht="78" customHeight="1">
      <c r="A4" s="133" t="s">
        <v>260</v>
      </c>
      <c r="B4" s="1683" t="s">
        <v>568</v>
      </c>
      <c r="C4" s="1684"/>
      <c r="D4" s="1684"/>
      <c r="E4" s="1684"/>
      <c r="F4" s="1684"/>
      <c r="G4" s="1684"/>
      <c r="H4" s="1684"/>
      <c r="I4" s="1685"/>
      <c r="J4" s="1686" t="s">
        <v>569</v>
      </c>
      <c r="K4" s="1686"/>
      <c r="L4" s="1686"/>
      <c r="M4" s="1687"/>
    </row>
    <row r="5" spans="1:13" ht="38.1" customHeight="1">
      <c r="A5" s="1688" t="s">
        <v>570</v>
      </c>
      <c r="B5" s="1689"/>
      <c r="C5" s="1689"/>
      <c r="D5" s="1690"/>
      <c r="E5" s="1690"/>
      <c r="F5" s="1690"/>
      <c r="G5" s="1690"/>
      <c r="H5" s="1690"/>
      <c r="I5" s="1690"/>
      <c r="J5" s="169"/>
      <c r="K5" s="169"/>
      <c r="L5" s="169"/>
      <c r="M5" s="264"/>
    </row>
    <row r="6" spans="1:13" ht="35.1" customHeight="1">
      <c r="A6" s="357"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7" customHeight="1">
      <c r="A7" s="1461">
        <v>41883</v>
      </c>
      <c r="B7" s="465">
        <v>73</v>
      </c>
      <c r="C7" s="465">
        <v>22768.5</v>
      </c>
      <c r="D7" s="47">
        <f>B7</f>
        <v>73</v>
      </c>
      <c r="E7" s="47">
        <f>C7</f>
        <v>22768.5</v>
      </c>
      <c r="F7" s="47"/>
      <c r="G7" s="47">
        <f>E7</f>
        <v>22768.5</v>
      </c>
      <c r="H7" s="47"/>
      <c r="I7" s="47"/>
      <c r="J7" s="47"/>
      <c r="K7" s="47"/>
      <c r="L7" s="1463">
        <f>E7-J7</f>
        <v>22768.5</v>
      </c>
      <c r="M7" s="1464"/>
    </row>
    <row r="8" spans="1:13" ht="27" customHeight="1">
      <c r="A8" s="1461">
        <v>41913</v>
      </c>
      <c r="B8" s="465">
        <v>355</v>
      </c>
      <c r="C8" s="465">
        <v>108035</v>
      </c>
      <c r="D8" s="47">
        <f t="shared" ref="D8:E12" si="0">D7+B8</f>
        <v>428</v>
      </c>
      <c r="E8" s="47">
        <f t="shared" si="0"/>
        <v>130803.5</v>
      </c>
      <c r="F8" s="47"/>
      <c r="G8" s="47">
        <f t="shared" ref="G8:G14" si="1">E8</f>
        <v>130803.5</v>
      </c>
      <c r="H8" s="47"/>
      <c r="I8" s="47"/>
      <c r="J8" s="47"/>
      <c r="K8" s="47">
        <f t="shared" ref="K8:K16" si="2">K7+H8-I8</f>
        <v>0</v>
      </c>
      <c r="L8" s="1463">
        <f t="shared" ref="L8:L35" si="3">E8-J8</f>
        <v>130803.5</v>
      </c>
      <c r="M8" s="1464"/>
    </row>
    <row r="9" spans="1:13" ht="27" customHeight="1">
      <c r="A9" s="1461">
        <v>41944</v>
      </c>
      <c r="B9" s="47">
        <v>896.5</v>
      </c>
      <c r="C9" s="47">
        <v>269236.75</v>
      </c>
      <c r="D9" s="47">
        <f t="shared" si="0"/>
        <v>1324.5</v>
      </c>
      <c r="E9" s="47">
        <f t="shared" si="0"/>
        <v>400040.25</v>
      </c>
      <c r="F9" s="47"/>
      <c r="G9" s="47">
        <f t="shared" si="1"/>
        <v>400040.25</v>
      </c>
      <c r="H9" s="47"/>
      <c r="I9" s="47"/>
      <c r="J9" s="47"/>
      <c r="K9" s="47">
        <f t="shared" si="2"/>
        <v>0</v>
      </c>
      <c r="L9" s="1463">
        <f t="shared" si="3"/>
        <v>400040.25</v>
      </c>
      <c r="M9" s="1464"/>
    </row>
    <row r="10" spans="1:13" ht="27" customHeight="1">
      <c r="A10" s="1461">
        <v>41974</v>
      </c>
      <c r="B10" s="47">
        <v>513.5</v>
      </c>
      <c r="C10" s="47">
        <v>151385.75</v>
      </c>
      <c r="D10" s="47">
        <f t="shared" si="0"/>
        <v>1838</v>
      </c>
      <c r="E10" s="47">
        <f t="shared" si="0"/>
        <v>551426</v>
      </c>
      <c r="F10" s="47"/>
      <c r="G10" s="47">
        <f t="shared" si="1"/>
        <v>551426</v>
      </c>
      <c r="H10" s="47"/>
      <c r="I10" s="47"/>
      <c r="J10" s="47"/>
      <c r="K10" s="47">
        <f t="shared" si="2"/>
        <v>0</v>
      </c>
      <c r="L10" s="1463">
        <f t="shared" si="3"/>
        <v>551426</v>
      </c>
      <c r="M10" s="1464"/>
    </row>
    <row r="11" spans="1:13" s="185" customFormat="1" ht="27" customHeight="1">
      <c r="A11" s="309">
        <v>42005</v>
      </c>
      <c r="B11" s="181">
        <v>138.5</v>
      </c>
      <c r="C11" s="181">
        <v>41888.25</v>
      </c>
      <c r="D11" s="181">
        <f t="shared" si="0"/>
        <v>1976.5</v>
      </c>
      <c r="E11" s="181">
        <f t="shared" si="0"/>
        <v>593314.25</v>
      </c>
      <c r="F11" s="181"/>
      <c r="G11" s="181">
        <f t="shared" si="1"/>
        <v>593314.25</v>
      </c>
      <c r="H11" s="181"/>
      <c r="I11" s="181"/>
      <c r="J11" s="181"/>
      <c r="K11" s="181">
        <f t="shared" si="2"/>
        <v>0</v>
      </c>
      <c r="L11" s="442">
        <f t="shared" si="3"/>
        <v>593314.25</v>
      </c>
      <c r="M11" s="266"/>
    </row>
    <row r="12" spans="1:13" s="1436" customFormat="1" ht="36" customHeight="1">
      <c r="A12" s="1462" t="s">
        <v>571</v>
      </c>
      <c r="B12" s="1115">
        <v>415.5</v>
      </c>
      <c r="C12" s="1115">
        <v>124584.75</v>
      </c>
      <c r="D12" s="299">
        <f t="shared" si="0"/>
        <v>2392</v>
      </c>
      <c r="E12" s="299">
        <f t="shared" ref="E12:E35" si="4">E11+C12</f>
        <v>717899</v>
      </c>
      <c r="F12" s="1115"/>
      <c r="G12" s="299">
        <f t="shared" si="1"/>
        <v>717899</v>
      </c>
      <c r="H12" s="299"/>
      <c r="I12" s="1115"/>
      <c r="J12" s="1115"/>
      <c r="K12" s="299">
        <f t="shared" si="2"/>
        <v>0</v>
      </c>
      <c r="L12" s="707">
        <f t="shared" si="3"/>
        <v>717899</v>
      </c>
      <c r="M12" s="1465"/>
    </row>
    <row r="13" spans="1:13" s="185" customFormat="1" ht="42" customHeight="1">
      <c r="A13" s="324" t="s">
        <v>572</v>
      </c>
      <c r="B13" s="181">
        <v>1996.5</v>
      </c>
      <c r="C13" s="181">
        <v>607485.75</v>
      </c>
      <c r="D13" s="181">
        <f t="shared" ref="D13:D35" si="5">D12+B13</f>
        <v>4388.5</v>
      </c>
      <c r="E13" s="181">
        <f t="shared" si="4"/>
        <v>1325384.75</v>
      </c>
      <c r="F13" s="181"/>
      <c r="G13" s="181">
        <f t="shared" si="1"/>
        <v>1325384.75</v>
      </c>
      <c r="H13" s="181"/>
      <c r="I13" s="181"/>
      <c r="J13" s="181"/>
      <c r="K13" s="181">
        <f t="shared" si="2"/>
        <v>0</v>
      </c>
      <c r="L13" s="442">
        <f t="shared" si="3"/>
        <v>1325384.75</v>
      </c>
      <c r="M13" s="181"/>
    </row>
    <row r="14" spans="1:13" s="185" customFormat="1" ht="30.95" customHeight="1">
      <c r="A14" s="324" t="s">
        <v>573</v>
      </c>
      <c r="B14" s="181">
        <v>1510.5</v>
      </c>
      <c r="C14" s="181">
        <v>487044.25</v>
      </c>
      <c r="D14" s="181">
        <f t="shared" si="5"/>
        <v>5899</v>
      </c>
      <c r="E14" s="181">
        <f t="shared" si="4"/>
        <v>1812429</v>
      </c>
      <c r="F14" s="181"/>
      <c r="G14" s="181">
        <f t="shared" si="1"/>
        <v>1812429</v>
      </c>
      <c r="H14" s="181"/>
      <c r="I14" s="181"/>
      <c r="J14" s="181"/>
      <c r="K14" s="181">
        <f t="shared" si="2"/>
        <v>0</v>
      </c>
      <c r="L14" s="442">
        <f t="shared" si="3"/>
        <v>1812429</v>
      </c>
      <c r="M14" s="181"/>
    </row>
    <row r="15" spans="1:13" s="185" customFormat="1" ht="38.1" customHeight="1">
      <c r="A15" s="324" t="s">
        <v>574</v>
      </c>
      <c r="B15" s="181">
        <v>2864</v>
      </c>
      <c r="C15" s="181">
        <v>950183</v>
      </c>
      <c r="D15" s="181">
        <f t="shared" si="5"/>
        <v>8763</v>
      </c>
      <c r="E15" s="181">
        <f t="shared" si="4"/>
        <v>2762612</v>
      </c>
      <c r="F15" s="181"/>
      <c r="G15" s="181">
        <f>E15*0.2</f>
        <v>552522.4</v>
      </c>
      <c r="I15" s="181"/>
      <c r="J15" s="181"/>
      <c r="K15" s="181">
        <f t="shared" si="2"/>
        <v>0</v>
      </c>
      <c r="L15" s="442">
        <f t="shared" si="3"/>
        <v>2762612</v>
      </c>
      <c r="M15" s="181"/>
    </row>
    <row r="16" spans="1:13" s="185" customFormat="1" ht="38.1" customHeight="1">
      <c r="A16" s="324" t="s">
        <v>575</v>
      </c>
      <c r="B16" s="181">
        <v>9408</v>
      </c>
      <c r="C16" s="181">
        <v>3150964.5</v>
      </c>
      <c r="D16" s="181">
        <f t="shared" si="5"/>
        <v>18171</v>
      </c>
      <c r="E16" s="181">
        <f t="shared" si="4"/>
        <v>5913576.5</v>
      </c>
      <c r="F16" s="181"/>
      <c r="G16" s="181">
        <f t="shared" ref="G16:G35" si="6">C16*0.2+E15*0.2</f>
        <v>1182715.3</v>
      </c>
      <c r="H16" s="181">
        <f>E15*0.8</f>
        <v>2210089.6</v>
      </c>
      <c r="I16" s="181"/>
      <c r="J16" s="181"/>
      <c r="K16" s="181">
        <f t="shared" si="2"/>
        <v>2210089.6</v>
      </c>
      <c r="L16" s="442">
        <f t="shared" si="3"/>
        <v>5913576.5</v>
      </c>
      <c r="M16" s="181"/>
    </row>
    <row r="17" spans="1:18" s="185" customFormat="1" ht="38.1" customHeight="1">
      <c r="A17" s="324" t="s">
        <v>576</v>
      </c>
      <c r="B17" s="181">
        <v>12183.5</v>
      </c>
      <c r="C17" s="456">
        <v>3967742.75</v>
      </c>
      <c r="D17" s="181">
        <f t="shared" si="5"/>
        <v>30354.5</v>
      </c>
      <c r="E17" s="181">
        <f t="shared" si="4"/>
        <v>9881319.25</v>
      </c>
      <c r="F17" s="181"/>
      <c r="G17" s="181">
        <f t="shared" si="6"/>
        <v>1976263.85</v>
      </c>
      <c r="H17" s="181">
        <f>C16*0.8</f>
        <v>2520771.6</v>
      </c>
      <c r="I17" s="181"/>
      <c r="J17" s="181"/>
      <c r="K17" s="181">
        <f t="shared" ref="K17:K36" si="7">K16+H17-I17</f>
        <v>4730861.2</v>
      </c>
      <c r="L17" s="442">
        <f t="shared" si="3"/>
        <v>9881319.25</v>
      </c>
      <c r="M17" s="252"/>
    </row>
    <row r="18" spans="1:18" s="185" customFormat="1" ht="38.1" customHeight="1">
      <c r="A18" s="1105" t="s">
        <v>577</v>
      </c>
      <c r="B18" s="181">
        <v>12419</v>
      </c>
      <c r="C18" s="181">
        <v>4044919</v>
      </c>
      <c r="D18" s="181">
        <f t="shared" si="5"/>
        <v>42773.5</v>
      </c>
      <c r="E18" s="181">
        <f t="shared" si="4"/>
        <v>13926238.25</v>
      </c>
      <c r="F18" s="181"/>
      <c r="G18" s="181">
        <f t="shared" si="6"/>
        <v>2785247.6500000004</v>
      </c>
      <c r="H18" s="181">
        <f>C17*0.8</f>
        <v>3174194.2</v>
      </c>
      <c r="I18" s="181">
        <v>2000000</v>
      </c>
      <c r="J18" s="181">
        <f>I18</f>
        <v>2000000</v>
      </c>
      <c r="K18" s="181">
        <f t="shared" si="7"/>
        <v>5905055.4000000004</v>
      </c>
      <c r="L18" s="1466">
        <f t="shared" si="3"/>
        <v>11926238.25</v>
      </c>
      <c r="M18" s="181" t="s">
        <v>578</v>
      </c>
    </row>
    <row r="19" spans="1:18" s="185" customFormat="1" ht="38.1" customHeight="1">
      <c r="A19" s="1105" t="s">
        <v>579</v>
      </c>
      <c r="B19" s="181">
        <v>13052.5</v>
      </c>
      <c r="C19" s="181">
        <v>4261833.25</v>
      </c>
      <c r="D19" s="181">
        <f t="shared" si="5"/>
        <v>55826</v>
      </c>
      <c r="E19" s="181">
        <f t="shared" si="4"/>
        <v>18188071.5</v>
      </c>
      <c r="F19" s="181"/>
      <c r="G19" s="181">
        <f t="shared" si="6"/>
        <v>3637614.3000000003</v>
      </c>
      <c r="H19" s="181">
        <f t="shared" ref="H19:H36" si="8">C18*0.8</f>
        <v>3235935.2</v>
      </c>
      <c r="I19" s="181">
        <v>5000000</v>
      </c>
      <c r="J19" s="181">
        <f t="shared" ref="J19:J35" si="9">I19+J18</f>
        <v>7000000</v>
      </c>
      <c r="K19" s="181">
        <f t="shared" si="7"/>
        <v>4140990.6000000015</v>
      </c>
      <c r="L19" s="1466">
        <f t="shared" si="3"/>
        <v>11188071.5</v>
      </c>
      <c r="M19" s="487" t="s">
        <v>580</v>
      </c>
    </row>
    <row r="20" spans="1:18" s="185" customFormat="1" ht="38.1" customHeight="1">
      <c r="A20" s="1105" t="s">
        <v>581</v>
      </c>
      <c r="B20" s="181">
        <v>12347</v>
      </c>
      <c r="C20" s="181">
        <v>4025424.75</v>
      </c>
      <c r="D20" s="181">
        <f t="shared" si="5"/>
        <v>68173</v>
      </c>
      <c r="E20" s="181">
        <f t="shared" si="4"/>
        <v>22213496.25</v>
      </c>
      <c r="F20" s="181"/>
      <c r="G20" s="181">
        <f t="shared" si="6"/>
        <v>4442699.25</v>
      </c>
      <c r="H20" s="181">
        <f t="shared" si="8"/>
        <v>3409466.6</v>
      </c>
      <c r="I20" s="181"/>
      <c r="J20" s="181">
        <f t="shared" si="9"/>
        <v>7000000</v>
      </c>
      <c r="K20" s="181">
        <f t="shared" si="7"/>
        <v>7550457.2000000011</v>
      </c>
      <c r="L20" s="1466">
        <f t="shared" si="3"/>
        <v>15213496.25</v>
      </c>
      <c r="M20" s="487" t="s">
        <v>582</v>
      </c>
    </row>
    <row r="21" spans="1:18" s="185" customFormat="1" ht="38.1" customHeight="1">
      <c r="A21" s="1105" t="s">
        <v>583</v>
      </c>
      <c r="B21" s="181">
        <v>7252.5</v>
      </c>
      <c r="C21" s="181">
        <v>2344615.75</v>
      </c>
      <c r="D21" s="181">
        <f t="shared" si="5"/>
        <v>75425.5</v>
      </c>
      <c r="E21" s="181">
        <f t="shared" si="4"/>
        <v>24558112</v>
      </c>
      <c r="F21" s="181"/>
      <c r="G21" s="181">
        <f t="shared" si="6"/>
        <v>4911622.4000000004</v>
      </c>
      <c r="H21" s="181">
        <f t="shared" si="8"/>
        <v>3220339.8000000003</v>
      </c>
      <c r="I21" s="181"/>
      <c r="J21" s="181">
        <f t="shared" si="9"/>
        <v>7000000</v>
      </c>
      <c r="K21" s="181">
        <f t="shared" si="7"/>
        <v>10770797.000000002</v>
      </c>
      <c r="L21" s="1466">
        <f t="shared" si="3"/>
        <v>17558112</v>
      </c>
      <c r="M21" s="487" t="s">
        <v>584</v>
      </c>
    </row>
    <row r="22" spans="1:18" s="185" customFormat="1" ht="27" customHeight="1">
      <c r="A22" s="405" t="s">
        <v>585</v>
      </c>
      <c r="B22" s="181">
        <v>3453.5</v>
      </c>
      <c r="C22" s="181">
        <v>1115334.75</v>
      </c>
      <c r="D22" s="181">
        <f t="shared" si="5"/>
        <v>78879</v>
      </c>
      <c r="E22" s="181">
        <f t="shared" si="4"/>
        <v>25673446.75</v>
      </c>
      <c r="F22" s="181"/>
      <c r="G22" s="181">
        <f t="shared" si="6"/>
        <v>5134689.3500000006</v>
      </c>
      <c r="H22" s="181">
        <f t="shared" si="8"/>
        <v>1875692.6</v>
      </c>
      <c r="I22" s="181"/>
      <c r="J22" s="181">
        <f t="shared" si="9"/>
        <v>7000000</v>
      </c>
      <c r="K22" s="181">
        <f t="shared" si="7"/>
        <v>12646489.600000001</v>
      </c>
      <c r="L22" s="1466">
        <f t="shared" si="3"/>
        <v>18673446.75</v>
      </c>
      <c r="M22" s="457" t="s">
        <v>586</v>
      </c>
    </row>
    <row r="23" spans="1:18" s="185" customFormat="1" ht="33" customHeight="1">
      <c r="A23" s="405" t="s">
        <v>587</v>
      </c>
      <c r="B23" s="181">
        <v>1221</v>
      </c>
      <c r="C23" s="181">
        <v>352582.25</v>
      </c>
      <c r="D23" s="181">
        <f t="shared" si="5"/>
        <v>80100</v>
      </c>
      <c r="E23" s="181">
        <f t="shared" si="4"/>
        <v>26026029</v>
      </c>
      <c r="F23" s="181"/>
      <c r="G23" s="181">
        <f t="shared" si="6"/>
        <v>5205205.8000000007</v>
      </c>
      <c r="H23" s="181">
        <f t="shared" si="8"/>
        <v>892267.8</v>
      </c>
      <c r="I23" s="181">
        <f>3000000+1500000+6000000</f>
        <v>10500000</v>
      </c>
      <c r="J23" s="181">
        <f t="shared" si="9"/>
        <v>17500000</v>
      </c>
      <c r="K23" s="181">
        <f t="shared" si="7"/>
        <v>3038757.4000000022</v>
      </c>
      <c r="L23" s="1466">
        <f t="shared" si="3"/>
        <v>8526029</v>
      </c>
      <c r="M23" s="181"/>
      <c r="Q23" s="1451">
        <v>42276</v>
      </c>
      <c r="R23" s="47">
        <v>2000000</v>
      </c>
    </row>
    <row r="24" spans="1:18" s="185" customFormat="1" ht="33" customHeight="1">
      <c r="A24" s="405" t="s">
        <v>588</v>
      </c>
      <c r="B24" s="181">
        <v>928</v>
      </c>
      <c r="C24" s="181">
        <v>250795</v>
      </c>
      <c r="D24" s="181">
        <f t="shared" si="5"/>
        <v>81028</v>
      </c>
      <c r="E24" s="181">
        <f t="shared" si="4"/>
        <v>26276824</v>
      </c>
      <c r="F24" s="181"/>
      <c r="G24" s="181">
        <f t="shared" si="6"/>
        <v>5255364.8000000007</v>
      </c>
      <c r="H24" s="181">
        <f t="shared" si="8"/>
        <v>282065.8</v>
      </c>
      <c r="I24" s="181"/>
      <c r="J24" s="181">
        <f t="shared" si="9"/>
        <v>17500000</v>
      </c>
      <c r="K24" s="181">
        <f t="shared" si="7"/>
        <v>3320823.200000002</v>
      </c>
      <c r="L24" s="1466">
        <f t="shared" si="3"/>
        <v>8776824</v>
      </c>
      <c r="M24" s="181"/>
      <c r="P24" s="230" t="s">
        <v>589</v>
      </c>
      <c r="Q24" s="1451">
        <v>42290</v>
      </c>
      <c r="R24" s="47">
        <v>5000000</v>
      </c>
    </row>
    <row r="25" spans="1:18" s="185" customFormat="1" ht="36" customHeight="1">
      <c r="A25" s="405" t="s">
        <v>590</v>
      </c>
      <c r="B25" s="181">
        <f>2130.5</f>
        <v>2130.5</v>
      </c>
      <c r="C25" s="181">
        <f>561622</f>
        <v>561622</v>
      </c>
      <c r="D25" s="181">
        <f t="shared" si="5"/>
        <v>83158.5</v>
      </c>
      <c r="E25" s="181">
        <f t="shared" si="4"/>
        <v>26838446</v>
      </c>
      <c r="F25" s="181"/>
      <c r="G25" s="181">
        <f t="shared" si="6"/>
        <v>5367689.2000000011</v>
      </c>
      <c r="H25" s="181">
        <f t="shared" si="8"/>
        <v>200636</v>
      </c>
      <c r="I25" s="181">
        <v>3000000</v>
      </c>
      <c r="J25" s="181">
        <f t="shared" si="9"/>
        <v>20500000</v>
      </c>
      <c r="K25" s="181">
        <f t="shared" si="7"/>
        <v>521459.20000000205</v>
      </c>
      <c r="L25" s="1466">
        <f t="shared" si="3"/>
        <v>6338446</v>
      </c>
      <c r="M25" s="181" t="s">
        <v>591</v>
      </c>
      <c r="P25" s="912"/>
      <c r="Q25" s="1451">
        <v>42314</v>
      </c>
      <c r="R25" s="284">
        <v>3000000</v>
      </c>
    </row>
    <row r="26" spans="1:18" s="185" customFormat="1" ht="36" customHeight="1">
      <c r="A26" s="405" t="s">
        <v>592</v>
      </c>
      <c r="B26" s="181">
        <v>1691</v>
      </c>
      <c r="C26" s="181">
        <v>445580</v>
      </c>
      <c r="D26" s="181">
        <f t="shared" si="5"/>
        <v>84849.5</v>
      </c>
      <c r="E26" s="181">
        <f t="shared" si="4"/>
        <v>27284026</v>
      </c>
      <c r="F26" s="181"/>
      <c r="G26" s="181">
        <f t="shared" si="6"/>
        <v>5456805.2000000002</v>
      </c>
      <c r="H26" s="181">
        <f t="shared" si="8"/>
        <v>449297.60000000003</v>
      </c>
      <c r="I26" s="181"/>
      <c r="J26" s="181">
        <f t="shared" si="9"/>
        <v>20500000</v>
      </c>
      <c r="K26" s="181">
        <f t="shared" si="7"/>
        <v>970756.80000000214</v>
      </c>
      <c r="L26" s="1466">
        <f t="shared" si="3"/>
        <v>6784026</v>
      </c>
      <c r="M26" s="181"/>
      <c r="P26" s="912"/>
      <c r="Q26" s="1451">
        <v>42349</v>
      </c>
      <c r="R26" s="284">
        <v>1500000</v>
      </c>
    </row>
    <row r="27" spans="1:18" s="185" customFormat="1" ht="36" customHeight="1">
      <c r="A27" s="405" t="s">
        <v>593</v>
      </c>
      <c r="B27" s="181">
        <v>903.5</v>
      </c>
      <c r="C27" s="181">
        <v>241419.5</v>
      </c>
      <c r="D27" s="181">
        <f t="shared" si="5"/>
        <v>85753</v>
      </c>
      <c r="E27" s="181">
        <f t="shared" si="4"/>
        <v>27525445.5</v>
      </c>
      <c r="F27" s="181"/>
      <c r="G27" s="181">
        <f t="shared" si="6"/>
        <v>5505089.1000000006</v>
      </c>
      <c r="H27" s="181">
        <f t="shared" si="8"/>
        <v>356464</v>
      </c>
      <c r="I27" s="181"/>
      <c r="J27" s="181">
        <f t="shared" si="9"/>
        <v>20500000</v>
      </c>
      <c r="K27" s="181">
        <f t="shared" si="7"/>
        <v>1327220.8000000021</v>
      </c>
      <c r="L27" s="1466">
        <f t="shared" si="3"/>
        <v>7025445.5</v>
      </c>
      <c r="M27" s="181"/>
      <c r="P27" s="230"/>
      <c r="Q27" s="1451">
        <v>42399</v>
      </c>
      <c r="R27" s="284">
        <v>6000000</v>
      </c>
    </row>
    <row r="28" spans="1:18" s="185" customFormat="1" ht="36" customHeight="1">
      <c r="A28" s="405" t="s">
        <v>594</v>
      </c>
      <c r="B28" s="181">
        <v>169</v>
      </c>
      <c r="C28" s="181">
        <v>45054.5</v>
      </c>
      <c r="D28" s="181">
        <f t="shared" si="5"/>
        <v>85922</v>
      </c>
      <c r="E28" s="181">
        <f t="shared" si="4"/>
        <v>27570500</v>
      </c>
      <c r="F28" s="181"/>
      <c r="G28" s="181">
        <f t="shared" si="6"/>
        <v>5514100.0000000009</v>
      </c>
      <c r="H28" s="181">
        <f t="shared" si="8"/>
        <v>193135.6</v>
      </c>
      <c r="I28" s="181"/>
      <c r="J28" s="181">
        <f t="shared" si="9"/>
        <v>20500000</v>
      </c>
      <c r="K28" s="181">
        <f t="shared" si="7"/>
        <v>1520356.4000000022</v>
      </c>
      <c r="L28" s="1466">
        <f t="shared" si="3"/>
        <v>7070500</v>
      </c>
      <c r="M28" s="304"/>
      <c r="P28" s="230"/>
      <c r="Q28" s="1451">
        <v>42489</v>
      </c>
      <c r="R28" s="1467">
        <v>3000000</v>
      </c>
    </row>
    <row r="29" spans="1:18" s="185" customFormat="1" ht="36" customHeight="1">
      <c r="A29" s="405" t="s">
        <v>595</v>
      </c>
      <c r="B29" s="181">
        <f>4027.5</f>
        <v>4027.5</v>
      </c>
      <c r="C29" s="181">
        <f>1074220</f>
        <v>1074220</v>
      </c>
      <c r="D29" s="181">
        <f t="shared" si="5"/>
        <v>89949.5</v>
      </c>
      <c r="E29" s="181">
        <f t="shared" si="4"/>
        <v>28644720</v>
      </c>
      <c r="F29" s="181"/>
      <c r="G29" s="181">
        <f t="shared" si="6"/>
        <v>5728944</v>
      </c>
      <c r="H29" s="181">
        <f t="shared" si="8"/>
        <v>36043.599999999999</v>
      </c>
      <c r="I29" s="299"/>
      <c r="J29" s="181">
        <f t="shared" si="9"/>
        <v>20500000</v>
      </c>
      <c r="K29" s="181">
        <f t="shared" si="7"/>
        <v>1556400.0000000023</v>
      </c>
      <c r="L29" s="1466">
        <f t="shared" si="3"/>
        <v>8144720</v>
      </c>
      <c r="M29" s="487"/>
      <c r="P29" s="230"/>
      <c r="Q29" s="1451">
        <v>42576</v>
      </c>
      <c r="R29" s="1468">
        <v>500000</v>
      </c>
    </row>
    <row r="30" spans="1:18" s="185" customFormat="1" ht="36" customHeight="1">
      <c r="A30" s="405" t="s">
        <v>596</v>
      </c>
      <c r="B30" s="181">
        <v>203</v>
      </c>
      <c r="C30" s="181">
        <v>51666</v>
      </c>
      <c r="D30" s="181">
        <f t="shared" si="5"/>
        <v>90152.5</v>
      </c>
      <c r="E30" s="181">
        <f t="shared" si="4"/>
        <v>28696386</v>
      </c>
      <c r="F30" s="181"/>
      <c r="G30" s="181">
        <f t="shared" si="6"/>
        <v>5739277.2000000002</v>
      </c>
      <c r="H30" s="181">
        <f t="shared" si="8"/>
        <v>859376</v>
      </c>
      <c r="I30" s="299">
        <v>500000</v>
      </c>
      <c r="J30" s="181">
        <f t="shared" si="9"/>
        <v>21000000</v>
      </c>
      <c r="K30" s="181">
        <f t="shared" si="7"/>
        <v>1915776.0000000023</v>
      </c>
      <c r="L30" s="1466">
        <f t="shared" si="3"/>
        <v>7696386</v>
      </c>
      <c r="M30" s="1220"/>
      <c r="P30" s="230"/>
      <c r="Q30" s="1451">
        <v>42614</v>
      </c>
      <c r="R30" s="1469">
        <v>1000000</v>
      </c>
    </row>
    <row r="31" spans="1:18" s="185" customFormat="1" ht="36" customHeight="1">
      <c r="A31" s="1438" t="s">
        <v>597</v>
      </c>
      <c r="B31" s="181">
        <v>522.5</v>
      </c>
      <c r="C31" s="181">
        <v>138515</v>
      </c>
      <c r="D31" s="181">
        <f t="shared" si="5"/>
        <v>90675</v>
      </c>
      <c r="E31" s="181">
        <f t="shared" si="4"/>
        <v>28834901</v>
      </c>
      <c r="F31" s="181"/>
      <c r="G31" s="181">
        <f t="shared" si="6"/>
        <v>5766980.2000000002</v>
      </c>
      <c r="H31" s="181">
        <f t="shared" si="8"/>
        <v>41332.800000000003</v>
      </c>
      <c r="I31" s="299">
        <v>1000000</v>
      </c>
      <c r="J31" s="181">
        <f t="shared" si="9"/>
        <v>22000000</v>
      </c>
      <c r="K31" s="181">
        <f t="shared" si="7"/>
        <v>957108.80000000237</v>
      </c>
      <c r="L31" s="1466">
        <f t="shared" si="3"/>
        <v>6834901</v>
      </c>
      <c r="M31" s="181"/>
      <c r="P31" s="230"/>
      <c r="Q31" s="1451">
        <v>42657</v>
      </c>
      <c r="R31" s="1469">
        <v>1000000</v>
      </c>
    </row>
    <row r="32" spans="1:18" s="185" customFormat="1" ht="36" customHeight="1">
      <c r="A32" s="1438" t="s">
        <v>598</v>
      </c>
      <c r="B32" s="181">
        <v>3875.5</v>
      </c>
      <c r="C32" s="181">
        <v>1089247.5</v>
      </c>
      <c r="D32" s="181">
        <f t="shared" si="5"/>
        <v>94550.5</v>
      </c>
      <c r="E32" s="181">
        <f t="shared" si="4"/>
        <v>29924148.5</v>
      </c>
      <c r="F32" s="181"/>
      <c r="G32" s="181">
        <f t="shared" si="6"/>
        <v>5984829.7000000002</v>
      </c>
      <c r="H32" s="181">
        <f t="shared" si="8"/>
        <v>110812</v>
      </c>
      <c r="I32" s="181">
        <v>350000</v>
      </c>
      <c r="J32" s="181">
        <f t="shared" si="9"/>
        <v>22350000</v>
      </c>
      <c r="K32" s="181">
        <f t="shared" si="7"/>
        <v>717920.80000000237</v>
      </c>
      <c r="L32" s="1466">
        <f t="shared" si="3"/>
        <v>7574148.5</v>
      </c>
      <c r="M32" s="181" t="s">
        <v>599</v>
      </c>
      <c r="P32" s="230"/>
      <c r="Q32" s="1451">
        <v>42703</v>
      </c>
      <c r="R32" s="1467">
        <v>350000</v>
      </c>
    </row>
    <row r="33" spans="1:19" s="185" customFormat="1" ht="36" customHeight="1">
      <c r="A33" s="1438" t="s">
        <v>600</v>
      </c>
      <c r="B33" s="181">
        <v>2349.5</v>
      </c>
      <c r="C33" s="181">
        <v>662164</v>
      </c>
      <c r="D33" s="181">
        <f t="shared" si="5"/>
        <v>96900</v>
      </c>
      <c r="E33" s="181">
        <f t="shared" si="4"/>
        <v>30586312.5</v>
      </c>
      <c r="F33" s="181"/>
      <c r="G33" s="181">
        <f t="shared" si="6"/>
        <v>6117262.5</v>
      </c>
      <c r="H33" s="181">
        <f t="shared" si="8"/>
        <v>871398</v>
      </c>
      <c r="I33" s="299">
        <v>1000000</v>
      </c>
      <c r="J33" s="181">
        <f t="shared" si="9"/>
        <v>23350000</v>
      </c>
      <c r="K33" s="181">
        <f t="shared" si="7"/>
        <v>589318.80000000237</v>
      </c>
      <c r="L33" s="1466">
        <f t="shared" si="3"/>
        <v>7236312.5</v>
      </c>
      <c r="M33" s="180"/>
      <c r="P33" s="230"/>
      <c r="Q33" s="1470">
        <v>42732</v>
      </c>
      <c r="R33" s="1471">
        <v>307804.51</v>
      </c>
      <c r="S33" s="1471"/>
    </row>
    <row r="34" spans="1:19" s="185" customFormat="1" ht="36" customHeight="1">
      <c r="A34" s="1438" t="s">
        <v>601</v>
      </c>
      <c r="B34" s="181">
        <v>0</v>
      </c>
      <c r="C34" s="181">
        <v>0</v>
      </c>
      <c r="D34" s="181">
        <f t="shared" si="5"/>
        <v>96900</v>
      </c>
      <c r="E34" s="181">
        <f t="shared" si="4"/>
        <v>30586312.5</v>
      </c>
      <c r="F34" s="181"/>
      <c r="G34" s="181">
        <f t="shared" si="6"/>
        <v>6117262.5</v>
      </c>
      <c r="H34" s="181">
        <f t="shared" si="8"/>
        <v>529731.20000000007</v>
      </c>
      <c r="I34" s="181">
        <f>400000+307804.51+42195.49</f>
        <v>750000</v>
      </c>
      <c r="J34" s="181">
        <f t="shared" si="9"/>
        <v>24100000</v>
      </c>
      <c r="K34" s="181">
        <f t="shared" si="7"/>
        <v>369050.00000000233</v>
      </c>
      <c r="L34" s="1466">
        <f t="shared" si="3"/>
        <v>6486312.5</v>
      </c>
      <c r="M34" s="1448" t="s">
        <v>602</v>
      </c>
      <c r="P34" s="230"/>
      <c r="Q34" s="1451">
        <v>42764</v>
      </c>
      <c r="R34" s="182">
        <v>800000</v>
      </c>
      <c r="S34" s="1472" t="s">
        <v>603</v>
      </c>
    </row>
    <row r="35" spans="1:19" s="185" customFormat="1" ht="36" customHeight="1">
      <c r="A35" s="405" t="s">
        <v>604</v>
      </c>
      <c r="B35" s="181">
        <v>215</v>
      </c>
      <c r="C35" s="181">
        <v>200902.5</v>
      </c>
      <c r="D35" s="181">
        <f t="shared" si="5"/>
        <v>97115</v>
      </c>
      <c r="E35" s="181">
        <f t="shared" si="4"/>
        <v>30787215</v>
      </c>
      <c r="F35" s="181"/>
      <c r="G35" s="181">
        <f t="shared" si="6"/>
        <v>6157443</v>
      </c>
      <c r="H35" s="181">
        <f t="shared" si="8"/>
        <v>0</v>
      </c>
      <c r="I35" s="181">
        <v>150000</v>
      </c>
      <c r="J35" s="181">
        <f t="shared" si="9"/>
        <v>24250000</v>
      </c>
      <c r="K35" s="181">
        <f t="shared" si="7"/>
        <v>219050.00000000233</v>
      </c>
      <c r="L35" s="1466">
        <f t="shared" si="3"/>
        <v>6537215</v>
      </c>
      <c r="M35" s="711" t="s">
        <v>605</v>
      </c>
      <c r="P35" s="230"/>
      <c r="Q35" s="1452">
        <v>42901</v>
      </c>
      <c r="R35" s="182">
        <v>150000</v>
      </c>
      <c r="S35" s="182" t="s">
        <v>606</v>
      </c>
    </row>
    <row r="36" spans="1:19" s="185" customFormat="1" ht="36" customHeight="1">
      <c r="A36" s="405"/>
      <c r="B36" s="181"/>
      <c r="C36" s="181"/>
      <c r="D36" s="181"/>
      <c r="E36" s="181"/>
      <c r="F36" s="181"/>
      <c r="G36" s="181"/>
      <c r="H36" s="181">
        <f t="shared" si="8"/>
        <v>160722</v>
      </c>
      <c r="I36" s="181"/>
      <c r="J36" s="181"/>
      <c r="K36" s="181">
        <f t="shared" si="7"/>
        <v>379772.00000000233</v>
      </c>
      <c r="L36" s="181"/>
      <c r="M36" s="180" t="s">
        <v>607</v>
      </c>
      <c r="Q36" s="182" t="s">
        <v>608</v>
      </c>
      <c r="R36" s="182">
        <f>SUM(R23:R35)</f>
        <v>24607804.510000002</v>
      </c>
    </row>
    <row r="37" spans="1:19" s="185" customFormat="1" ht="36" customHeight="1">
      <c r="A37" s="405">
        <v>42979</v>
      </c>
      <c r="B37" s="181">
        <v>215</v>
      </c>
      <c r="C37" s="181">
        <v>200902.5</v>
      </c>
      <c r="D37" s="181">
        <v>97115</v>
      </c>
      <c r="E37" s="181">
        <v>30787215</v>
      </c>
      <c r="F37" s="181"/>
      <c r="G37" s="181">
        <v>6157443</v>
      </c>
      <c r="H37" s="181">
        <v>0</v>
      </c>
      <c r="I37" s="181">
        <v>150000</v>
      </c>
      <c r="J37" s="181">
        <v>24250000</v>
      </c>
      <c r="K37" s="181">
        <v>219050.00000000233</v>
      </c>
      <c r="L37" s="181">
        <v>6537215</v>
      </c>
      <c r="M37" s="181" t="s">
        <v>605</v>
      </c>
      <c r="P37" s="185" t="s">
        <v>589</v>
      </c>
      <c r="S37" s="185">
        <f>E35-R36</f>
        <v>6179410.4899999984</v>
      </c>
    </row>
    <row r="40" spans="1:19">
      <c r="R40">
        <v>24607804.510000002</v>
      </c>
      <c r="S40" s="1473">
        <f>S37</f>
        <v>6179410.4899999984</v>
      </c>
    </row>
    <row r="41" spans="1:19">
      <c r="R41">
        <v>7542195.4900000002</v>
      </c>
    </row>
    <row r="43" spans="1:19">
      <c r="R43">
        <f>R40+R41</f>
        <v>32150000</v>
      </c>
    </row>
  </sheetData>
  <mergeCells count="11">
    <mergeCell ref="E1:H1"/>
    <mergeCell ref="J1:K1"/>
    <mergeCell ref="L1:M1"/>
    <mergeCell ref="B2:C2"/>
    <mergeCell ref="E2:H2"/>
    <mergeCell ref="B3:C3"/>
    <mergeCell ref="B4:I4"/>
    <mergeCell ref="J4:M4"/>
    <mergeCell ref="A5:C5"/>
    <mergeCell ref="D5:F5"/>
    <mergeCell ref="G5:I5"/>
  </mergeCells>
  <phoneticPr fontId="84" type="noConversion"/>
  <pageMargins left="0.75" right="0.75" top="1" bottom="1" header="0.51" footer="0.51"/>
  <pageSetup paperSize="9" orientation="portrait" verticalDpi="200"/>
  <headerFooter scaleWithDoc="0" alignWithMargins="0"/>
  <drawing r:id="rId1"/>
  <legacyDrawing r:id="rId2"/>
</worksheet>
</file>

<file path=xl/worksheets/sheet1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SheetLayoutView="100" workbookViewId="0">
      <selection activeCell="F20" sqref="F20"/>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t="s">
        <v>3567</v>
      </c>
      <c r="C1" s="377" t="s">
        <v>3568</v>
      </c>
      <c r="D1" s="674" t="s">
        <v>3367</v>
      </c>
      <c r="E1" s="413" t="s">
        <v>3567</v>
      </c>
      <c r="F1" s="675" t="s">
        <v>3134</v>
      </c>
      <c r="G1" s="2113" t="s">
        <v>3569</v>
      </c>
      <c r="H1" s="2113"/>
      <c r="I1" s="134" t="s">
        <v>744</v>
      </c>
      <c r="J1" s="2080" t="s">
        <v>3570</v>
      </c>
      <c r="K1" s="2080"/>
      <c r="L1" s="2080"/>
      <c r="M1" s="680" t="s">
        <v>3571</v>
      </c>
    </row>
    <row r="2" spans="1:13" ht="41.1" customHeight="1">
      <c r="A2" s="133" t="s">
        <v>240</v>
      </c>
      <c r="B2" s="1682" t="s">
        <v>3572</v>
      </c>
      <c r="C2" s="1682"/>
      <c r="D2" s="134" t="s">
        <v>242</v>
      </c>
      <c r="E2" s="1689"/>
      <c r="F2" s="1689"/>
      <c r="G2" s="1689"/>
      <c r="H2" s="1689"/>
      <c r="I2" s="166" t="s">
        <v>243</v>
      </c>
      <c r="J2" s="1707" t="s">
        <v>421</v>
      </c>
      <c r="K2" s="1708"/>
      <c r="L2" s="166" t="s">
        <v>245</v>
      </c>
      <c r="M2" s="167" t="s">
        <v>3573</v>
      </c>
    </row>
    <row r="3" spans="1:13" ht="39" customHeight="1">
      <c r="A3" s="133" t="s">
        <v>247</v>
      </c>
      <c r="B3" s="1682" t="s">
        <v>3574</v>
      </c>
      <c r="C3" s="1682"/>
      <c r="D3" s="134" t="s">
        <v>249</v>
      </c>
      <c r="E3" s="136" t="s">
        <v>3575</v>
      </c>
      <c r="F3" s="134" t="s">
        <v>251</v>
      </c>
      <c r="G3" s="134" t="s">
        <v>3576</v>
      </c>
      <c r="H3" s="134" t="s">
        <v>252</v>
      </c>
      <c r="I3" s="134">
        <v>13423666002</v>
      </c>
      <c r="J3" s="15" t="s">
        <v>565</v>
      </c>
      <c r="K3" s="15" t="s">
        <v>3577</v>
      </c>
      <c r="L3" s="15" t="s">
        <v>255</v>
      </c>
      <c r="M3" s="207"/>
    </row>
    <row r="4" spans="1:13" ht="57.95" customHeight="1">
      <c r="A4" s="133" t="s">
        <v>260</v>
      </c>
      <c r="B4" s="2045" t="s">
        <v>3578</v>
      </c>
      <c r="C4" s="2046"/>
      <c r="D4" s="2046"/>
      <c r="E4" s="1690"/>
      <c r="F4" s="1690"/>
      <c r="G4" s="2045"/>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42461</v>
      </c>
      <c r="B6" s="200">
        <v>553.5</v>
      </c>
      <c r="C6" s="200">
        <v>184535</v>
      </c>
      <c r="D6" s="200">
        <f>B6</f>
        <v>553.5</v>
      </c>
      <c r="E6" s="200">
        <f>C6</f>
        <v>184535</v>
      </c>
      <c r="F6" s="200"/>
      <c r="G6" s="180">
        <f t="shared" ref="G6:G14" si="0">E6*0.1</f>
        <v>18453.5</v>
      </c>
      <c r="H6" s="201"/>
      <c r="I6" s="200"/>
      <c r="J6" s="200"/>
      <c r="K6" s="200"/>
      <c r="L6" s="200">
        <f t="shared" ref="L6:L14" si="1">E6-J6</f>
        <v>184535</v>
      </c>
      <c r="M6" s="681"/>
    </row>
    <row r="7" spans="1:13" ht="29.1" customHeight="1">
      <c r="A7" s="676">
        <v>42491</v>
      </c>
      <c r="B7" s="200">
        <v>3676.5</v>
      </c>
      <c r="C7" s="200">
        <v>1155825</v>
      </c>
      <c r="D7" s="200">
        <f t="shared" ref="D7:D14" si="2">D6+B7</f>
        <v>4230</v>
      </c>
      <c r="E7" s="200">
        <f t="shared" ref="E7:E14" si="3">E6+C7</f>
        <v>1340360</v>
      </c>
      <c r="F7" s="200"/>
      <c r="G7" s="180">
        <f t="shared" si="0"/>
        <v>134036</v>
      </c>
      <c r="H7" s="201">
        <f t="shared" ref="H7:H14" si="4">C6*0.9</f>
        <v>166081.5</v>
      </c>
      <c r="I7" s="200"/>
      <c r="J7" s="200"/>
      <c r="K7" s="200">
        <f t="shared" ref="K7:K15" si="5">K6+H7-I7</f>
        <v>166081.5</v>
      </c>
      <c r="L7" s="200">
        <f t="shared" si="1"/>
        <v>1340360</v>
      </c>
      <c r="M7" s="681"/>
    </row>
    <row r="8" spans="1:13" ht="29.1" customHeight="1">
      <c r="A8" s="676">
        <v>42522</v>
      </c>
      <c r="B8" s="200">
        <v>3936.5</v>
      </c>
      <c r="C8" s="200">
        <v>1150095</v>
      </c>
      <c r="D8" s="200">
        <f t="shared" si="2"/>
        <v>8166.5</v>
      </c>
      <c r="E8" s="200">
        <f t="shared" si="3"/>
        <v>2490455</v>
      </c>
      <c r="F8" s="180"/>
      <c r="G8" s="180">
        <f t="shared" si="0"/>
        <v>249045.5</v>
      </c>
      <c r="H8" s="201">
        <f t="shared" si="4"/>
        <v>1040242.5</v>
      </c>
      <c r="I8" s="180"/>
      <c r="J8" s="180">
        <f>I8</f>
        <v>0</v>
      </c>
      <c r="K8" s="200">
        <f t="shared" si="5"/>
        <v>1206324</v>
      </c>
      <c r="L8" s="200">
        <f t="shared" si="1"/>
        <v>2490455</v>
      </c>
      <c r="M8" s="682"/>
    </row>
    <row r="9" spans="1:13" ht="29.1" customHeight="1">
      <c r="A9" s="676">
        <v>42552</v>
      </c>
      <c r="B9" s="200">
        <v>3633</v>
      </c>
      <c r="C9" s="200">
        <v>1020790</v>
      </c>
      <c r="D9" s="200">
        <f t="shared" si="2"/>
        <v>11799.5</v>
      </c>
      <c r="E9" s="200">
        <f t="shared" si="3"/>
        <v>3511245</v>
      </c>
      <c r="F9" s="180"/>
      <c r="G9" s="180">
        <f t="shared" si="0"/>
        <v>351124.5</v>
      </c>
      <c r="H9" s="201">
        <f t="shared" si="4"/>
        <v>1035085.5</v>
      </c>
      <c r="I9" s="180"/>
      <c r="J9" s="180">
        <f t="shared" ref="J9:J14" si="6">I9+J8</f>
        <v>0</v>
      </c>
      <c r="K9" s="200">
        <f t="shared" si="5"/>
        <v>2241409.5</v>
      </c>
      <c r="L9" s="200">
        <f t="shared" si="1"/>
        <v>3511245</v>
      </c>
      <c r="M9" s="682"/>
    </row>
    <row r="10" spans="1:13" ht="29.1" customHeight="1">
      <c r="A10" s="677">
        <v>42583</v>
      </c>
      <c r="B10" s="211">
        <v>2660</v>
      </c>
      <c r="C10" s="211">
        <v>759417.5</v>
      </c>
      <c r="D10" s="200">
        <f t="shared" si="2"/>
        <v>14459.5</v>
      </c>
      <c r="E10" s="200">
        <f t="shared" si="3"/>
        <v>4270662.5</v>
      </c>
      <c r="F10" s="180"/>
      <c r="G10" s="180">
        <f t="shared" si="0"/>
        <v>427066.25</v>
      </c>
      <c r="H10" s="201">
        <f t="shared" si="4"/>
        <v>918711</v>
      </c>
      <c r="I10" s="180"/>
      <c r="J10" s="180">
        <f t="shared" si="6"/>
        <v>0</v>
      </c>
      <c r="K10" s="200">
        <f t="shared" si="5"/>
        <v>3160120.5</v>
      </c>
      <c r="L10" s="200">
        <f t="shared" si="1"/>
        <v>4270662.5</v>
      </c>
      <c r="M10" s="412"/>
    </row>
    <row r="11" spans="1:13" ht="29.1" customHeight="1">
      <c r="A11" s="678">
        <v>42614</v>
      </c>
      <c r="B11" s="211">
        <v>940.5</v>
      </c>
      <c r="C11" s="211">
        <v>264360</v>
      </c>
      <c r="D11" s="200">
        <f t="shared" si="2"/>
        <v>15400</v>
      </c>
      <c r="E11" s="200">
        <f t="shared" si="3"/>
        <v>4535022.5</v>
      </c>
      <c r="F11" s="180"/>
      <c r="G11" s="180">
        <f t="shared" si="0"/>
        <v>453502.25</v>
      </c>
      <c r="H11" s="201">
        <f t="shared" si="4"/>
        <v>683475.75</v>
      </c>
      <c r="I11" s="180"/>
      <c r="J11" s="180">
        <f t="shared" si="6"/>
        <v>0</v>
      </c>
      <c r="K11" s="200">
        <f t="shared" si="5"/>
        <v>3843596.25</v>
      </c>
      <c r="L11" s="200">
        <f t="shared" si="1"/>
        <v>4535022.5</v>
      </c>
      <c r="M11" s="412"/>
    </row>
    <row r="12" spans="1:13" ht="29.1" customHeight="1">
      <c r="A12" s="678">
        <v>42675</v>
      </c>
      <c r="B12" s="211">
        <v>66.5</v>
      </c>
      <c r="C12" s="211">
        <v>19285</v>
      </c>
      <c r="D12" s="200">
        <f t="shared" si="2"/>
        <v>15466.5</v>
      </c>
      <c r="E12" s="200">
        <f t="shared" si="3"/>
        <v>4554307.5</v>
      </c>
      <c r="F12" s="180"/>
      <c r="G12" s="180">
        <f t="shared" si="0"/>
        <v>455430.75</v>
      </c>
      <c r="H12" s="201">
        <f t="shared" si="4"/>
        <v>237924</v>
      </c>
      <c r="I12" s="180">
        <v>2500000</v>
      </c>
      <c r="J12" s="180">
        <f t="shared" si="6"/>
        <v>2500000</v>
      </c>
      <c r="K12" s="200">
        <f t="shared" si="5"/>
        <v>1581520.25</v>
      </c>
      <c r="L12" s="200">
        <f t="shared" si="1"/>
        <v>2054307.5</v>
      </c>
      <c r="M12" s="412" t="s">
        <v>3579</v>
      </c>
    </row>
    <row r="13" spans="1:13" ht="29.1" customHeight="1">
      <c r="A13" s="678">
        <v>42705</v>
      </c>
      <c r="B13" s="211">
        <v>161</v>
      </c>
      <c r="C13" s="211">
        <v>18250</v>
      </c>
      <c r="D13" s="200">
        <f t="shared" si="2"/>
        <v>15627.5</v>
      </c>
      <c r="E13" s="200">
        <f t="shared" si="3"/>
        <v>4572557.5</v>
      </c>
      <c r="F13" s="180"/>
      <c r="G13" s="180">
        <f t="shared" si="0"/>
        <v>457255.75</v>
      </c>
      <c r="H13" s="201">
        <f t="shared" si="4"/>
        <v>17356.5</v>
      </c>
      <c r="I13" s="180">
        <v>1900000</v>
      </c>
      <c r="J13" s="180">
        <f t="shared" si="6"/>
        <v>4400000</v>
      </c>
      <c r="K13" s="200">
        <f t="shared" si="5"/>
        <v>-301123.25</v>
      </c>
      <c r="L13" s="200">
        <f t="shared" si="1"/>
        <v>172557.5</v>
      </c>
      <c r="M13" s="412" t="s">
        <v>3580</v>
      </c>
    </row>
    <row r="14" spans="1:13" ht="29.1" customHeight="1">
      <c r="A14" s="678">
        <v>42736</v>
      </c>
      <c r="B14" s="211">
        <v>0</v>
      </c>
      <c r="C14" s="211">
        <v>0</v>
      </c>
      <c r="D14" s="200">
        <f t="shared" si="2"/>
        <v>15627.5</v>
      </c>
      <c r="E14" s="200">
        <f t="shared" si="3"/>
        <v>4572557.5</v>
      </c>
      <c r="F14" s="180"/>
      <c r="G14" s="180">
        <f t="shared" si="0"/>
        <v>457255.75</v>
      </c>
      <c r="H14" s="201">
        <f t="shared" si="4"/>
        <v>16425</v>
      </c>
      <c r="I14" s="180"/>
      <c r="J14" s="180">
        <f t="shared" si="6"/>
        <v>4400000</v>
      </c>
      <c r="K14" s="200">
        <f t="shared" si="5"/>
        <v>-284698.25</v>
      </c>
      <c r="L14" s="200">
        <f t="shared" si="1"/>
        <v>172557.5</v>
      </c>
      <c r="M14" s="412"/>
    </row>
    <row r="15" spans="1:13" ht="29.1" customHeight="1">
      <c r="A15" s="678"/>
      <c r="B15" s="211"/>
      <c r="C15" s="211"/>
      <c r="D15" s="200"/>
      <c r="E15" s="482"/>
      <c r="F15" s="180"/>
      <c r="G15" s="180"/>
      <c r="H15" s="201">
        <f>G14</f>
        <v>457255.75</v>
      </c>
      <c r="I15" s="180"/>
      <c r="J15" s="180"/>
      <c r="K15" s="200">
        <f t="shared" si="5"/>
        <v>172557.5</v>
      </c>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20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10" zoomScaleSheetLayoutView="100" workbookViewId="0">
      <selection activeCell="A17" sqref="A17"/>
    </sheetView>
  </sheetViews>
  <sheetFormatPr defaultColWidth="9" defaultRowHeight="14.25"/>
  <cols>
    <col min="1" max="1" width="14.75" customWidth="1"/>
    <col min="2" max="2" width="12.875" customWidth="1"/>
    <col min="3" max="3" width="20.375" customWidth="1"/>
    <col min="4" max="4" width="17.25" customWidth="1"/>
    <col min="5" max="5" width="18.25" customWidth="1"/>
    <col min="6" max="6" width="22.25" customWidth="1"/>
    <col min="7" max="7" width="14.125" bestFit="1" customWidth="1"/>
    <col min="8" max="8" width="16.625" customWidth="1"/>
    <col min="9" max="9" width="13.625" customWidth="1"/>
    <col min="10" max="10" width="22" customWidth="1"/>
    <col min="11" max="11" width="17.375" customWidth="1"/>
    <col min="12" max="12" width="15" customWidth="1"/>
    <col min="13" max="13" width="38.125" customWidth="1"/>
  </cols>
  <sheetData>
    <row r="1" spans="1:13" ht="110.1" customHeight="1">
      <c r="A1" s="349" t="s">
        <v>556</v>
      </c>
      <c r="B1" s="274" t="s">
        <v>3581</v>
      </c>
      <c r="C1" s="683" t="s">
        <v>3582</v>
      </c>
      <c r="D1" s="674" t="s">
        <v>3367</v>
      </c>
      <c r="E1" s="413"/>
      <c r="F1" s="675"/>
      <c r="G1" s="2113" t="s">
        <v>3583</v>
      </c>
      <c r="H1" s="2113"/>
      <c r="I1" s="134" t="s">
        <v>744</v>
      </c>
      <c r="J1" s="2080" t="s">
        <v>3584</v>
      </c>
      <c r="K1" s="2080"/>
      <c r="L1" s="2080"/>
      <c r="M1" s="680" t="s">
        <v>1303</v>
      </c>
    </row>
    <row r="2" spans="1:13" ht="68.099999999999994" customHeight="1">
      <c r="A2" s="133" t="s">
        <v>240</v>
      </c>
      <c r="B2" s="1682" t="s">
        <v>3585</v>
      </c>
      <c r="C2" s="1682"/>
      <c r="D2" s="134" t="s">
        <v>242</v>
      </c>
      <c r="E2" s="1689"/>
      <c r="F2" s="1689"/>
      <c r="G2" s="1689"/>
      <c r="H2" s="1689"/>
      <c r="I2" s="166" t="s">
        <v>425</v>
      </c>
      <c r="J2" s="684" t="s">
        <v>3586</v>
      </c>
      <c r="K2" s="310" t="s">
        <v>3587</v>
      </c>
      <c r="L2" s="166" t="s">
        <v>245</v>
      </c>
      <c r="M2" s="167" t="s">
        <v>3588</v>
      </c>
    </row>
    <row r="3" spans="1:13" ht="53.1" customHeight="1">
      <c r="A3" s="133" t="s">
        <v>247</v>
      </c>
      <c r="B3" s="1682" t="s">
        <v>3589</v>
      </c>
      <c r="C3" s="1682"/>
      <c r="D3" s="134" t="s">
        <v>249</v>
      </c>
      <c r="E3" s="136"/>
      <c r="F3" s="134" t="s">
        <v>251</v>
      </c>
      <c r="G3" s="134" t="s">
        <v>3590</v>
      </c>
      <c r="H3" s="134" t="s">
        <v>252</v>
      </c>
      <c r="I3" s="134"/>
      <c r="J3" s="15" t="s">
        <v>565</v>
      </c>
      <c r="K3" s="15" t="s">
        <v>3591</v>
      </c>
      <c r="L3" s="15" t="s">
        <v>255</v>
      </c>
      <c r="M3" s="207" t="s">
        <v>3592</v>
      </c>
    </row>
    <row r="4" spans="1:13" ht="87.95" customHeight="1">
      <c r="A4" s="133" t="s">
        <v>260</v>
      </c>
      <c r="B4" s="2032" t="s">
        <v>1853</v>
      </c>
      <c r="C4" s="2033"/>
      <c r="D4" s="2033"/>
      <c r="E4" s="1690" t="s">
        <v>1854</v>
      </c>
      <c r="F4" s="1690"/>
      <c r="G4" s="2045"/>
      <c r="H4" s="2046"/>
      <c r="I4" s="2097"/>
      <c r="J4" s="1697"/>
      <c r="K4" s="1697"/>
      <c r="L4" s="1697"/>
      <c r="M4" s="1846"/>
    </row>
    <row r="5" spans="1:13" ht="42" customHeight="1">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42644</v>
      </c>
      <c r="B6" s="200">
        <v>107</v>
      </c>
      <c r="C6" s="200">
        <v>28465</v>
      </c>
      <c r="D6" s="200">
        <f>B6</f>
        <v>107</v>
      </c>
      <c r="E6" s="200">
        <f>C6</f>
        <v>28465</v>
      </c>
      <c r="F6" s="200"/>
      <c r="G6" s="180"/>
      <c r="H6" s="201"/>
      <c r="I6" s="200"/>
      <c r="J6" s="200"/>
      <c r="K6" s="200"/>
      <c r="L6" s="200">
        <f t="shared" ref="L6:L16" si="0">E6-J6</f>
        <v>28465</v>
      </c>
      <c r="M6" s="681"/>
    </row>
    <row r="7" spans="1:13" ht="29.1" customHeight="1">
      <c r="A7" s="676">
        <v>42675</v>
      </c>
      <c r="B7" s="200">
        <v>118</v>
      </c>
      <c r="C7" s="200">
        <v>33270</v>
      </c>
      <c r="D7" s="200">
        <f t="shared" ref="D7:D16" si="1">D6+B7</f>
        <v>225</v>
      </c>
      <c r="E7" s="200">
        <f t="shared" ref="E7:E16" si="2">E6+C7</f>
        <v>61735</v>
      </c>
      <c r="F7" s="200"/>
      <c r="G7" s="180"/>
      <c r="H7" s="201">
        <f t="shared" ref="H7:H17" si="3">C6</f>
        <v>28465</v>
      </c>
      <c r="I7" s="200"/>
      <c r="J7" s="200"/>
      <c r="K7" s="200">
        <f t="shared" ref="K7:K17" si="4">K6+H7-I7</f>
        <v>28465</v>
      </c>
      <c r="L7" s="200">
        <f t="shared" si="0"/>
        <v>61735</v>
      </c>
      <c r="M7" s="681" t="s">
        <v>3593</v>
      </c>
    </row>
    <row r="8" spans="1:13" ht="29.1" customHeight="1">
      <c r="A8" s="676">
        <v>42705</v>
      </c>
      <c r="B8" s="200">
        <v>240.5</v>
      </c>
      <c r="C8" s="200">
        <v>76122.5</v>
      </c>
      <c r="D8" s="200">
        <f t="shared" si="1"/>
        <v>465.5</v>
      </c>
      <c r="E8" s="200">
        <f t="shared" si="2"/>
        <v>137857.5</v>
      </c>
      <c r="F8" s="180"/>
      <c r="G8" s="180"/>
      <c r="H8" s="201">
        <f t="shared" si="3"/>
        <v>33270</v>
      </c>
      <c r="I8" s="180">
        <f>28465+33270</f>
        <v>61735</v>
      </c>
      <c r="J8" s="180">
        <f>I8</f>
        <v>61735</v>
      </c>
      <c r="K8" s="200">
        <f t="shared" si="4"/>
        <v>0</v>
      </c>
      <c r="L8" s="200">
        <f t="shared" si="0"/>
        <v>76122.5</v>
      </c>
      <c r="M8" s="682" t="s">
        <v>3594</v>
      </c>
    </row>
    <row r="9" spans="1:13" ht="29.1" customHeight="1">
      <c r="A9" s="676">
        <v>42736</v>
      </c>
      <c r="B9" s="200">
        <v>396</v>
      </c>
      <c r="C9" s="200">
        <v>126200</v>
      </c>
      <c r="D9" s="200">
        <f t="shared" si="1"/>
        <v>861.5</v>
      </c>
      <c r="E9" s="200">
        <f t="shared" si="2"/>
        <v>264057.5</v>
      </c>
      <c r="F9" s="180"/>
      <c r="G9" s="180"/>
      <c r="H9" s="201">
        <f t="shared" si="3"/>
        <v>76122.5</v>
      </c>
      <c r="I9" s="180">
        <v>76122.5</v>
      </c>
      <c r="J9" s="180">
        <f t="shared" ref="J9:J16" si="5">I9+J8</f>
        <v>137857.5</v>
      </c>
      <c r="K9" s="200">
        <f t="shared" si="4"/>
        <v>0</v>
      </c>
      <c r="L9" s="200">
        <f t="shared" si="0"/>
        <v>126200</v>
      </c>
      <c r="M9" s="682"/>
    </row>
    <row r="10" spans="1:13" ht="29.1" customHeight="1">
      <c r="A10" s="677">
        <v>42767</v>
      </c>
      <c r="B10" s="211">
        <v>160</v>
      </c>
      <c r="C10" s="211">
        <v>51725</v>
      </c>
      <c r="D10" s="200">
        <f t="shared" si="1"/>
        <v>1021.5</v>
      </c>
      <c r="E10" s="200">
        <f t="shared" si="2"/>
        <v>315782.5</v>
      </c>
      <c r="F10" s="180"/>
      <c r="G10" s="180"/>
      <c r="H10" s="201">
        <f t="shared" si="3"/>
        <v>126200</v>
      </c>
      <c r="I10" s="180">
        <v>126200</v>
      </c>
      <c r="J10" s="180">
        <f t="shared" si="5"/>
        <v>264057.5</v>
      </c>
      <c r="K10" s="200">
        <f t="shared" si="4"/>
        <v>0</v>
      </c>
      <c r="L10" s="200">
        <f t="shared" si="0"/>
        <v>51725</v>
      </c>
      <c r="M10" s="412" t="s">
        <v>3595</v>
      </c>
    </row>
    <row r="11" spans="1:13" ht="29.1" customHeight="1">
      <c r="A11" s="678">
        <v>42795</v>
      </c>
      <c r="B11" s="211">
        <v>1068</v>
      </c>
      <c r="C11" s="211">
        <v>330980</v>
      </c>
      <c r="D11" s="200">
        <f t="shared" si="1"/>
        <v>2089.5</v>
      </c>
      <c r="E11" s="200">
        <f t="shared" si="2"/>
        <v>646762.5</v>
      </c>
      <c r="F11" s="180"/>
      <c r="G11" s="180"/>
      <c r="H11" s="201">
        <f t="shared" si="3"/>
        <v>51725</v>
      </c>
      <c r="I11" s="180"/>
      <c r="J11" s="180">
        <f t="shared" si="5"/>
        <v>264057.5</v>
      </c>
      <c r="K11" s="200">
        <f t="shared" si="4"/>
        <v>51725</v>
      </c>
      <c r="L11" s="200">
        <f t="shared" si="0"/>
        <v>382705</v>
      </c>
      <c r="M11" s="412"/>
    </row>
    <row r="12" spans="1:13" ht="29.1" customHeight="1">
      <c r="A12" s="678">
        <v>42826</v>
      </c>
      <c r="B12" s="211">
        <v>773</v>
      </c>
      <c r="C12" s="211">
        <v>239720</v>
      </c>
      <c r="D12" s="200">
        <f t="shared" si="1"/>
        <v>2862.5</v>
      </c>
      <c r="E12" s="200">
        <f t="shared" si="2"/>
        <v>886482.5</v>
      </c>
      <c r="F12" s="180"/>
      <c r="G12" s="180"/>
      <c r="H12" s="201">
        <f t="shared" si="3"/>
        <v>330980</v>
      </c>
      <c r="I12" s="180">
        <v>382705</v>
      </c>
      <c r="J12" s="180">
        <f t="shared" si="5"/>
        <v>646762.5</v>
      </c>
      <c r="K12" s="200">
        <f t="shared" si="4"/>
        <v>0</v>
      </c>
      <c r="L12" s="200">
        <f t="shared" si="0"/>
        <v>239720</v>
      </c>
      <c r="M12" s="412" t="s">
        <v>3596</v>
      </c>
    </row>
    <row r="13" spans="1:13" ht="29.1" customHeight="1">
      <c r="A13" s="678">
        <v>42856</v>
      </c>
      <c r="B13" s="211">
        <v>286</v>
      </c>
      <c r="C13" s="211">
        <v>87850</v>
      </c>
      <c r="D13" s="200">
        <f t="shared" si="1"/>
        <v>3148.5</v>
      </c>
      <c r="E13" s="200">
        <f t="shared" si="2"/>
        <v>974332.5</v>
      </c>
      <c r="F13" s="180"/>
      <c r="G13" s="180"/>
      <c r="H13" s="201">
        <f t="shared" si="3"/>
        <v>239720</v>
      </c>
      <c r="I13" s="180">
        <v>239720</v>
      </c>
      <c r="J13" s="180">
        <f t="shared" si="5"/>
        <v>886482.5</v>
      </c>
      <c r="K13" s="200">
        <f t="shared" si="4"/>
        <v>0</v>
      </c>
      <c r="L13" s="200">
        <f t="shared" si="0"/>
        <v>87850</v>
      </c>
      <c r="M13" s="412" t="s">
        <v>3597</v>
      </c>
    </row>
    <row r="14" spans="1:13" ht="29.1" customHeight="1">
      <c r="A14" s="678">
        <v>42887</v>
      </c>
      <c r="B14" s="211">
        <v>60.5</v>
      </c>
      <c r="C14" s="211">
        <v>18605</v>
      </c>
      <c r="D14" s="200">
        <f t="shared" si="1"/>
        <v>3209</v>
      </c>
      <c r="E14" s="200">
        <f t="shared" si="2"/>
        <v>992937.5</v>
      </c>
      <c r="F14" s="180"/>
      <c r="G14" s="180"/>
      <c r="H14" s="201">
        <f t="shared" si="3"/>
        <v>87850</v>
      </c>
      <c r="I14" s="180">
        <v>87850</v>
      </c>
      <c r="J14" s="180">
        <f t="shared" si="5"/>
        <v>974332.5</v>
      </c>
      <c r="K14" s="200">
        <f t="shared" si="4"/>
        <v>0</v>
      </c>
      <c r="L14" s="200">
        <f t="shared" si="0"/>
        <v>18605</v>
      </c>
      <c r="M14" s="412" t="s">
        <v>3598</v>
      </c>
    </row>
    <row r="15" spans="1:13" ht="29.1" customHeight="1">
      <c r="A15" s="678">
        <v>42917</v>
      </c>
      <c r="B15" s="211">
        <v>145</v>
      </c>
      <c r="C15" s="211">
        <v>45350</v>
      </c>
      <c r="D15" s="200">
        <f t="shared" si="1"/>
        <v>3354</v>
      </c>
      <c r="E15" s="200">
        <f t="shared" si="2"/>
        <v>1038287.5</v>
      </c>
      <c r="F15" s="180"/>
      <c r="G15" s="180"/>
      <c r="H15" s="201">
        <f t="shared" si="3"/>
        <v>18605</v>
      </c>
      <c r="I15" s="180"/>
      <c r="J15" s="180">
        <f t="shared" si="5"/>
        <v>974332.5</v>
      </c>
      <c r="K15" s="200">
        <f t="shared" si="4"/>
        <v>18605</v>
      </c>
      <c r="L15" s="200">
        <f t="shared" si="0"/>
        <v>63955</v>
      </c>
      <c r="M15" s="412"/>
    </row>
    <row r="16" spans="1:13" ht="29.1" customHeight="1">
      <c r="A16" s="678">
        <v>42948</v>
      </c>
      <c r="B16" s="211">
        <v>96</v>
      </c>
      <c r="C16" s="211">
        <v>29055</v>
      </c>
      <c r="D16" s="200">
        <f t="shared" si="1"/>
        <v>3450</v>
      </c>
      <c r="E16" s="200">
        <f t="shared" si="2"/>
        <v>1067342.5</v>
      </c>
      <c r="F16" s="180"/>
      <c r="G16" s="180"/>
      <c r="H16" s="201">
        <f t="shared" si="3"/>
        <v>45350</v>
      </c>
      <c r="I16" s="180"/>
      <c r="J16" s="180">
        <f t="shared" si="5"/>
        <v>974332.5</v>
      </c>
      <c r="K16" s="200">
        <f t="shared" si="4"/>
        <v>63955</v>
      </c>
      <c r="L16" s="200">
        <f t="shared" si="0"/>
        <v>93010</v>
      </c>
      <c r="M16" s="412"/>
    </row>
    <row r="17" spans="1:13" ht="29.1" customHeight="1">
      <c r="A17" s="678"/>
      <c r="B17" s="211"/>
      <c r="C17" s="211"/>
      <c r="D17" s="200"/>
      <c r="E17" s="482"/>
      <c r="F17" s="180"/>
      <c r="G17" s="180"/>
      <c r="H17" s="201">
        <f t="shared" si="3"/>
        <v>29055</v>
      </c>
      <c r="I17" s="180"/>
      <c r="J17" s="180"/>
      <c r="K17" s="200">
        <f t="shared" si="4"/>
        <v>93010</v>
      </c>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9">
    <mergeCell ref="G1:H1"/>
    <mergeCell ref="J1:L1"/>
    <mergeCell ref="B2:C2"/>
    <mergeCell ref="E2:H2"/>
    <mergeCell ref="B3:C3"/>
    <mergeCell ref="B4:D4"/>
    <mergeCell ref="E4:F4"/>
    <mergeCell ref="G4:I4"/>
    <mergeCell ref="J4:M4"/>
  </mergeCells>
  <phoneticPr fontId="84" type="noConversion"/>
  <pageMargins left="0.75" right="0.75" top="1" bottom="1" header="0.51" footer="0.51"/>
  <pageSetup paperSize="9" orientation="portrait" horizontalDpi="0" verticalDpi="0"/>
</worksheet>
</file>

<file path=xl/worksheets/sheet1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4" zoomScaleSheetLayoutView="100" workbookViewId="0">
      <selection activeCell="A12" sqref="A12"/>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c r="C1" s="377" t="s">
        <v>1719</v>
      </c>
      <c r="D1" s="674" t="s">
        <v>3367</v>
      </c>
      <c r="E1" s="413"/>
      <c r="F1" s="675"/>
      <c r="G1" s="2113"/>
      <c r="H1" s="2113"/>
      <c r="I1" s="134" t="s">
        <v>744</v>
      </c>
      <c r="J1" s="2080" t="s">
        <v>3599</v>
      </c>
      <c r="K1" s="2080"/>
      <c r="L1" s="2080"/>
      <c r="M1" s="680" t="s">
        <v>3600</v>
      </c>
    </row>
    <row r="2" spans="1:13" ht="41.1" customHeight="1">
      <c r="A2" s="133" t="s">
        <v>240</v>
      </c>
      <c r="B2" s="1682" t="s">
        <v>3572</v>
      </c>
      <c r="C2" s="1682"/>
      <c r="D2" s="134" t="s">
        <v>242</v>
      </c>
      <c r="E2" s="1689"/>
      <c r="F2" s="1689"/>
      <c r="G2" s="1689"/>
      <c r="H2" s="1689"/>
      <c r="I2" s="166" t="s">
        <v>243</v>
      </c>
      <c r="J2" s="1707"/>
      <c r="K2" s="1708"/>
      <c r="L2" s="166" t="s">
        <v>245</v>
      </c>
      <c r="M2" s="167"/>
    </row>
    <row r="3" spans="1:13" ht="39" customHeight="1">
      <c r="A3" s="133" t="s">
        <v>247</v>
      </c>
      <c r="B3" s="1682" t="s">
        <v>3601</v>
      </c>
      <c r="C3" s="1682"/>
      <c r="D3" s="134" t="s">
        <v>249</v>
      </c>
      <c r="E3" s="136"/>
      <c r="F3" s="134" t="s">
        <v>251</v>
      </c>
      <c r="G3" s="134"/>
      <c r="H3" s="134" t="s">
        <v>252</v>
      </c>
      <c r="I3" s="134"/>
      <c r="J3" s="15" t="s">
        <v>565</v>
      </c>
      <c r="K3" s="15"/>
      <c r="L3" s="15" t="s">
        <v>255</v>
      </c>
      <c r="M3" s="207"/>
    </row>
    <row r="4" spans="1:13" ht="57.95" customHeight="1">
      <c r="A4" s="133" t="s">
        <v>260</v>
      </c>
      <c r="B4" s="2045" t="s">
        <v>3602</v>
      </c>
      <c r="C4" s="2046"/>
      <c r="D4" s="2046"/>
      <c r="E4" s="1690"/>
      <c r="F4" s="1690"/>
      <c r="G4" s="2045"/>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42736</v>
      </c>
      <c r="B6" s="200">
        <v>485</v>
      </c>
      <c r="C6" s="200">
        <v>164115</v>
      </c>
      <c r="D6" s="200">
        <f>B6</f>
        <v>485</v>
      </c>
      <c r="E6" s="200">
        <f>C6</f>
        <v>164115</v>
      </c>
      <c r="F6" s="200"/>
      <c r="G6" s="180"/>
      <c r="H6" s="201"/>
      <c r="I6" s="200"/>
      <c r="J6" s="200"/>
      <c r="K6" s="200"/>
      <c r="L6" s="200">
        <f t="shared" ref="L6:L11" si="0">E6-J6</f>
        <v>164115</v>
      </c>
      <c r="M6" s="681"/>
    </row>
    <row r="7" spans="1:13" ht="29.1" customHeight="1">
      <c r="A7" s="676">
        <v>42767</v>
      </c>
      <c r="B7" s="200">
        <v>25</v>
      </c>
      <c r="C7" s="200">
        <v>8125</v>
      </c>
      <c r="D7" s="200">
        <f t="shared" ref="D7:E11" si="1">D6+B7</f>
        <v>510</v>
      </c>
      <c r="E7" s="200">
        <f t="shared" si="1"/>
        <v>172240</v>
      </c>
      <c r="F7" s="200"/>
      <c r="G7" s="180"/>
      <c r="H7" s="201">
        <f t="shared" ref="H7:H12" si="2">C6</f>
        <v>164115</v>
      </c>
      <c r="I7" s="200"/>
      <c r="J7" s="200"/>
      <c r="K7" s="200">
        <f t="shared" ref="K7:K12" si="3">K6+H7-I7</f>
        <v>164115</v>
      </c>
      <c r="L7" s="200">
        <f t="shared" si="0"/>
        <v>172240</v>
      </c>
      <c r="M7" s="681"/>
    </row>
    <row r="8" spans="1:13" ht="29.1" customHeight="1">
      <c r="A8" s="676">
        <v>42795</v>
      </c>
      <c r="B8" s="200">
        <v>223</v>
      </c>
      <c r="C8" s="200">
        <v>72975</v>
      </c>
      <c r="D8" s="200">
        <f t="shared" si="1"/>
        <v>733</v>
      </c>
      <c r="E8" s="200">
        <f t="shared" si="1"/>
        <v>245215</v>
      </c>
      <c r="F8" s="180"/>
      <c r="G8" s="180"/>
      <c r="H8" s="201">
        <f t="shared" si="2"/>
        <v>8125</v>
      </c>
      <c r="I8" s="180"/>
      <c r="J8" s="180">
        <f>I8</f>
        <v>0</v>
      </c>
      <c r="K8" s="200">
        <f t="shared" si="3"/>
        <v>172240</v>
      </c>
      <c r="L8" s="200">
        <f t="shared" si="0"/>
        <v>245215</v>
      </c>
      <c r="M8" s="682"/>
    </row>
    <row r="9" spans="1:13" ht="29.1" customHeight="1">
      <c r="A9" s="676">
        <v>42826</v>
      </c>
      <c r="B9" s="200">
        <v>130</v>
      </c>
      <c r="C9" s="200">
        <v>45030</v>
      </c>
      <c r="D9" s="200">
        <f t="shared" si="1"/>
        <v>863</v>
      </c>
      <c r="E9" s="200">
        <f t="shared" si="1"/>
        <v>290245</v>
      </c>
      <c r="F9" s="180"/>
      <c r="G9" s="180"/>
      <c r="H9" s="201">
        <f t="shared" si="2"/>
        <v>72975</v>
      </c>
      <c r="I9" s="180"/>
      <c r="J9" s="180">
        <f>I9+J8</f>
        <v>0</v>
      </c>
      <c r="K9" s="200">
        <f t="shared" si="3"/>
        <v>245215</v>
      </c>
      <c r="L9" s="200">
        <f t="shared" si="0"/>
        <v>290245</v>
      </c>
      <c r="M9" s="682"/>
    </row>
    <row r="10" spans="1:13" ht="29.1" customHeight="1">
      <c r="A10" s="677">
        <v>42917</v>
      </c>
      <c r="B10" s="211">
        <v>0</v>
      </c>
      <c r="C10" s="211">
        <v>0</v>
      </c>
      <c r="D10" s="200">
        <f t="shared" si="1"/>
        <v>863</v>
      </c>
      <c r="E10" s="200">
        <f t="shared" si="1"/>
        <v>290245</v>
      </c>
      <c r="F10" s="180"/>
      <c r="G10" s="180"/>
      <c r="H10" s="201">
        <f t="shared" si="2"/>
        <v>45030</v>
      </c>
      <c r="I10" s="180"/>
      <c r="J10" s="180"/>
      <c r="K10" s="200">
        <f t="shared" si="3"/>
        <v>290245</v>
      </c>
      <c r="L10" s="200">
        <f t="shared" si="0"/>
        <v>290245</v>
      </c>
      <c r="M10" s="412"/>
    </row>
    <row r="11" spans="1:13" ht="29.1" customHeight="1">
      <c r="A11" s="678">
        <v>42948</v>
      </c>
      <c r="B11" s="211">
        <v>22</v>
      </c>
      <c r="C11" s="211">
        <v>7150</v>
      </c>
      <c r="D11" s="200">
        <f t="shared" si="1"/>
        <v>885</v>
      </c>
      <c r="E11" s="200">
        <f t="shared" si="1"/>
        <v>297395</v>
      </c>
      <c r="F11" s="180"/>
      <c r="G11" s="180"/>
      <c r="H11" s="201">
        <f t="shared" si="2"/>
        <v>0</v>
      </c>
      <c r="I11" s="180"/>
      <c r="J11" s="180"/>
      <c r="K11" s="200">
        <f t="shared" si="3"/>
        <v>290245</v>
      </c>
      <c r="L11" s="200">
        <f t="shared" si="0"/>
        <v>297395</v>
      </c>
      <c r="M11" s="412"/>
    </row>
    <row r="12" spans="1:13" ht="29.1" customHeight="1">
      <c r="A12" s="678"/>
      <c r="B12" s="211"/>
      <c r="C12" s="211"/>
      <c r="D12" s="200"/>
      <c r="E12" s="200"/>
      <c r="F12" s="180"/>
      <c r="G12" s="180"/>
      <c r="H12" s="201">
        <f t="shared" si="2"/>
        <v>7150</v>
      </c>
      <c r="I12" s="180"/>
      <c r="J12" s="180"/>
      <c r="K12" s="200">
        <f t="shared" si="3"/>
        <v>297395</v>
      </c>
      <c r="L12" s="200"/>
      <c r="M12" s="412"/>
    </row>
    <row r="13" spans="1:13" ht="29.1" customHeight="1">
      <c r="A13" s="678"/>
      <c r="B13" s="211"/>
      <c r="C13" s="211"/>
      <c r="D13" s="200"/>
      <c r="E13" s="200"/>
      <c r="F13" s="180"/>
      <c r="G13" s="180"/>
      <c r="H13" s="201"/>
      <c r="I13" s="180"/>
      <c r="J13" s="180"/>
      <c r="K13" s="200"/>
      <c r="L13" s="200"/>
      <c r="M13" s="412"/>
    </row>
    <row r="14" spans="1:13" ht="29.1" customHeight="1">
      <c r="A14" s="678"/>
      <c r="B14" s="211"/>
      <c r="C14" s="211"/>
      <c r="D14" s="200"/>
      <c r="E14" s="200"/>
      <c r="F14" s="180"/>
      <c r="G14" s="180"/>
      <c r="H14" s="201"/>
      <c r="I14" s="180"/>
      <c r="J14" s="180"/>
      <c r="K14" s="200"/>
      <c r="L14" s="180"/>
      <c r="M14" s="412"/>
    </row>
    <row r="15" spans="1:13" ht="29.1" customHeight="1">
      <c r="A15" s="678"/>
      <c r="B15" s="211"/>
      <c r="C15" s="211"/>
      <c r="D15" s="200"/>
      <c r="E15" s="482"/>
      <c r="F15" s="180"/>
      <c r="G15" s="180"/>
      <c r="H15" s="180"/>
      <c r="I15" s="180"/>
      <c r="J15" s="180"/>
      <c r="K15" s="200"/>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18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topLeftCell="A4" zoomScaleSheetLayoutView="100" workbookViewId="0">
      <selection activeCell="A11" sqref="A11"/>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t="s">
        <v>3603</v>
      </c>
      <c r="C1" s="377" t="s">
        <v>3604</v>
      </c>
      <c r="D1" s="674" t="s">
        <v>3367</v>
      </c>
      <c r="E1" s="413"/>
      <c r="F1" s="675" t="s">
        <v>3605</v>
      </c>
      <c r="G1" s="2113"/>
      <c r="H1" s="2113"/>
      <c r="I1" s="134" t="s">
        <v>744</v>
      </c>
      <c r="J1" s="2080" t="s">
        <v>3606</v>
      </c>
      <c r="K1" s="2080"/>
      <c r="L1" s="2080"/>
      <c r="M1" s="680" t="s">
        <v>1303</v>
      </c>
    </row>
    <row r="2" spans="1:13" ht="41.1" customHeight="1">
      <c r="A2" s="133" t="s">
        <v>240</v>
      </c>
      <c r="B2" s="1682" t="s">
        <v>3607</v>
      </c>
      <c r="C2" s="1682"/>
      <c r="D2" s="134" t="s">
        <v>242</v>
      </c>
      <c r="E2" s="1689"/>
      <c r="F2" s="1689"/>
      <c r="G2" s="1689"/>
      <c r="H2" s="1689"/>
      <c r="I2" s="166" t="s">
        <v>243</v>
      </c>
      <c r="J2" s="1707"/>
      <c r="K2" s="1708"/>
      <c r="L2" s="166" t="s">
        <v>245</v>
      </c>
      <c r="M2" s="167" t="s">
        <v>3608</v>
      </c>
    </row>
    <row r="3" spans="1:13" ht="39" customHeight="1">
      <c r="A3" s="133" t="s">
        <v>247</v>
      </c>
      <c r="B3" s="1682" t="s">
        <v>3609</v>
      </c>
      <c r="C3" s="1682"/>
      <c r="D3" s="134" t="s">
        <v>249</v>
      </c>
      <c r="E3" s="136" t="s">
        <v>3610</v>
      </c>
      <c r="F3" s="134" t="s">
        <v>251</v>
      </c>
      <c r="G3" s="134" t="s">
        <v>3611</v>
      </c>
      <c r="H3" s="134" t="s">
        <v>252</v>
      </c>
      <c r="I3" s="134">
        <v>13928818805</v>
      </c>
      <c r="J3" s="15" t="s">
        <v>565</v>
      </c>
      <c r="K3" s="15" t="s">
        <v>3612</v>
      </c>
      <c r="L3" s="15" t="s">
        <v>255</v>
      </c>
      <c r="M3" s="207" t="s">
        <v>3613</v>
      </c>
    </row>
    <row r="4" spans="1:13" ht="57.95" customHeight="1">
      <c r="A4" s="133" t="s">
        <v>260</v>
      </c>
      <c r="B4" s="2045" t="s">
        <v>3614</v>
      </c>
      <c r="C4" s="2046"/>
      <c r="D4" s="2046"/>
      <c r="E4" s="1690" t="s">
        <v>3615</v>
      </c>
      <c r="F4" s="1690"/>
      <c r="G4" s="2045"/>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42795</v>
      </c>
      <c r="B6" s="200">
        <v>1971.5</v>
      </c>
      <c r="C6" s="200">
        <v>463200</v>
      </c>
      <c r="D6" s="200">
        <f>B6</f>
        <v>1971.5</v>
      </c>
      <c r="E6" s="200">
        <f>C6</f>
        <v>463200</v>
      </c>
      <c r="F6" s="200"/>
      <c r="G6" s="180">
        <f>C6</f>
        <v>463200</v>
      </c>
      <c r="H6" s="201"/>
      <c r="I6" s="200"/>
      <c r="J6" s="200"/>
      <c r="K6" s="200"/>
      <c r="L6" s="200">
        <f>E6-J6</f>
        <v>463200</v>
      </c>
      <c r="M6" s="681"/>
    </row>
    <row r="7" spans="1:13" ht="29.1" customHeight="1">
      <c r="A7" s="676">
        <v>42826</v>
      </c>
      <c r="B7" s="200">
        <v>1513</v>
      </c>
      <c r="C7" s="200">
        <v>451940</v>
      </c>
      <c r="D7" s="200">
        <f t="shared" ref="D7:E10" si="0">B7+D6</f>
        <v>3484.5</v>
      </c>
      <c r="E7" s="200">
        <f t="shared" si="0"/>
        <v>915140</v>
      </c>
      <c r="F7" s="200"/>
      <c r="G7" s="180">
        <f>C7</f>
        <v>451940</v>
      </c>
      <c r="H7" s="201"/>
      <c r="I7" s="200"/>
      <c r="J7" s="200"/>
      <c r="K7" s="200">
        <f>K6+H7-I7</f>
        <v>0</v>
      </c>
      <c r="L7" s="200">
        <f>E7-J7</f>
        <v>915140</v>
      </c>
      <c r="M7" s="681"/>
    </row>
    <row r="8" spans="1:13" ht="29.1" customHeight="1">
      <c r="A8" s="676">
        <v>42856</v>
      </c>
      <c r="B8" s="200">
        <v>322</v>
      </c>
      <c r="C8" s="200">
        <v>90400</v>
      </c>
      <c r="D8" s="200">
        <f t="shared" si="0"/>
        <v>3806.5</v>
      </c>
      <c r="E8" s="200">
        <f t="shared" si="0"/>
        <v>1005540</v>
      </c>
      <c r="F8" s="180"/>
      <c r="G8" s="180">
        <f>C8</f>
        <v>90400</v>
      </c>
      <c r="H8" s="201">
        <f>C6</f>
        <v>463200</v>
      </c>
      <c r="I8" s="180"/>
      <c r="J8" s="180">
        <f>I8</f>
        <v>0</v>
      </c>
      <c r="K8" s="200">
        <f>K7+H8-I8</f>
        <v>463200</v>
      </c>
      <c r="L8" s="200">
        <f>E8-J8</f>
        <v>1005540</v>
      </c>
      <c r="M8" s="682"/>
    </row>
    <row r="9" spans="1:13" ht="29.1" customHeight="1">
      <c r="A9" s="676">
        <v>42887</v>
      </c>
      <c r="B9" s="200">
        <v>171</v>
      </c>
      <c r="C9" s="200">
        <v>46770</v>
      </c>
      <c r="D9" s="200">
        <f t="shared" si="0"/>
        <v>3977.5</v>
      </c>
      <c r="E9" s="200">
        <f t="shared" si="0"/>
        <v>1052310</v>
      </c>
      <c r="F9" s="180"/>
      <c r="G9" s="180">
        <f>C9</f>
        <v>46770</v>
      </c>
      <c r="H9" s="201">
        <f>C7</f>
        <v>451940</v>
      </c>
      <c r="I9" s="180">
        <v>915140</v>
      </c>
      <c r="J9" s="180">
        <f>I9+J8</f>
        <v>915140</v>
      </c>
      <c r="K9" s="200">
        <f>K8+H9-I9</f>
        <v>0</v>
      </c>
      <c r="L9" s="200">
        <f>E9-J9</f>
        <v>137170</v>
      </c>
      <c r="M9" s="682" t="s">
        <v>3616</v>
      </c>
    </row>
    <row r="10" spans="1:13" ht="29.1" customHeight="1">
      <c r="A10" s="677">
        <v>42948</v>
      </c>
      <c r="B10" s="211">
        <v>0</v>
      </c>
      <c r="C10" s="211">
        <v>0</v>
      </c>
      <c r="D10" s="200">
        <f t="shared" si="0"/>
        <v>3977.5</v>
      </c>
      <c r="E10" s="200">
        <f t="shared" si="0"/>
        <v>1052310</v>
      </c>
      <c r="F10" s="180"/>
      <c r="G10" s="180">
        <f>C10</f>
        <v>0</v>
      </c>
      <c r="H10" s="201">
        <f>C8</f>
        <v>90400</v>
      </c>
      <c r="I10" s="180"/>
      <c r="J10" s="180">
        <f>I10+J9</f>
        <v>915140</v>
      </c>
      <c r="K10" s="200">
        <f>K9+H10-I10</f>
        <v>90400</v>
      </c>
      <c r="L10" s="200">
        <f>E10-J10</f>
        <v>137170</v>
      </c>
      <c r="M10" s="412"/>
    </row>
    <row r="11" spans="1:13" ht="29.1" customHeight="1">
      <c r="A11" s="678"/>
      <c r="B11" s="211"/>
      <c r="C11" s="211"/>
      <c r="D11" s="200"/>
      <c r="E11" s="200"/>
      <c r="F11" s="180"/>
      <c r="G11" s="180"/>
      <c r="H11" s="201">
        <f>C9</f>
        <v>46770</v>
      </c>
      <c r="I11" s="180"/>
      <c r="J11" s="180"/>
      <c r="K11" s="200">
        <f>K10+H11-I11</f>
        <v>137170</v>
      </c>
      <c r="L11" s="200"/>
      <c r="M11" s="412"/>
    </row>
    <row r="12" spans="1:13" ht="29.1" customHeight="1">
      <c r="A12" s="678"/>
      <c r="B12" s="211"/>
      <c r="C12" s="211"/>
      <c r="D12" s="200"/>
      <c r="E12" s="200"/>
      <c r="F12" s="180"/>
      <c r="G12" s="180"/>
      <c r="H12" s="201"/>
      <c r="I12" s="180"/>
      <c r="J12" s="180"/>
      <c r="K12" s="200"/>
      <c r="L12" s="200"/>
      <c r="M12" s="412"/>
    </row>
    <row r="13" spans="1:13" ht="29.1" customHeight="1">
      <c r="A13" s="678"/>
      <c r="B13" s="211"/>
      <c r="C13" s="211"/>
      <c r="D13" s="200"/>
      <c r="E13" s="200"/>
      <c r="F13" s="180"/>
      <c r="G13" s="180"/>
      <c r="H13" s="201"/>
      <c r="I13" s="180"/>
      <c r="J13" s="180"/>
      <c r="K13" s="200"/>
      <c r="L13" s="200"/>
      <c r="M13" s="412"/>
    </row>
    <row r="14" spans="1:13" ht="29.1" customHeight="1">
      <c r="A14" s="678"/>
      <c r="B14" s="211"/>
      <c r="C14" s="211"/>
      <c r="D14" s="200"/>
      <c r="E14" s="200"/>
      <c r="F14" s="180"/>
      <c r="G14" s="180"/>
      <c r="H14" s="201"/>
      <c r="I14" s="180"/>
      <c r="J14" s="180"/>
      <c r="K14" s="200"/>
      <c r="L14" s="180"/>
      <c r="M14" s="412"/>
    </row>
    <row r="15" spans="1:13" ht="29.1" customHeight="1">
      <c r="A15" s="678"/>
      <c r="B15" s="211"/>
      <c r="C15" s="211"/>
      <c r="D15" s="200"/>
      <c r="E15" s="482"/>
      <c r="F15" s="180"/>
      <c r="G15" s="180"/>
      <c r="H15" s="180"/>
      <c r="I15" s="180"/>
      <c r="J15" s="180"/>
      <c r="K15" s="200"/>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18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4" zoomScaleSheetLayoutView="100" workbookViewId="0">
      <selection activeCell="A10" sqref="A10"/>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c r="C1" s="377" t="s">
        <v>3617</v>
      </c>
      <c r="D1" s="674" t="s">
        <v>3367</v>
      </c>
      <c r="E1" s="413"/>
      <c r="F1" s="675" t="s">
        <v>3618</v>
      </c>
      <c r="G1" s="2113"/>
      <c r="H1" s="2113"/>
      <c r="I1" s="134" t="s">
        <v>744</v>
      </c>
      <c r="J1" s="2080" t="s">
        <v>3619</v>
      </c>
      <c r="K1" s="2080"/>
      <c r="L1" s="2080"/>
      <c r="M1" s="680"/>
    </row>
    <row r="2" spans="1:13" ht="50.1" customHeight="1">
      <c r="A2" s="133" t="s">
        <v>240</v>
      </c>
      <c r="B2" s="1682" t="s">
        <v>2025</v>
      </c>
      <c r="C2" s="1682"/>
      <c r="D2" s="134" t="s">
        <v>242</v>
      </c>
      <c r="E2" s="1689"/>
      <c r="F2" s="1689"/>
      <c r="G2" s="1689"/>
      <c r="H2" s="1689"/>
      <c r="I2" s="166" t="s">
        <v>243</v>
      </c>
      <c r="J2" s="1707"/>
      <c r="K2" s="1708"/>
      <c r="L2" s="166" t="s">
        <v>245</v>
      </c>
      <c r="M2" s="167" t="s">
        <v>536</v>
      </c>
    </row>
    <row r="3" spans="1:13" ht="50.1" customHeight="1">
      <c r="A3" s="133" t="s">
        <v>247</v>
      </c>
      <c r="B3" s="1682" t="s">
        <v>3620</v>
      </c>
      <c r="C3" s="1682"/>
      <c r="D3" s="134" t="s">
        <v>249</v>
      </c>
      <c r="E3" s="136" t="s">
        <v>3621</v>
      </c>
      <c r="F3" s="134" t="s">
        <v>251</v>
      </c>
      <c r="G3" s="134"/>
      <c r="H3" s="134" t="s">
        <v>252</v>
      </c>
      <c r="I3" s="134"/>
      <c r="J3" s="15" t="s">
        <v>565</v>
      </c>
      <c r="K3" s="15"/>
      <c r="L3" s="15" t="s">
        <v>255</v>
      </c>
      <c r="M3" s="207"/>
    </row>
    <row r="4" spans="1:13" ht="78" customHeight="1">
      <c r="A4" s="133" t="s">
        <v>260</v>
      </c>
      <c r="B4" s="2045" t="s">
        <v>3622</v>
      </c>
      <c r="C4" s="2046"/>
      <c r="D4" s="2046"/>
      <c r="E4" s="1690" t="s">
        <v>1330</v>
      </c>
      <c r="F4" s="1690"/>
      <c r="G4" s="2045"/>
      <c r="H4" s="2046"/>
      <c r="I4" s="2097"/>
      <c r="J4" s="1697"/>
      <c r="K4" s="1697"/>
      <c r="L4" s="1697"/>
      <c r="M4" s="1846"/>
    </row>
    <row r="5" spans="1:13" ht="42" customHeight="1">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42856</v>
      </c>
      <c r="B6" s="200">
        <v>78</v>
      </c>
      <c r="C6" s="200">
        <f>B6*280</f>
        <v>21840</v>
      </c>
      <c r="D6" s="200">
        <f>B6</f>
        <v>78</v>
      </c>
      <c r="E6" s="200">
        <f>C6</f>
        <v>21840</v>
      </c>
      <c r="F6" s="200"/>
      <c r="G6" s="180">
        <f>E6</f>
        <v>21840</v>
      </c>
      <c r="H6" s="201"/>
      <c r="I6" s="200"/>
      <c r="J6" s="200"/>
      <c r="K6" s="200"/>
      <c r="L6" s="200">
        <f>E6-J6</f>
        <v>21840</v>
      </c>
      <c r="M6" s="681"/>
    </row>
    <row r="7" spans="1:13" ht="29.1" customHeight="1">
      <c r="A7" s="676">
        <v>42887</v>
      </c>
      <c r="B7" s="200">
        <v>187</v>
      </c>
      <c r="C7" s="200">
        <f>B7*280</f>
        <v>52360</v>
      </c>
      <c r="D7" s="200">
        <f t="shared" ref="D7:E9" si="0">B7+D6</f>
        <v>265</v>
      </c>
      <c r="E7" s="200">
        <f t="shared" si="0"/>
        <v>74200</v>
      </c>
      <c r="F7" s="200"/>
      <c r="G7" s="180">
        <f>C7+E6*0.2</f>
        <v>56728</v>
      </c>
      <c r="H7" s="201"/>
      <c r="I7" s="200"/>
      <c r="J7" s="200"/>
      <c r="K7" s="200">
        <f>K6-H7-I7</f>
        <v>0</v>
      </c>
      <c r="L7" s="200">
        <f>E7-J7</f>
        <v>74200</v>
      </c>
      <c r="M7" s="681"/>
    </row>
    <row r="8" spans="1:13" ht="29.1" customHeight="1">
      <c r="A8" s="676">
        <v>42917</v>
      </c>
      <c r="B8" s="200">
        <v>490.5</v>
      </c>
      <c r="C8" s="200">
        <f>B8*280</f>
        <v>137340</v>
      </c>
      <c r="D8" s="200">
        <f t="shared" si="0"/>
        <v>755.5</v>
      </c>
      <c r="E8" s="200">
        <f t="shared" si="0"/>
        <v>211540</v>
      </c>
      <c r="F8" s="180"/>
      <c r="G8" s="180">
        <f>C8+E7*0.2</f>
        <v>152180</v>
      </c>
      <c r="H8" s="201">
        <f>C6*0.8</f>
        <v>17472</v>
      </c>
      <c r="I8" s="180"/>
      <c r="J8" s="180"/>
      <c r="K8" s="200">
        <f>K7+H8-I8</f>
        <v>17472</v>
      </c>
      <c r="L8" s="200">
        <f>E8-J8</f>
        <v>211540</v>
      </c>
      <c r="M8" s="682"/>
    </row>
    <row r="9" spans="1:13" ht="29.1" customHeight="1">
      <c r="A9" s="676">
        <v>42948</v>
      </c>
      <c r="B9" s="200">
        <v>1082.5</v>
      </c>
      <c r="C9" s="200">
        <v>319117.5</v>
      </c>
      <c r="D9" s="200">
        <f t="shared" si="0"/>
        <v>1838</v>
      </c>
      <c r="E9" s="200">
        <f t="shared" si="0"/>
        <v>530657.5</v>
      </c>
      <c r="F9" s="180"/>
      <c r="G9" s="180">
        <f>C9+E8*0.2</f>
        <v>361425.5</v>
      </c>
      <c r="H9" s="201">
        <f>C7*0.8</f>
        <v>41888</v>
      </c>
      <c r="I9" s="180"/>
      <c r="J9" s="180"/>
      <c r="K9" s="200">
        <f>K8+H9-I9</f>
        <v>59360</v>
      </c>
      <c r="L9" s="200">
        <f>E9-J9</f>
        <v>530657.5</v>
      </c>
      <c r="M9" s="682"/>
    </row>
    <row r="10" spans="1:13" ht="29.1" customHeight="1">
      <c r="A10" s="677"/>
      <c r="B10" s="211"/>
      <c r="C10" s="211"/>
      <c r="D10" s="200"/>
      <c r="E10" s="200"/>
      <c r="F10" s="180"/>
      <c r="G10" s="180"/>
      <c r="H10" s="201">
        <f>C8*0.8</f>
        <v>109872</v>
      </c>
      <c r="I10" s="180"/>
      <c r="J10" s="180"/>
      <c r="K10" s="200">
        <f>K9+H10-I10</f>
        <v>169232</v>
      </c>
      <c r="L10" s="200"/>
      <c r="M10" s="412"/>
    </row>
    <row r="11" spans="1:13" ht="29.1" customHeight="1">
      <c r="A11" s="678"/>
      <c r="B11" s="211"/>
      <c r="C11" s="211"/>
      <c r="D11" s="200"/>
      <c r="E11" s="200"/>
      <c r="F11" s="180"/>
      <c r="G11" s="180"/>
      <c r="H11" s="201"/>
      <c r="I11" s="180"/>
      <c r="J11" s="180"/>
      <c r="K11" s="200"/>
      <c r="L11" s="200"/>
      <c r="M11" s="412"/>
    </row>
    <row r="12" spans="1:13" ht="29.1" customHeight="1">
      <c r="A12" s="678"/>
      <c r="B12" s="211"/>
      <c r="C12" s="211"/>
      <c r="D12" s="200"/>
      <c r="E12" s="200"/>
      <c r="F12" s="180"/>
      <c r="G12" s="180"/>
      <c r="H12" s="201"/>
      <c r="I12" s="180"/>
      <c r="J12" s="180"/>
      <c r="K12" s="200"/>
      <c r="L12" s="200"/>
      <c r="M12" s="412"/>
    </row>
    <row r="13" spans="1:13" ht="29.1" customHeight="1">
      <c r="A13" s="678"/>
      <c r="B13" s="211"/>
      <c r="C13" s="211"/>
      <c r="D13" s="200"/>
      <c r="E13" s="200"/>
      <c r="F13" s="180"/>
      <c r="G13" s="180"/>
      <c r="H13" s="201"/>
      <c r="I13" s="180"/>
      <c r="J13" s="180"/>
      <c r="K13" s="200"/>
      <c r="L13" s="200"/>
      <c r="M13" s="412"/>
    </row>
    <row r="14" spans="1:13" ht="29.1" customHeight="1">
      <c r="A14" s="678"/>
      <c r="B14" s="211"/>
      <c r="C14" s="211"/>
      <c r="D14" s="200"/>
      <c r="E14" s="200"/>
      <c r="F14" s="180"/>
      <c r="G14" s="180"/>
      <c r="H14" s="201"/>
      <c r="I14" s="180"/>
      <c r="J14" s="180"/>
      <c r="K14" s="200"/>
      <c r="L14" s="180"/>
      <c r="M14" s="412"/>
    </row>
    <row r="15" spans="1:13" ht="29.1" customHeight="1">
      <c r="A15" s="678"/>
      <c r="B15" s="211"/>
      <c r="C15" s="211"/>
      <c r="D15" s="200"/>
      <c r="E15" s="482"/>
      <c r="F15" s="180"/>
      <c r="G15" s="180"/>
      <c r="H15" s="180"/>
      <c r="I15" s="180"/>
      <c r="J15" s="180"/>
      <c r="K15" s="200"/>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18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7" zoomScaleSheetLayoutView="100" workbookViewId="0">
      <selection activeCell="A9" sqref="A9"/>
    </sheetView>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c r="C1" s="377" t="s">
        <v>1388</v>
      </c>
      <c r="D1" s="674" t="s">
        <v>3367</v>
      </c>
      <c r="E1" s="413"/>
      <c r="F1" s="675" t="s">
        <v>3623</v>
      </c>
      <c r="G1" s="2113"/>
      <c r="H1" s="2113"/>
      <c r="I1" s="134" t="s">
        <v>744</v>
      </c>
      <c r="J1" s="2080" t="s">
        <v>3624</v>
      </c>
      <c r="K1" s="2080"/>
      <c r="L1" s="2080"/>
      <c r="M1" s="680"/>
    </row>
    <row r="2" spans="1:13" ht="41.1" customHeight="1">
      <c r="A2" s="133" t="s">
        <v>240</v>
      </c>
      <c r="B2" s="1682" t="s">
        <v>3625</v>
      </c>
      <c r="C2" s="1682"/>
      <c r="D2" s="134" t="s">
        <v>242</v>
      </c>
      <c r="E2" s="1689"/>
      <c r="F2" s="1689"/>
      <c r="G2" s="1689"/>
      <c r="H2" s="1689"/>
      <c r="I2" s="166" t="s">
        <v>243</v>
      </c>
      <c r="J2" s="1707"/>
      <c r="K2" s="1708"/>
      <c r="L2" s="166" t="s">
        <v>245</v>
      </c>
      <c r="M2" s="167"/>
    </row>
    <row r="3" spans="1:13" ht="39" customHeight="1">
      <c r="A3" s="133" t="s">
        <v>247</v>
      </c>
      <c r="B3" s="1682" t="s">
        <v>3626</v>
      </c>
      <c r="C3" s="1682"/>
      <c r="D3" s="134" t="s">
        <v>249</v>
      </c>
      <c r="E3" s="136"/>
      <c r="F3" s="134" t="s">
        <v>251</v>
      </c>
      <c r="G3" s="134"/>
      <c r="H3" s="134" t="s">
        <v>252</v>
      </c>
      <c r="I3" s="134"/>
      <c r="J3" s="15" t="s">
        <v>565</v>
      </c>
      <c r="K3" s="15"/>
      <c r="L3" s="15" t="s">
        <v>255</v>
      </c>
      <c r="M3" s="207"/>
    </row>
    <row r="4" spans="1:13" ht="71.099999999999994" customHeight="1">
      <c r="A4" s="133" t="s">
        <v>260</v>
      </c>
      <c r="B4" s="2045" t="s">
        <v>3627</v>
      </c>
      <c r="C4" s="2046"/>
      <c r="D4" s="2046"/>
      <c r="E4" s="1690"/>
      <c r="F4" s="1690"/>
      <c r="G4" s="2045"/>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42887</v>
      </c>
      <c r="B6" s="200">
        <f>1493.5+19</f>
        <v>1512.5</v>
      </c>
      <c r="C6" s="200">
        <f>B6*280</f>
        <v>423500</v>
      </c>
      <c r="D6" s="200">
        <f>B6</f>
        <v>1512.5</v>
      </c>
      <c r="E6" s="200">
        <f>C6</f>
        <v>423500</v>
      </c>
      <c r="F6" s="200"/>
      <c r="G6" s="180">
        <f>C6</f>
        <v>423500</v>
      </c>
      <c r="H6" s="201"/>
      <c r="I6" s="200"/>
      <c r="J6" s="200"/>
      <c r="K6" s="200"/>
      <c r="L6" s="200">
        <f>E6-J6</f>
        <v>423500</v>
      </c>
      <c r="M6" s="681"/>
    </row>
    <row r="7" spans="1:13" ht="29.1" customHeight="1">
      <c r="A7" s="676">
        <v>42917</v>
      </c>
      <c r="B7" s="200">
        <f>5206+2</f>
        <v>5208</v>
      </c>
      <c r="C7" s="200">
        <f>B7*280</f>
        <v>1458240</v>
      </c>
      <c r="D7" s="200">
        <f>D6+B7</f>
        <v>6720.5</v>
      </c>
      <c r="E7" s="200">
        <f>E6+C7</f>
        <v>1881740</v>
      </c>
      <c r="F7" s="200"/>
      <c r="G7" s="180">
        <f>C7+E6*0.05</f>
        <v>1479415</v>
      </c>
      <c r="H7" s="201"/>
      <c r="I7" s="200"/>
      <c r="J7" s="200"/>
      <c r="K7" s="200">
        <f>K6+H7-I7</f>
        <v>0</v>
      </c>
      <c r="L7" s="200">
        <f>E7-J7</f>
        <v>1881740</v>
      </c>
      <c r="M7" s="681"/>
    </row>
    <row r="8" spans="1:13" ht="29.1" customHeight="1">
      <c r="A8" s="676">
        <v>42948</v>
      </c>
      <c r="B8" s="200">
        <v>5564</v>
      </c>
      <c r="C8" s="200">
        <v>1773807.5</v>
      </c>
      <c r="D8" s="200">
        <f>D7+B8</f>
        <v>12284.5</v>
      </c>
      <c r="E8" s="200">
        <f>E7+C8</f>
        <v>3655547.5</v>
      </c>
      <c r="F8" s="180"/>
      <c r="G8" s="180">
        <f>C8+E7*0.05</f>
        <v>1867894.5</v>
      </c>
      <c r="H8" s="201">
        <f>C6*0.95</f>
        <v>402325</v>
      </c>
      <c r="I8" s="180"/>
      <c r="J8" s="180">
        <f>I8</f>
        <v>0</v>
      </c>
      <c r="K8" s="200">
        <f>K7+H8-I8</f>
        <v>402325</v>
      </c>
      <c r="L8" s="200">
        <f>E8-J8</f>
        <v>3655547.5</v>
      </c>
      <c r="M8" s="682"/>
    </row>
    <row r="9" spans="1:13" ht="29.1" customHeight="1">
      <c r="A9" s="676"/>
      <c r="B9" s="200"/>
      <c r="C9" s="200"/>
      <c r="D9" s="200"/>
      <c r="E9" s="200"/>
      <c r="F9" s="180"/>
      <c r="G9" s="180"/>
      <c r="H9" s="201">
        <f>C7*0.95</f>
        <v>1385328</v>
      </c>
      <c r="I9" s="180"/>
      <c r="J9" s="180">
        <f>I9+J8</f>
        <v>0</v>
      </c>
      <c r="K9" s="200">
        <f>K8+H9-I9</f>
        <v>1787653</v>
      </c>
      <c r="L9" s="200"/>
      <c r="M9" s="682"/>
    </row>
    <row r="10" spans="1:13" ht="29.1" customHeight="1">
      <c r="A10" s="677"/>
      <c r="B10" s="211"/>
      <c r="C10" s="211"/>
      <c r="D10" s="200"/>
      <c r="E10" s="200"/>
      <c r="F10" s="180"/>
      <c r="G10" s="180"/>
      <c r="H10" s="201"/>
      <c r="I10" s="180"/>
      <c r="J10" s="180"/>
      <c r="K10" s="200"/>
      <c r="L10" s="200"/>
      <c r="M10" s="412"/>
    </row>
    <row r="11" spans="1:13" ht="29.1" customHeight="1">
      <c r="A11" s="678"/>
      <c r="B11" s="211"/>
      <c r="C11" s="211"/>
      <c r="D11" s="200"/>
      <c r="E11" s="200"/>
      <c r="F11" s="180"/>
      <c r="G11" s="180"/>
      <c r="H11" s="201"/>
      <c r="I11" s="180"/>
      <c r="J11" s="180"/>
      <c r="K11" s="200"/>
      <c r="L11" s="200"/>
      <c r="M11" s="412"/>
    </row>
    <row r="12" spans="1:13" ht="29.1" customHeight="1">
      <c r="A12" s="678"/>
      <c r="B12" s="211"/>
      <c r="C12" s="211"/>
      <c r="D12" s="200"/>
      <c r="E12" s="200"/>
      <c r="F12" s="180"/>
      <c r="G12" s="180"/>
      <c r="H12" s="201"/>
      <c r="I12" s="180"/>
      <c r="J12" s="180"/>
      <c r="K12" s="200"/>
      <c r="L12" s="200"/>
      <c r="M12" s="412"/>
    </row>
    <row r="13" spans="1:13" ht="29.1" customHeight="1">
      <c r="A13" s="678"/>
      <c r="B13" s="211"/>
      <c r="C13" s="211"/>
      <c r="D13" s="200"/>
      <c r="E13" s="200"/>
      <c r="F13" s="180"/>
      <c r="G13" s="180"/>
      <c r="H13" s="201"/>
      <c r="I13" s="180"/>
      <c r="J13" s="180"/>
      <c r="K13" s="200"/>
      <c r="L13" s="200"/>
      <c r="M13" s="412"/>
    </row>
    <row r="14" spans="1:13" ht="29.1" customHeight="1">
      <c r="A14" s="678"/>
      <c r="B14" s="211"/>
      <c r="C14" s="211"/>
      <c r="D14" s="200"/>
      <c r="E14" s="200"/>
      <c r="F14" s="180"/>
      <c r="G14" s="180"/>
      <c r="H14" s="201"/>
      <c r="I14" s="180"/>
      <c r="J14" s="180"/>
      <c r="K14" s="200"/>
      <c r="L14" s="180"/>
      <c r="M14" s="412"/>
    </row>
    <row r="15" spans="1:13" ht="29.1" customHeight="1">
      <c r="A15" s="678"/>
      <c r="B15" s="211"/>
      <c r="C15" s="211"/>
      <c r="D15" s="200"/>
      <c r="E15" s="482"/>
      <c r="F15" s="180"/>
      <c r="G15" s="180"/>
      <c r="H15" s="180"/>
      <c r="I15" s="180"/>
      <c r="J15" s="180"/>
      <c r="K15" s="200"/>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18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4" zoomScaleSheetLayoutView="100" workbookViewId="0"/>
  </sheetViews>
  <sheetFormatPr defaultColWidth="9" defaultRowHeight="14.25"/>
  <cols>
    <col min="1" max="1" width="14.75" customWidth="1"/>
    <col min="2" max="2" width="12.875" customWidth="1"/>
    <col min="3" max="3" width="20.375" customWidth="1"/>
    <col min="4" max="4" width="16.75" customWidth="1"/>
    <col min="5" max="5" width="18.25" customWidth="1"/>
    <col min="6" max="6" width="22.25" customWidth="1"/>
    <col min="7" max="7" width="14.125" bestFit="1" customWidth="1"/>
    <col min="8" max="8" width="16.625" customWidth="1"/>
    <col min="9" max="10" width="13.625" customWidth="1"/>
    <col min="11" max="11" width="17.375" customWidth="1"/>
    <col min="12" max="12" width="15" customWidth="1"/>
    <col min="13" max="13" width="38.125" customWidth="1"/>
  </cols>
  <sheetData>
    <row r="1" spans="1:13" ht="110.1" customHeight="1">
      <c r="A1" s="349" t="s">
        <v>556</v>
      </c>
      <c r="B1" s="350"/>
      <c r="C1" s="377" t="s">
        <v>1388</v>
      </c>
      <c r="D1" s="674" t="s">
        <v>3367</v>
      </c>
      <c r="E1" s="413"/>
      <c r="F1" s="675"/>
      <c r="G1" s="2113"/>
      <c r="H1" s="2113"/>
      <c r="I1" s="134" t="s">
        <v>744</v>
      </c>
      <c r="J1" s="2080"/>
      <c r="K1" s="2080"/>
      <c r="L1" s="2080"/>
      <c r="M1" s="680"/>
    </row>
    <row r="2" spans="1:13" ht="41.1" customHeight="1">
      <c r="A2" s="133" t="s">
        <v>240</v>
      </c>
      <c r="B2" s="1682" t="s">
        <v>3628</v>
      </c>
      <c r="C2" s="1682"/>
      <c r="D2" s="134" t="s">
        <v>242</v>
      </c>
      <c r="E2" s="1689"/>
      <c r="F2" s="1689"/>
      <c r="G2" s="1689"/>
      <c r="H2" s="1689"/>
      <c r="I2" s="166" t="s">
        <v>243</v>
      </c>
      <c r="J2" s="1707"/>
      <c r="K2" s="1708"/>
      <c r="L2" s="166" t="s">
        <v>245</v>
      </c>
      <c r="M2" s="167"/>
    </row>
    <row r="3" spans="1:13" ht="39" customHeight="1">
      <c r="A3" s="133" t="s">
        <v>247</v>
      </c>
      <c r="B3" s="1682" t="s">
        <v>3629</v>
      </c>
      <c r="C3" s="1682"/>
      <c r="D3" s="134" t="s">
        <v>249</v>
      </c>
      <c r="E3" s="136"/>
      <c r="F3" s="134" t="s">
        <v>251</v>
      </c>
      <c r="G3" s="134"/>
      <c r="H3" s="134" t="s">
        <v>252</v>
      </c>
      <c r="I3" s="134"/>
      <c r="J3" s="15" t="s">
        <v>565</v>
      </c>
      <c r="K3" s="15"/>
      <c r="L3" s="15" t="s">
        <v>255</v>
      </c>
      <c r="M3" s="207"/>
    </row>
    <row r="4" spans="1:13" ht="57.95" customHeight="1">
      <c r="A4" s="133" t="s">
        <v>260</v>
      </c>
      <c r="B4" s="2045"/>
      <c r="C4" s="2046"/>
      <c r="D4" s="2046"/>
      <c r="E4" s="1690"/>
      <c r="F4" s="1690"/>
      <c r="G4" s="2045"/>
      <c r="H4" s="2046"/>
      <c r="I4" s="2097"/>
      <c r="J4" s="1697"/>
      <c r="K4" s="1697"/>
      <c r="L4" s="1697"/>
      <c r="M4" s="1846"/>
    </row>
    <row r="5" spans="1:13" ht="28.5">
      <c r="A5" s="357" t="s">
        <v>266</v>
      </c>
      <c r="B5" s="20" t="s">
        <v>1150</v>
      </c>
      <c r="C5" s="20" t="s">
        <v>268</v>
      </c>
      <c r="D5" s="20" t="s">
        <v>269</v>
      </c>
      <c r="E5" s="20" t="s">
        <v>270</v>
      </c>
      <c r="F5" s="20" t="s">
        <v>271</v>
      </c>
      <c r="G5" s="21" t="s">
        <v>272</v>
      </c>
      <c r="H5" s="22" t="s">
        <v>273</v>
      </c>
      <c r="I5" s="20" t="s">
        <v>274</v>
      </c>
      <c r="J5" s="70" t="s">
        <v>275</v>
      </c>
      <c r="K5" s="70" t="s">
        <v>276</v>
      </c>
      <c r="L5" s="20" t="s">
        <v>277</v>
      </c>
      <c r="M5" s="71" t="s">
        <v>278</v>
      </c>
    </row>
    <row r="6" spans="1:13" ht="29.1" customHeight="1">
      <c r="A6" s="676">
        <v>42917</v>
      </c>
      <c r="B6" s="200">
        <v>200</v>
      </c>
      <c r="C6" s="200">
        <v>61915</v>
      </c>
      <c r="D6" s="200">
        <f>B6</f>
        <v>200</v>
      </c>
      <c r="E6" s="200">
        <f>C6</f>
        <v>61915</v>
      </c>
      <c r="F6" s="200"/>
      <c r="G6" s="180">
        <f>E6</f>
        <v>61915</v>
      </c>
      <c r="H6" s="201"/>
      <c r="I6" s="200"/>
      <c r="J6" s="200"/>
      <c r="K6" s="200"/>
      <c r="L6" s="200">
        <f>E6-J6</f>
        <v>61915</v>
      </c>
      <c r="M6" s="681"/>
    </row>
    <row r="7" spans="1:13" ht="29.1" customHeight="1">
      <c r="A7" s="676">
        <v>42948</v>
      </c>
      <c r="B7" s="200">
        <v>448.5</v>
      </c>
      <c r="C7" s="200">
        <v>136622.5</v>
      </c>
      <c r="D7" s="200">
        <f>D6+B7</f>
        <v>648.5</v>
      </c>
      <c r="E7" s="200">
        <f>E6+C7</f>
        <v>198537.5</v>
      </c>
      <c r="F7" s="200"/>
      <c r="G7" s="180">
        <f>E7</f>
        <v>198537.5</v>
      </c>
      <c r="H7" s="201"/>
      <c r="I7" s="200"/>
      <c r="J7" s="200"/>
      <c r="K7" s="200">
        <f>K6+H7-I7</f>
        <v>0</v>
      </c>
      <c r="L7" s="200">
        <f>E7-J7</f>
        <v>198537.5</v>
      </c>
      <c r="M7" s="681"/>
    </row>
    <row r="8" spans="1:13" ht="29.1" customHeight="1">
      <c r="A8" s="676"/>
      <c r="B8" s="200"/>
      <c r="C8" s="200"/>
      <c r="D8" s="200"/>
      <c r="E8" s="200"/>
      <c r="F8" s="180"/>
      <c r="G8" s="180"/>
      <c r="H8" s="201"/>
      <c r="I8" s="180"/>
      <c r="J8" s="180">
        <f>I8</f>
        <v>0</v>
      </c>
      <c r="K8" s="200">
        <f>K7+H8-I8</f>
        <v>0</v>
      </c>
      <c r="L8" s="200">
        <f>E8-J8</f>
        <v>0</v>
      </c>
      <c r="M8" s="682"/>
    </row>
    <row r="9" spans="1:13" ht="29.1" customHeight="1">
      <c r="A9" s="676"/>
      <c r="B9" s="200"/>
      <c r="C9" s="200"/>
      <c r="D9" s="200"/>
      <c r="E9" s="200"/>
      <c r="F9" s="180"/>
      <c r="G9" s="180"/>
      <c r="H9" s="201"/>
      <c r="I9" s="180"/>
      <c r="J9" s="180">
        <f>I9+J8</f>
        <v>0</v>
      </c>
      <c r="K9" s="200">
        <f>K8+H9-I9</f>
        <v>0</v>
      </c>
      <c r="L9" s="200">
        <f>E9-J9</f>
        <v>0</v>
      </c>
      <c r="M9" s="682"/>
    </row>
    <row r="10" spans="1:13" ht="29.1" customHeight="1">
      <c r="A10" s="677"/>
      <c r="B10" s="211"/>
      <c r="C10" s="211"/>
      <c r="D10" s="200"/>
      <c r="E10" s="200"/>
      <c r="F10" s="180"/>
      <c r="G10" s="180"/>
      <c r="H10" s="201"/>
      <c r="I10" s="180"/>
      <c r="J10" s="180"/>
      <c r="K10" s="200"/>
      <c r="L10" s="200"/>
      <c r="M10" s="412"/>
    </row>
    <row r="11" spans="1:13" ht="29.1" customHeight="1">
      <c r="A11" s="678"/>
      <c r="B11" s="211"/>
      <c r="C11" s="211"/>
      <c r="D11" s="200"/>
      <c r="E11" s="200"/>
      <c r="F11" s="180"/>
      <c r="G11" s="180"/>
      <c r="H11" s="201"/>
      <c r="I11" s="180"/>
      <c r="J11" s="180"/>
      <c r="K11" s="200"/>
      <c r="L11" s="200"/>
      <c r="M11" s="412"/>
    </row>
    <row r="12" spans="1:13" ht="29.1" customHeight="1">
      <c r="A12" s="678"/>
      <c r="B12" s="211"/>
      <c r="C12" s="211"/>
      <c r="D12" s="200"/>
      <c r="E12" s="200"/>
      <c r="F12" s="180"/>
      <c r="G12" s="180"/>
      <c r="H12" s="201"/>
      <c r="I12" s="180"/>
      <c r="J12" s="180"/>
      <c r="K12" s="200"/>
      <c r="L12" s="200"/>
      <c r="M12" s="412"/>
    </row>
    <row r="13" spans="1:13" ht="29.1" customHeight="1">
      <c r="A13" s="678"/>
      <c r="B13" s="211"/>
      <c r="C13" s="211"/>
      <c r="D13" s="200"/>
      <c r="E13" s="200"/>
      <c r="F13" s="180"/>
      <c r="G13" s="180"/>
      <c r="H13" s="201"/>
      <c r="I13" s="180"/>
      <c r="J13" s="180"/>
      <c r="K13" s="200"/>
      <c r="L13" s="200"/>
      <c r="M13" s="412"/>
    </row>
    <row r="14" spans="1:13" ht="29.1" customHeight="1">
      <c r="A14" s="678"/>
      <c r="B14" s="211"/>
      <c r="C14" s="211"/>
      <c r="D14" s="200"/>
      <c r="E14" s="200"/>
      <c r="F14" s="180"/>
      <c r="G14" s="180"/>
      <c r="H14" s="201"/>
      <c r="I14" s="180"/>
      <c r="J14" s="180"/>
      <c r="K14" s="200"/>
      <c r="L14" s="180"/>
      <c r="M14" s="412"/>
    </row>
    <row r="15" spans="1:13" ht="29.1" customHeight="1">
      <c r="A15" s="678"/>
      <c r="B15" s="211"/>
      <c r="C15" s="211"/>
      <c r="D15" s="200"/>
      <c r="E15" s="482"/>
      <c r="F15" s="180"/>
      <c r="G15" s="180"/>
      <c r="H15" s="180"/>
      <c r="I15" s="180"/>
      <c r="J15" s="180"/>
      <c r="K15" s="200"/>
      <c r="L15" s="180"/>
      <c r="M15" s="412"/>
    </row>
    <row r="16" spans="1:13" ht="29.1" customHeight="1">
      <c r="A16" s="678"/>
      <c r="B16" s="211"/>
      <c r="C16" s="211"/>
      <c r="D16" s="200"/>
      <c r="E16" s="482"/>
      <c r="F16" s="180"/>
      <c r="G16" s="180"/>
      <c r="H16" s="180"/>
      <c r="I16" s="180"/>
      <c r="J16" s="180"/>
      <c r="K16" s="200"/>
      <c r="L16" s="180"/>
      <c r="M16" s="412"/>
    </row>
    <row r="17" spans="1:13" ht="29.1" customHeight="1">
      <c r="A17" s="678"/>
      <c r="B17" s="211"/>
      <c r="C17" s="211"/>
      <c r="D17" s="200"/>
      <c r="E17" s="482"/>
      <c r="F17" s="180"/>
      <c r="G17" s="180"/>
      <c r="H17" s="180"/>
      <c r="I17" s="180"/>
      <c r="J17" s="180"/>
      <c r="K17" s="180"/>
      <c r="L17" s="180"/>
      <c r="M17" s="412"/>
    </row>
    <row r="18" spans="1:13" ht="29.1" customHeight="1">
      <c r="A18" s="678"/>
      <c r="B18" s="211"/>
      <c r="C18" s="211"/>
      <c r="D18" s="200"/>
      <c r="E18" s="482"/>
      <c r="F18" s="180"/>
      <c r="G18" s="180"/>
      <c r="H18" s="180"/>
      <c r="I18" s="180"/>
      <c r="J18" s="180"/>
      <c r="K18" s="180"/>
      <c r="L18" s="180"/>
      <c r="M18" s="412"/>
    </row>
    <row r="19" spans="1:13" ht="29.1" customHeight="1">
      <c r="A19" s="678"/>
      <c r="B19" s="211"/>
      <c r="C19" s="211"/>
      <c r="D19" s="200"/>
      <c r="E19" s="482"/>
      <c r="F19" s="180"/>
      <c r="G19" s="180"/>
      <c r="H19" s="180"/>
      <c r="I19" s="180"/>
      <c r="J19" s="180"/>
      <c r="K19" s="180"/>
      <c r="L19" s="180"/>
      <c r="M19" s="412"/>
    </row>
    <row r="20" spans="1:13" ht="29.1" customHeight="1">
      <c r="A20" s="216"/>
      <c r="B20" s="216"/>
      <c r="C20" s="216"/>
      <c r="D20" s="180"/>
      <c r="E20" s="679"/>
      <c r="F20" s="180"/>
      <c r="G20" s="180"/>
      <c r="H20" s="180"/>
      <c r="I20" s="180"/>
      <c r="J20" s="180"/>
      <c r="K20" s="180"/>
      <c r="L20" s="180"/>
      <c r="M20" s="412"/>
    </row>
  </sheetData>
  <mergeCells count="10">
    <mergeCell ref="B4:D4"/>
    <mergeCell ref="E4:F4"/>
    <mergeCell ref="G4:I4"/>
    <mergeCell ref="J4:M4"/>
    <mergeCell ref="G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5"/>
  <sheetViews>
    <sheetView topLeftCell="A49" zoomScaleSheetLayoutView="100" workbookViewId="0">
      <selection activeCell="F55" sqref="F55"/>
    </sheetView>
  </sheetViews>
  <sheetFormatPr defaultColWidth="9" defaultRowHeight="14.25"/>
  <cols>
    <col min="1" max="1" width="16.75" customWidth="1"/>
    <col min="2" max="2" width="14.875" customWidth="1"/>
    <col min="3" max="3" width="13.625" customWidth="1"/>
    <col min="4" max="4" width="13.75" customWidth="1"/>
    <col min="5" max="5" width="12.75" customWidth="1"/>
    <col min="6" max="6" width="11.5" customWidth="1"/>
    <col min="7" max="7" width="14.625" customWidth="1"/>
    <col min="8" max="8" width="13" customWidth="1"/>
    <col min="9" max="9" width="12.25" customWidth="1"/>
    <col min="10" max="10" width="12.75" customWidth="1"/>
    <col min="11" max="11" width="13.75" customWidth="1"/>
    <col min="12" max="12" width="14" customWidth="1"/>
    <col min="13" max="13" width="32.5" customWidth="1"/>
  </cols>
  <sheetData>
    <row r="1" spans="1:13" ht="42" customHeight="1">
      <c r="A1" s="2144" t="s">
        <v>3630</v>
      </c>
      <c r="B1" s="2145"/>
      <c r="C1" s="2148" t="s">
        <v>3631</v>
      </c>
      <c r="D1" s="2145"/>
      <c r="E1" s="2142" t="s">
        <v>236</v>
      </c>
      <c r="F1" s="2150" t="s">
        <v>3632</v>
      </c>
      <c r="G1" s="2151"/>
      <c r="H1" s="2152"/>
      <c r="I1" s="531" t="s">
        <v>3633</v>
      </c>
      <c r="J1" s="2000" t="s">
        <v>3634</v>
      </c>
      <c r="K1" s="1644"/>
      <c r="L1" s="1644"/>
      <c r="M1" s="619" t="s">
        <v>3635</v>
      </c>
    </row>
    <row r="2" spans="1:13" ht="42" customHeight="1">
      <c r="A2" s="2146"/>
      <c r="B2" s="2147"/>
      <c r="C2" s="2149"/>
      <c r="D2" s="2147"/>
      <c r="E2" s="2143"/>
      <c r="F2" s="2153"/>
      <c r="G2" s="2154"/>
      <c r="H2" s="2155"/>
      <c r="I2" s="531" t="s">
        <v>3636</v>
      </c>
      <c r="J2" s="1939" t="s">
        <v>3637</v>
      </c>
      <c r="K2" s="1940"/>
      <c r="L2" s="1940"/>
      <c r="M2" s="1941"/>
    </row>
    <row r="3" spans="1:13" ht="42" customHeight="1">
      <c r="A3" s="39" t="s">
        <v>240</v>
      </c>
      <c r="B3" s="1637" t="s">
        <v>3638</v>
      </c>
      <c r="C3" s="1637"/>
      <c r="D3" s="41" t="s">
        <v>242</v>
      </c>
      <c r="E3" s="1637" t="s">
        <v>3638</v>
      </c>
      <c r="F3" s="1637"/>
      <c r="G3" s="1637"/>
      <c r="H3" s="1637"/>
      <c r="I3" s="1637"/>
      <c r="J3" s="41" t="s">
        <v>243</v>
      </c>
      <c r="K3" s="59"/>
      <c r="L3" s="41" t="s">
        <v>245</v>
      </c>
      <c r="M3" s="461" t="s">
        <v>3639</v>
      </c>
    </row>
    <row r="4" spans="1:13" ht="42" customHeight="1">
      <c r="A4" s="39" t="s">
        <v>247</v>
      </c>
      <c r="B4" s="1637" t="s">
        <v>3640</v>
      </c>
      <c r="C4" s="1637"/>
      <c r="D4" s="41" t="s">
        <v>249</v>
      </c>
      <c r="E4" s="43" t="s">
        <v>651</v>
      </c>
      <c r="F4" s="41" t="s">
        <v>251</v>
      </c>
      <c r="G4" s="41"/>
      <c r="H4" s="41" t="s">
        <v>252</v>
      </c>
      <c r="I4" s="41"/>
      <c r="J4" s="41" t="s">
        <v>565</v>
      </c>
      <c r="K4" s="40"/>
      <c r="L4" s="41" t="s">
        <v>255</v>
      </c>
      <c r="M4" s="105" t="s">
        <v>3641</v>
      </c>
    </row>
    <row r="5" spans="1:13" ht="63" customHeight="1">
      <c r="A5" s="39" t="s">
        <v>260</v>
      </c>
      <c r="B5" s="2132" t="s">
        <v>3642</v>
      </c>
      <c r="C5" s="2132"/>
      <c r="D5" s="2132"/>
      <c r="E5" s="2132"/>
      <c r="F5" s="2132"/>
      <c r="G5" s="2132"/>
      <c r="H5" s="2132" t="s">
        <v>3643</v>
      </c>
      <c r="I5" s="2132"/>
      <c r="J5" s="2132"/>
      <c r="K5" s="2132"/>
      <c r="L5" s="191" t="s">
        <v>3644</v>
      </c>
      <c r="M5" s="93" t="s">
        <v>3645</v>
      </c>
    </row>
    <row r="6" spans="1:13" ht="69" customHeight="1">
      <c r="A6" s="39" t="s">
        <v>760</v>
      </c>
      <c r="B6" s="2133" t="s">
        <v>3646</v>
      </c>
      <c r="C6" s="2134"/>
      <c r="D6" s="2135"/>
      <c r="E6" s="2136"/>
      <c r="F6" s="2137"/>
      <c r="G6" s="2138"/>
      <c r="H6" s="2139"/>
      <c r="I6" s="2140"/>
      <c r="J6" s="2140"/>
      <c r="K6" s="2141"/>
      <c r="L6" s="191"/>
      <c r="M6" s="93"/>
    </row>
    <row r="7" spans="1:13" ht="42" customHeight="1">
      <c r="A7" s="39" t="s">
        <v>258</v>
      </c>
      <c r="B7" s="1765" t="s">
        <v>936</v>
      </c>
      <c r="C7" s="1765"/>
      <c r="D7" s="1765"/>
      <c r="E7" s="1765"/>
      <c r="F7" s="1765"/>
      <c r="G7" s="1765"/>
      <c r="H7" s="1786"/>
      <c r="I7" s="1786"/>
      <c r="J7" s="1786"/>
      <c r="K7" s="1786"/>
      <c r="L7" s="178"/>
      <c r="M7" s="643"/>
    </row>
    <row r="8" spans="1:13" ht="42" customHeight="1">
      <c r="A8" s="19" t="s">
        <v>266</v>
      </c>
      <c r="B8" s="20" t="s">
        <v>267</v>
      </c>
      <c r="C8" s="20" t="s">
        <v>268</v>
      </c>
      <c r="D8" s="20" t="s">
        <v>269</v>
      </c>
      <c r="E8" s="20" t="s">
        <v>270</v>
      </c>
      <c r="F8" s="20" t="s">
        <v>271</v>
      </c>
      <c r="G8" s="21" t="s">
        <v>272</v>
      </c>
      <c r="H8" s="22" t="s">
        <v>273</v>
      </c>
      <c r="I8" s="20" t="s">
        <v>274</v>
      </c>
      <c r="J8" s="70" t="s">
        <v>275</v>
      </c>
      <c r="K8" s="70" t="s">
        <v>276</v>
      </c>
      <c r="L8" s="20" t="s">
        <v>277</v>
      </c>
      <c r="M8" s="71" t="s">
        <v>278</v>
      </c>
    </row>
    <row r="9" spans="1:13" ht="33" customHeight="1">
      <c r="A9" s="452" t="s">
        <v>3647</v>
      </c>
      <c r="B9" s="47">
        <v>1709.5</v>
      </c>
      <c r="C9" s="47">
        <v>557269.5</v>
      </c>
      <c r="D9" s="447">
        <f>B9</f>
        <v>1709.5</v>
      </c>
      <c r="E9" s="447">
        <f>C9</f>
        <v>557269.5</v>
      </c>
      <c r="F9" s="140"/>
      <c r="G9" s="47">
        <f>C9</f>
        <v>557269.5</v>
      </c>
      <c r="H9" s="47"/>
      <c r="I9" s="47"/>
      <c r="J9" s="465"/>
      <c r="K9" s="47"/>
      <c r="L9" s="140">
        <f t="shared" ref="L9:L15" si="0">E9-J9</f>
        <v>557269.5</v>
      </c>
      <c r="M9" s="659"/>
    </row>
    <row r="10" spans="1:13" ht="33" customHeight="1">
      <c r="A10" s="452" t="s">
        <v>3648</v>
      </c>
      <c r="B10" s="47">
        <v>1321</v>
      </c>
      <c r="C10" s="47">
        <v>434306</v>
      </c>
      <c r="D10" s="447">
        <f t="shared" ref="D10:D15" si="1">D9+B10</f>
        <v>3030.5</v>
      </c>
      <c r="E10" s="447">
        <f t="shared" ref="E10:E15" si="2">E9+C10</f>
        <v>991575.5</v>
      </c>
      <c r="F10" s="140"/>
      <c r="G10" s="47">
        <f>E10*0.3</f>
        <v>297472.64999999997</v>
      </c>
      <c r="H10" s="47">
        <f t="shared" ref="H10:H15" si="3">C9*0.7</f>
        <v>390088.64999999997</v>
      </c>
      <c r="I10" s="47"/>
      <c r="J10" s="465"/>
      <c r="K10" s="47">
        <f>K9+H10-I10</f>
        <v>390088.64999999997</v>
      </c>
      <c r="L10" s="140">
        <f t="shared" si="0"/>
        <v>991575.5</v>
      </c>
      <c r="M10" s="659"/>
    </row>
    <row r="11" spans="1:13" ht="33" customHeight="1">
      <c r="A11" s="650" t="s">
        <v>3649</v>
      </c>
      <c r="B11" s="555">
        <v>867</v>
      </c>
      <c r="C11" s="555">
        <v>276805</v>
      </c>
      <c r="D11" s="454">
        <f t="shared" si="1"/>
        <v>3897.5</v>
      </c>
      <c r="E11" s="454">
        <f t="shared" si="2"/>
        <v>1268380.5</v>
      </c>
      <c r="F11" s="211"/>
      <c r="G11" s="181">
        <f>E11*0.3</f>
        <v>380514.14999999997</v>
      </c>
      <c r="H11" s="304">
        <f t="shared" si="3"/>
        <v>304014.19999999995</v>
      </c>
      <c r="I11" s="555">
        <v>390000</v>
      </c>
      <c r="J11" s="554">
        <f>J10+I11</f>
        <v>390000</v>
      </c>
      <c r="K11" s="181">
        <f>K10+H11-I11</f>
        <v>304102.84999999986</v>
      </c>
      <c r="L11" s="200">
        <f t="shared" si="0"/>
        <v>878380.5</v>
      </c>
      <c r="M11" s="661" t="s">
        <v>3650</v>
      </c>
    </row>
    <row r="12" spans="1:13" ht="33" customHeight="1">
      <c r="A12" s="455" t="s">
        <v>3651</v>
      </c>
      <c r="B12" s="181">
        <v>242.5</v>
      </c>
      <c r="C12" s="181">
        <v>76816.5</v>
      </c>
      <c r="D12" s="454">
        <f t="shared" si="1"/>
        <v>4140</v>
      </c>
      <c r="E12" s="454">
        <f t="shared" si="2"/>
        <v>1345197</v>
      </c>
      <c r="F12" s="200"/>
      <c r="G12" s="181">
        <f>E12*0.3</f>
        <v>403559.1</v>
      </c>
      <c r="H12" s="304">
        <f t="shared" si="3"/>
        <v>193763.5</v>
      </c>
      <c r="I12" s="181">
        <v>303900</v>
      </c>
      <c r="J12" s="262">
        <f>J11+I12</f>
        <v>693900</v>
      </c>
      <c r="K12" s="181">
        <f>K11+H12-I12</f>
        <v>193966.34999999986</v>
      </c>
      <c r="L12" s="200">
        <f t="shared" si="0"/>
        <v>651297</v>
      </c>
      <c r="M12" s="660" t="s">
        <v>3652</v>
      </c>
    </row>
    <row r="13" spans="1:13" ht="33" customHeight="1">
      <c r="A13" s="455" t="s">
        <v>3653</v>
      </c>
      <c r="B13" s="457">
        <v>707.5</v>
      </c>
      <c r="C13" s="457">
        <v>231555.5</v>
      </c>
      <c r="D13" s="454">
        <f t="shared" si="1"/>
        <v>4847.5</v>
      </c>
      <c r="E13" s="454">
        <f t="shared" si="2"/>
        <v>1576752.5</v>
      </c>
      <c r="F13" s="338"/>
      <c r="G13" s="181">
        <f>E13*0.3</f>
        <v>473025.75</v>
      </c>
      <c r="H13" s="304">
        <f t="shared" si="3"/>
        <v>53771.549999999996</v>
      </c>
      <c r="I13" s="457">
        <v>193600</v>
      </c>
      <c r="J13" s="262">
        <f>J12+I13</f>
        <v>887500</v>
      </c>
      <c r="K13" s="181">
        <f>K12+H13-I13</f>
        <v>54137.899999999849</v>
      </c>
      <c r="L13" s="200">
        <f t="shared" si="0"/>
        <v>689252.5</v>
      </c>
      <c r="M13" s="662" t="s">
        <v>3654</v>
      </c>
    </row>
    <row r="14" spans="1:13" ht="33" customHeight="1">
      <c r="A14" s="455" t="s">
        <v>3655</v>
      </c>
      <c r="B14" s="457">
        <v>508</v>
      </c>
      <c r="C14" s="457">
        <v>167132</v>
      </c>
      <c r="D14" s="454">
        <f t="shared" si="1"/>
        <v>5355.5</v>
      </c>
      <c r="E14" s="454">
        <f t="shared" si="2"/>
        <v>1743884.5</v>
      </c>
      <c r="F14" s="338"/>
      <c r="G14" s="181">
        <f>E14*0.3</f>
        <v>523165.35</v>
      </c>
      <c r="H14" s="304">
        <f t="shared" si="3"/>
        <v>162088.84999999998</v>
      </c>
      <c r="I14" s="457">
        <v>215600</v>
      </c>
      <c r="J14" s="262">
        <f>J13+I14</f>
        <v>1103100</v>
      </c>
      <c r="K14" s="181">
        <f>K13+H14-I14</f>
        <v>626.74999999982538</v>
      </c>
      <c r="L14" s="200">
        <f t="shared" si="0"/>
        <v>640784.5</v>
      </c>
      <c r="M14" s="662" t="s">
        <v>3656</v>
      </c>
    </row>
    <row r="15" spans="1:13" ht="33" customHeight="1">
      <c r="A15" s="521" t="s">
        <v>3657</v>
      </c>
      <c r="B15" s="478">
        <v>48</v>
      </c>
      <c r="C15" s="478">
        <v>14279</v>
      </c>
      <c r="D15" s="454">
        <f t="shared" si="1"/>
        <v>5403.5</v>
      </c>
      <c r="E15" s="454">
        <f t="shared" si="2"/>
        <v>1758163.5</v>
      </c>
      <c r="F15" s="338"/>
      <c r="G15" s="181">
        <f t="shared" ref="G15:G32" si="4">E15*0.3</f>
        <v>527449.04999999993</v>
      </c>
      <c r="H15" s="304">
        <f t="shared" si="3"/>
        <v>116992.4</v>
      </c>
      <c r="I15" s="457"/>
      <c r="J15" s="262">
        <f t="shared" ref="J15:J52" si="5">J14+I15</f>
        <v>1103100</v>
      </c>
      <c r="K15" s="181">
        <f t="shared" ref="K15:K29" si="6">K14+H15-I15</f>
        <v>117619.14999999982</v>
      </c>
      <c r="L15" s="200">
        <f t="shared" si="0"/>
        <v>655063.5</v>
      </c>
      <c r="M15" s="662"/>
    </row>
    <row r="16" spans="1:13" ht="33" customHeight="1">
      <c r="A16" s="665" t="s">
        <v>3658</v>
      </c>
      <c r="B16" s="666"/>
      <c r="C16" s="304">
        <v>0</v>
      </c>
      <c r="D16" s="454">
        <f t="shared" ref="D16:D52" si="7">D15+B16</f>
        <v>5403.5</v>
      </c>
      <c r="E16" s="454">
        <f t="shared" ref="E16:E52" si="8">E15+C16</f>
        <v>1758163.5</v>
      </c>
      <c r="F16" s="338"/>
      <c r="G16" s="181">
        <f t="shared" si="4"/>
        <v>527449.04999999993</v>
      </c>
      <c r="H16" s="304">
        <f t="shared" ref="H16:H33" si="9">C15*0.7</f>
        <v>9995.2999999999993</v>
      </c>
      <c r="I16" s="457"/>
      <c r="J16" s="262">
        <f t="shared" si="5"/>
        <v>1103100</v>
      </c>
      <c r="K16" s="181">
        <f t="shared" si="6"/>
        <v>127614.44999999982</v>
      </c>
      <c r="L16" s="200">
        <f t="shared" ref="L16:L52" si="10">E16-J16</f>
        <v>655063.5</v>
      </c>
      <c r="M16" s="662"/>
    </row>
    <row r="17" spans="1:16" ht="33" customHeight="1">
      <c r="A17" s="665" t="s">
        <v>3659</v>
      </c>
      <c r="B17" s="666"/>
      <c r="C17" s="304">
        <v>0</v>
      </c>
      <c r="D17" s="454">
        <f t="shared" si="7"/>
        <v>5403.5</v>
      </c>
      <c r="E17" s="454">
        <f t="shared" si="8"/>
        <v>1758163.5</v>
      </c>
      <c r="F17" s="338"/>
      <c r="G17" s="181">
        <f t="shared" si="4"/>
        <v>527449.04999999993</v>
      </c>
      <c r="H17" s="304">
        <f t="shared" si="9"/>
        <v>0</v>
      </c>
      <c r="I17" s="457"/>
      <c r="J17" s="262">
        <f t="shared" si="5"/>
        <v>1103100</v>
      </c>
      <c r="K17" s="181">
        <f t="shared" si="6"/>
        <v>127614.44999999982</v>
      </c>
      <c r="L17" s="200">
        <f t="shared" si="10"/>
        <v>655063.5</v>
      </c>
      <c r="M17" s="662"/>
    </row>
    <row r="18" spans="1:16" ht="33" customHeight="1">
      <c r="A18" s="522" t="s">
        <v>1185</v>
      </c>
      <c r="B18" s="304"/>
      <c r="C18" s="304">
        <v>1740</v>
      </c>
      <c r="D18" s="454">
        <f t="shared" si="7"/>
        <v>5403.5</v>
      </c>
      <c r="E18" s="454">
        <f t="shared" si="8"/>
        <v>1759903.5</v>
      </c>
      <c r="F18" s="338"/>
      <c r="G18" s="181">
        <f t="shared" si="4"/>
        <v>527971.04999999993</v>
      </c>
      <c r="H18" s="304">
        <f t="shared" si="9"/>
        <v>0</v>
      </c>
      <c r="I18" s="457"/>
      <c r="J18" s="262">
        <f t="shared" si="5"/>
        <v>1103100</v>
      </c>
      <c r="K18" s="181">
        <f t="shared" si="6"/>
        <v>127614.44999999982</v>
      </c>
      <c r="L18" s="200">
        <f t="shared" si="10"/>
        <v>656803.5</v>
      </c>
      <c r="M18" s="662"/>
    </row>
    <row r="19" spans="1:16" ht="33" customHeight="1">
      <c r="A19" s="522" t="s">
        <v>3660</v>
      </c>
      <c r="B19" s="304">
        <v>0</v>
      </c>
      <c r="C19" s="304">
        <v>0</v>
      </c>
      <c r="D19" s="454">
        <f t="shared" si="7"/>
        <v>5403.5</v>
      </c>
      <c r="E19" s="454">
        <f t="shared" si="8"/>
        <v>1759903.5</v>
      </c>
      <c r="F19" s="338"/>
      <c r="G19" s="181">
        <f t="shared" si="4"/>
        <v>527971.04999999993</v>
      </c>
      <c r="H19" s="304">
        <f t="shared" si="9"/>
        <v>1218</v>
      </c>
      <c r="I19" s="457"/>
      <c r="J19" s="262">
        <f t="shared" si="5"/>
        <v>1103100</v>
      </c>
      <c r="K19" s="181">
        <f t="shared" si="6"/>
        <v>128832.44999999982</v>
      </c>
      <c r="L19" s="200">
        <f t="shared" si="10"/>
        <v>656803.5</v>
      </c>
      <c r="M19" s="662"/>
    </row>
    <row r="20" spans="1:16" ht="33" customHeight="1">
      <c r="A20" s="616" t="s">
        <v>3661</v>
      </c>
      <c r="B20" s="457">
        <v>893.5</v>
      </c>
      <c r="C20" s="457">
        <v>293144</v>
      </c>
      <c r="D20" s="454">
        <f t="shared" si="7"/>
        <v>6297</v>
      </c>
      <c r="E20" s="454">
        <f t="shared" si="8"/>
        <v>2053047.5</v>
      </c>
      <c r="F20" s="338"/>
      <c r="G20" s="181">
        <f t="shared" si="4"/>
        <v>615914.25</v>
      </c>
      <c r="H20" s="304">
        <f t="shared" si="9"/>
        <v>0</v>
      </c>
      <c r="I20" s="457"/>
      <c r="J20" s="262">
        <f t="shared" si="5"/>
        <v>1103100</v>
      </c>
      <c r="K20" s="181">
        <f t="shared" si="6"/>
        <v>128832.44999999982</v>
      </c>
      <c r="L20" s="200">
        <f t="shared" si="10"/>
        <v>949947.5</v>
      </c>
      <c r="M20" s="662"/>
    </row>
    <row r="21" spans="1:16" ht="33" customHeight="1">
      <c r="A21" s="521" t="s">
        <v>3662</v>
      </c>
      <c r="B21" s="457">
        <v>3108.5</v>
      </c>
      <c r="C21" s="457">
        <v>1021790.7</v>
      </c>
      <c r="D21" s="454">
        <f t="shared" si="7"/>
        <v>9405.5</v>
      </c>
      <c r="E21" s="454">
        <f t="shared" si="8"/>
        <v>3074838.2</v>
      </c>
      <c r="F21" s="338"/>
      <c r="G21" s="181">
        <f t="shared" si="4"/>
        <v>922451.46000000008</v>
      </c>
      <c r="H21" s="304">
        <f t="shared" si="9"/>
        <v>205200.8</v>
      </c>
      <c r="I21" s="457"/>
      <c r="J21" s="262">
        <f t="shared" si="5"/>
        <v>1103100</v>
      </c>
      <c r="K21" s="181">
        <f t="shared" si="6"/>
        <v>334033.24999999983</v>
      </c>
      <c r="L21" s="200">
        <f t="shared" si="10"/>
        <v>1971738.2000000002</v>
      </c>
      <c r="M21" s="662"/>
    </row>
    <row r="22" spans="1:16" ht="33" customHeight="1">
      <c r="A22" s="455" t="s">
        <v>3663</v>
      </c>
      <c r="B22" s="457">
        <v>2493.5</v>
      </c>
      <c r="C22" s="457">
        <v>808975.5</v>
      </c>
      <c r="D22" s="454">
        <f t="shared" si="7"/>
        <v>11899</v>
      </c>
      <c r="E22" s="454">
        <f t="shared" si="8"/>
        <v>3883813.7</v>
      </c>
      <c r="F22" s="338"/>
      <c r="G22" s="181">
        <f t="shared" si="4"/>
        <v>1165144.1100000001</v>
      </c>
      <c r="H22" s="304">
        <f t="shared" si="9"/>
        <v>715253.48999999987</v>
      </c>
      <c r="I22" s="457">
        <v>317272</v>
      </c>
      <c r="J22" s="262">
        <f t="shared" si="5"/>
        <v>1420372</v>
      </c>
      <c r="K22" s="181">
        <f t="shared" si="6"/>
        <v>732014.73999999976</v>
      </c>
      <c r="L22" s="200">
        <f t="shared" si="10"/>
        <v>2463441.7000000002</v>
      </c>
      <c r="M22" s="662" t="s">
        <v>3664</v>
      </c>
    </row>
    <row r="23" spans="1:16" ht="33" customHeight="1">
      <c r="A23" s="458" t="s">
        <v>3665</v>
      </c>
      <c r="B23" s="457">
        <v>3513</v>
      </c>
      <c r="C23" s="457">
        <v>1365132</v>
      </c>
      <c r="D23" s="454">
        <f t="shared" si="7"/>
        <v>15412</v>
      </c>
      <c r="E23" s="454">
        <f t="shared" si="8"/>
        <v>5248945.7</v>
      </c>
      <c r="F23" s="338"/>
      <c r="G23" s="181">
        <f t="shared" si="4"/>
        <v>1574683.71</v>
      </c>
      <c r="H23" s="304">
        <f t="shared" si="9"/>
        <v>566282.85</v>
      </c>
      <c r="I23" s="457">
        <v>715251</v>
      </c>
      <c r="J23" s="262">
        <f t="shared" si="5"/>
        <v>2135623</v>
      </c>
      <c r="K23" s="181">
        <f t="shared" si="6"/>
        <v>583046.58999999985</v>
      </c>
      <c r="L23" s="200">
        <f t="shared" si="10"/>
        <v>3113322.7</v>
      </c>
      <c r="M23" s="662" t="s">
        <v>3666</v>
      </c>
    </row>
    <row r="24" spans="1:16" ht="33" customHeight="1">
      <c r="A24" s="458" t="s">
        <v>3667</v>
      </c>
      <c r="B24" s="457">
        <v>1473</v>
      </c>
      <c r="C24" s="457">
        <v>534872.5</v>
      </c>
      <c r="D24" s="454">
        <f t="shared" si="7"/>
        <v>16885</v>
      </c>
      <c r="E24" s="454">
        <f t="shared" si="8"/>
        <v>5783818.2000000002</v>
      </c>
      <c r="F24" s="338"/>
      <c r="G24" s="181">
        <f t="shared" si="4"/>
        <v>1735145.46</v>
      </c>
      <c r="H24" s="304">
        <f t="shared" si="9"/>
        <v>955592.39999999991</v>
      </c>
      <c r="I24" s="457"/>
      <c r="J24" s="262">
        <f t="shared" si="5"/>
        <v>2135623</v>
      </c>
      <c r="K24" s="181">
        <f t="shared" si="6"/>
        <v>1538638.9899999998</v>
      </c>
      <c r="L24" s="200">
        <f t="shared" si="10"/>
        <v>3648195.2</v>
      </c>
      <c r="M24" s="662"/>
    </row>
    <row r="25" spans="1:16" ht="33" customHeight="1">
      <c r="A25" s="458" t="s">
        <v>3668</v>
      </c>
      <c r="B25" s="181">
        <v>4760.5</v>
      </c>
      <c r="C25" s="181">
        <v>1779978</v>
      </c>
      <c r="D25" s="454">
        <f t="shared" si="7"/>
        <v>21645.5</v>
      </c>
      <c r="E25" s="454">
        <f t="shared" si="8"/>
        <v>7563796.2000000002</v>
      </c>
      <c r="F25" s="200"/>
      <c r="G25" s="181">
        <f t="shared" si="4"/>
        <v>2269138.86</v>
      </c>
      <c r="H25" s="304">
        <f t="shared" si="9"/>
        <v>374410.75</v>
      </c>
      <c r="I25" s="181">
        <v>573629</v>
      </c>
      <c r="J25" s="262">
        <f t="shared" si="5"/>
        <v>2709252</v>
      </c>
      <c r="K25" s="181">
        <f t="shared" si="6"/>
        <v>1339420.7399999998</v>
      </c>
      <c r="L25" s="200">
        <f t="shared" si="10"/>
        <v>4854544.2</v>
      </c>
      <c r="M25" s="664" t="s">
        <v>3669</v>
      </c>
    </row>
    <row r="26" spans="1:16" ht="33" customHeight="1">
      <c r="A26" s="458" t="s">
        <v>3670</v>
      </c>
      <c r="B26" s="181">
        <v>1637.5</v>
      </c>
      <c r="C26" s="181">
        <v>596333.5</v>
      </c>
      <c r="D26" s="454">
        <f t="shared" si="7"/>
        <v>23283</v>
      </c>
      <c r="E26" s="454">
        <f t="shared" si="8"/>
        <v>8160129.7000000002</v>
      </c>
      <c r="F26" s="200"/>
      <c r="G26" s="181">
        <f t="shared" si="4"/>
        <v>2448038.91</v>
      </c>
      <c r="H26" s="304">
        <f t="shared" si="9"/>
        <v>1245984.5999999999</v>
      </c>
      <c r="I26" s="181">
        <f>955590.5+374380</f>
        <v>1329970.5</v>
      </c>
      <c r="J26" s="262">
        <f t="shared" si="5"/>
        <v>4039222.5</v>
      </c>
      <c r="K26" s="181">
        <f t="shared" si="6"/>
        <v>1255434.8399999999</v>
      </c>
      <c r="L26" s="200">
        <f t="shared" si="10"/>
        <v>4120907.2</v>
      </c>
      <c r="M26" s="668" t="s">
        <v>3671</v>
      </c>
    </row>
    <row r="27" spans="1:16" ht="33" customHeight="1">
      <c r="A27" s="458" t="s">
        <v>3672</v>
      </c>
      <c r="B27" s="181">
        <v>3778.5</v>
      </c>
      <c r="C27" s="181">
        <v>1369863</v>
      </c>
      <c r="D27" s="454">
        <f t="shared" si="7"/>
        <v>27061.5</v>
      </c>
      <c r="E27" s="454">
        <f t="shared" si="8"/>
        <v>9529992.6999999993</v>
      </c>
      <c r="F27" s="200"/>
      <c r="G27" s="181">
        <f t="shared" si="4"/>
        <v>2858997.8099999996</v>
      </c>
      <c r="H27" s="304">
        <f t="shared" si="9"/>
        <v>417433.44999999995</v>
      </c>
      <c r="I27" s="181"/>
      <c r="J27" s="262">
        <f t="shared" si="5"/>
        <v>4039222.5</v>
      </c>
      <c r="K27" s="181">
        <f t="shared" si="6"/>
        <v>1672868.2899999998</v>
      </c>
      <c r="L27" s="200">
        <f t="shared" si="10"/>
        <v>5490770.1999999993</v>
      </c>
      <c r="M27" s="668"/>
      <c r="P27" s="669"/>
    </row>
    <row r="28" spans="1:16" ht="33" customHeight="1">
      <c r="A28" s="458" t="s">
        <v>3673</v>
      </c>
      <c r="B28" s="181">
        <v>4727.5</v>
      </c>
      <c r="C28" s="181">
        <v>1636573.5</v>
      </c>
      <c r="D28" s="454">
        <f t="shared" si="7"/>
        <v>31789</v>
      </c>
      <c r="E28" s="454">
        <f t="shared" si="8"/>
        <v>11166566.199999999</v>
      </c>
      <c r="F28" s="200"/>
      <c r="G28" s="181">
        <f t="shared" si="4"/>
        <v>3349969.86</v>
      </c>
      <c r="H28" s="304">
        <f t="shared" si="9"/>
        <v>958904.1</v>
      </c>
      <c r="I28" s="181">
        <v>2612450</v>
      </c>
      <c r="J28" s="262">
        <f t="shared" si="5"/>
        <v>6651672.5</v>
      </c>
      <c r="K28" s="181">
        <f t="shared" si="6"/>
        <v>19322.389999999665</v>
      </c>
      <c r="L28" s="200">
        <f t="shared" si="10"/>
        <v>4514893.6999999993</v>
      </c>
      <c r="M28" s="668" t="s">
        <v>3674</v>
      </c>
      <c r="P28" s="669"/>
    </row>
    <row r="29" spans="1:16" ht="44.1" customHeight="1">
      <c r="A29" s="481" t="s">
        <v>3675</v>
      </c>
      <c r="B29" s="262">
        <v>4091.5</v>
      </c>
      <c r="C29" s="262">
        <v>1406005.5</v>
      </c>
      <c r="D29" s="454">
        <f t="shared" si="7"/>
        <v>35880.5</v>
      </c>
      <c r="E29" s="454">
        <f t="shared" si="8"/>
        <v>12572571.699999999</v>
      </c>
      <c r="F29" s="200"/>
      <c r="G29" s="181">
        <f t="shared" si="4"/>
        <v>3771771.51</v>
      </c>
      <c r="H29" s="304">
        <f t="shared" si="9"/>
        <v>1145601.45</v>
      </c>
      <c r="I29" s="181">
        <v>1145090</v>
      </c>
      <c r="J29" s="262">
        <f t="shared" si="5"/>
        <v>7796762.5</v>
      </c>
      <c r="K29" s="181">
        <f t="shared" si="6"/>
        <v>19833.839999999618</v>
      </c>
      <c r="L29" s="200">
        <f t="shared" si="10"/>
        <v>4775809.1999999993</v>
      </c>
      <c r="M29" s="670" t="s">
        <v>3676</v>
      </c>
      <c r="P29" s="669"/>
    </row>
    <row r="30" spans="1:16" ht="33" customHeight="1">
      <c r="A30" s="481" t="s">
        <v>3677</v>
      </c>
      <c r="B30" s="181">
        <v>3875</v>
      </c>
      <c r="C30" s="181">
        <v>1291400.5</v>
      </c>
      <c r="D30" s="454">
        <f t="shared" si="7"/>
        <v>39755.5</v>
      </c>
      <c r="E30" s="454">
        <f t="shared" si="8"/>
        <v>13863972.199999999</v>
      </c>
      <c r="F30" s="200"/>
      <c r="G30" s="181">
        <f t="shared" si="4"/>
        <v>4159191.6599999997</v>
      </c>
      <c r="H30" s="304">
        <f t="shared" si="9"/>
        <v>984203.85</v>
      </c>
      <c r="I30" s="181"/>
      <c r="J30" s="262">
        <f t="shared" si="5"/>
        <v>7796762.5</v>
      </c>
      <c r="K30" s="181">
        <f t="shared" ref="K30:K53" si="11">K29+H30-I30</f>
        <v>1004037.6899999996</v>
      </c>
      <c r="L30" s="200">
        <f t="shared" si="10"/>
        <v>6067209.6999999993</v>
      </c>
      <c r="M30" s="668" t="s">
        <v>3678</v>
      </c>
      <c r="P30" s="669"/>
    </row>
    <row r="31" spans="1:16" ht="33" customHeight="1">
      <c r="A31" s="481" t="s">
        <v>3679</v>
      </c>
      <c r="B31" s="181">
        <v>2997.5</v>
      </c>
      <c r="C31" s="181">
        <v>976378.5</v>
      </c>
      <c r="D31" s="454">
        <f t="shared" si="7"/>
        <v>42753</v>
      </c>
      <c r="E31" s="454">
        <f t="shared" si="8"/>
        <v>14840350.699999999</v>
      </c>
      <c r="F31" s="200"/>
      <c r="G31" s="181">
        <f t="shared" si="4"/>
        <v>4452105.21</v>
      </c>
      <c r="H31" s="304">
        <f t="shared" si="9"/>
        <v>903980.35</v>
      </c>
      <c r="I31" s="181">
        <v>984100</v>
      </c>
      <c r="J31" s="262">
        <f t="shared" si="5"/>
        <v>8780862.5</v>
      </c>
      <c r="K31" s="181">
        <f t="shared" si="11"/>
        <v>923918.03999999957</v>
      </c>
      <c r="L31" s="200">
        <f t="shared" si="10"/>
        <v>6059488.1999999993</v>
      </c>
      <c r="M31" s="668" t="s">
        <v>3680</v>
      </c>
    </row>
    <row r="32" spans="1:16" ht="33" customHeight="1">
      <c r="A32" s="481" t="s">
        <v>3681</v>
      </c>
      <c r="B32" s="181">
        <v>2889</v>
      </c>
      <c r="C32" s="181">
        <f>937971</f>
        <v>937971</v>
      </c>
      <c r="D32" s="454">
        <f t="shared" si="7"/>
        <v>45642</v>
      </c>
      <c r="E32" s="454">
        <f t="shared" si="8"/>
        <v>15778321.699999999</v>
      </c>
      <c r="F32" s="200"/>
      <c r="G32" s="181">
        <f t="shared" si="4"/>
        <v>4733496.51</v>
      </c>
      <c r="H32" s="304">
        <f t="shared" si="9"/>
        <v>683464.95</v>
      </c>
      <c r="I32" s="181">
        <v>903800</v>
      </c>
      <c r="J32" s="262">
        <f t="shared" si="5"/>
        <v>9684662.5</v>
      </c>
      <c r="K32" s="181">
        <f t="shared" si="11"/>
        <v>703582.98999999953</v>
      </c>
      <c r="L32" s="200">
        <f t="shared" si="10"/>
        <v>6093659.1999999993</v>
      </c>
      <c r="M32" s="668" t="s">
        <v>3682</v>
      </c>
    </row>
    <row r="33" spans="1:13" ht="33" customHeight="1">
      <c r="A33" s="481" t="s">
        <v>3683</v>
      </c>
      <c r="B33" s="181">
        <v>1148.5</v>
      </c>
      <c r="C33" s="181">
        <v>368449.5</v>
      </c>
      <c r="D33" s="667">
        <f t="shared" si="7"/>
        <v>46790.5</v>
      </c>
      <c r="E33" s="667">
        <f t="shared" si="8"/>
        <v>16146771.199999999</v>
      </c>
      <c r="F33" s="200"/>
      <c r="G33" s="181">
        <f>E32*0.3*4/5</f>
        <v>3786797.2079999996</v>
      </c>
      <c r="H33" s="304">
        <f t="shared" si="9"/>
        <v>656579.69999999995</v>
      </c>
      <c r="I33" s="181"/>
      <c r="J33" s="262">
        <f t="shared" si="5"/>
        <v>9684662.5</v>
      </c>
      <c r="K33" s="181">
        <f t="shared" si="11"/>
        <v>1360162.6899999995</v>
      </c>
      <c r="L33" s="200">
        <f t="shared" si="10"/>
        <v>6462108.6999999993</v>
      </c>
      <c r="M33" s="668" t="s">
        <v>3684</v>
      </c>
    </row>
    <row r="34" spans="1:13" ht="33" customHeight="1">
      <c r="A34" s="481" t="s">
        <v>3685</v>
      </c>
      <c r="B34" s="181">
        <v>455</v>
      </c>
      <c r="C34" s="181">
        <v>143418</v>
      </c>
      <c r="D34" s="454">
        <f t="shared" si="7"/>
        <v>47245.5</v>
      </c>
      <c r="E34" s="454">
        <f t="shared" si="8"/>
        <v>16290189.199999999</v>
      </c>
      <c r="F34" s="200"/>
      <c r="G34" s="181">
        <f>E32*0.3*3/5</f>
        <v>2840097.906</v>
      </c>
      <c r="H34" s="304">
        <f>4733496.51*1/5+C33</f>
        <v>1315148.8019999999</v>
      </c>
      <c r="I34" s="181">
        <f>1339000+257800</f>
        <v>1596800</v>
      </c>
      <c r="J34" s="262">
        <f t="shared" si="5"/>
        <v>11281462.5</v>
      </c>
      <c r="K34" s="181">
        <f t="shared" si="11"/>
        <v>1078511.4919999996</v>
      </c>
      <c r="L34" s="200">
        <f t="shared" si="10"/>
        <v>5008726.6999999993</v>
      </c>
      <c r="M34" s="668" t="s">
        <v>3686</v>
      </c>
    </row>
    <row r="35" spans="1:13" ht="33" customHeight="1">
      <c r="A35" s="481" t="s">
        <v>3687</v>
      </c>
      <c r="B35" s="181">
        <v>106.5</v>
      </c>
      <c r="C35" s="181">
        <v>29681</v>
      </c>
      <c r="D35" s="454">
        <f t="shared" si="7"/>
        <v>47352</v>
      </c>
      <c r="E35" s="454">
        <f t="shared" si="8"/>
        <v>16319870.199999999</v>
      </c>
      <c r="F35" s="200"/>
      <c r="G35" s="181">
        <f>E32*0.3*2/5</f>
        <v>1893398.6039999998</v>
      </c>
      <c r="H35" s="304">
        <f>4733496.51*1/5+C34</f>
        <v>1090117.3019999999</v>
      </c>
      <c r="I35" s="181"/>
      <c r="J35" s="262">
        <f t="shared" si="5"/>
        <v>11281462.5</v>
      </c>
      <c r="K35" s="181">
        <f t="shared" si="11"/>
        <v>2168628.7939999998</v>
      </c>
      <c r="L35" s="200">
        <f t="shared" si="10"/>
        <v>5038407.6999999993</v>
      </c>
      <c r="M35" s="668"/>
    </row>
    <row r="36" spans="1:13" ht="33" customHeight="1">
      <c r="A36" s="481" t="s">
        <v>3688</v>
      </c>
      <c r="B36" s="181">
        <v>2336</v>
      </c>
      <c r="C36" s="181">
        <v>794168</v>
      </c>
      <c r="D36" s="454">
        <f t="shared" si="7"/>
        <v>49688</v>
      </c>
      <c r="E36" s="454">
        <f t="shared" si="8"/>
        <v>17114038.199999999</v>
      </c>
      <c r="F36" s="200"/>
      <c r="G36" s="181">
        <f>E32*0.3*1/5</f>
        <v>946699.30199999991</v>
      </c>
      <c r="H36" s="304">
        <f>4733496.51*1/5+C35</f>
        <v>976380.30199999991</v>
      </c>
      <c r="I36" s="181">
        <v>99800</v>
      </c>
      <c r="J36" s="262">
        <f t="shared" si="5"/>
        <v>11381262.5</v>
      </c>
      <c r="K36" s="181">
        <f t="shared" si="11"/>
        <v>3045209.0959999999</v>
      </c>
      <c r="L36" s="200">
        <f t="shared" si="10"/>
        <v>5732775.6999999993</v>
      </c>
      <c r="M36" s="668" t="s">
        <v>3689</v>
      </c>
    </row>
    <row r="37" spans="1:13" ht="33" customHeight="1">
      <c r="A37" s="481" t="s">
        <v>3690</v>
      </c>
      <c r="B37" s="181">
        <v>1476</v>
      </c>
      <c r="C37" s="181">
        <v>481199.5</v>
      </c>
      <c r="D37" s="454">
        <f t="shared" si="7"/>
        <v>51164</v>
      </c>
      <c r="E37" s="454">
        <f t="shared" si="8"/>
        <v>17595237.699999999</v>
      </c>
      <c r="F37" s="200"/>
      <c r="G37" s="181"/>
      <c r="H37" s="304">
        <f>4733496.51*1/5+C36</f>
        <v>1740867.3019999999</v>
      </c>
      <c r="I37" s="181">
        <v>20950</v>
      </c>
      <c r="J37" s="262">
        <f t="shared" si="5"/>
        <v>11402212.5</v>
      </c>
      <c r="K37" s="181">
        <f t="shared" si="11"/>
        <v>4765126.398</v>
      </c>
      <c r="L37" s="200">
        <f t="shared" si="10"/>
        <v>6193025.1999999993</v>
      </c>
      <c r="M37" s="668" t="s">
        <v>3691</v>
      </c>
    </row>
    <row r="38" spans="1:13" ht="33" customHeight="1">
      <c r="A38" s="481" t="s">
        <v>3692</v>
      </c>
      <c r="B38" s="181">
        <v>1424.5</v>
      </c>
      <c r="C38" s="181">
        <v>482966.5</v>
      </c>
      <c r="D38" s="454">
        <f t="shared" si="7"/>
        <v>52588.5</v>
      </c>
      <c r="E38" s="454">
        <f t="shared" si="8"/>
        <v>18078204.199999999</v>
      </c>
      <c r="F38" s="200"/>
      <c r="G38" s="181"/>
      <c r="H38" s="304">
        <f>4733496.51*1/5+C37</f>
        <v>1427898.8019999999</v>
      </c>
      <c r="I38" s="181">
        <v>555800</v>
      </c>
      <c r="J38" s="262">
        <f t="shared" si="5"/>
        <v>11958012.5</v>
      </c>
      <c r="K38" s="181">
        <f t="shared" si="11"/>
        <v>5637225.2000000002</v>
      </c>
      <c r="L38" s="200">
        <f t="shared" si="10"/>
        <v>6120191.6999999993</v>
      </c>
      <c r="M38" s="671" t="s">
        <v>3693</v>
      </c>
    </row>
    <row r="39" spans="1:13" ht="33" customHeight="1">
      <c r="A39" s="481" t="s">
        <v>3694</v>
      </c>
      <c r="B39" s="181">
        <v>2463.5</v>
      </c>
      <c r="C39" s="181">
        <v>814200.5</v>
      </c>
      <c r="D39" s="454">
        <f t="shared" si="7"/>
        <v>55052</v>
      </c>
      <c r="E39" s="454">
        <f t="shared" si="8"/>
        <v>18892404.699999999</v>
      </c>
      <c r="F39" s="200"/>
      <c r="G39" s="181"/>
      <c r="H39" s="304">
        <f t="shared" ref="H39:H53" si="12">C38</f>
        <v>482966.5</v>
      </c>
      <c r="I39" s="181">
        <f>135003.5+197700</f>
        <v>332703.5</v>
      </c>
      <c r="J39" s="262">
        <f t="shared" si="5"/>
        <v>12290716</v>
      </c>
      <c r="K39" s="181">
        <f t="shared" si="11"/>
        <v>5787488.2000000002</v>
      </c>
      <c r="L39" s="213">
        <f t="shared" si="10"/>
        <v>6601688.6999999993</v>
      </c>
      <c r="M39" s="672" t="s">
        <v>3695</v>
      </c>
    </row>
    <row r="40" spans="1:13" ht="33" customHeight="1">
      <c r="A40" s="481" t="s">
        <v>2686</v>
      </c>
      <c r="B40" s="181">
        <v>612</v>
      </c>
      <c r="C40" s="181">
        <v>189083</v>
      </c>
      <c r="D40" s="454">
        <f t="shared" si="7"/>
        <v>55664</v>
      </c>
      <c r="E40" s="454">
        <f t="shared" si="8"/>
        <v>19081487.699999999</v>
      </c>
      <c r="F40" s="200"/>
      <c r="G40" s="181"/>
      <c r="H40" s="304">
        <f t="shared" si="12"/>
        <v>814200.5</v>
      </c>
      <c r="I40" s="181">
        <v>346900</v>
      </c>
      <c r="J40" s="262">
        <f t="shared" si="5"/>
        <v>12637616</v>
      </c>
      <c r="K40" s="181">
        <f t="shared" si="11"/>
        <v>6254788.7000000002</v>
      </c>
      <c r="L40" s="213">
        <f t="shared" si="10"/>
        <v>6443871.6999999993</v>
      </c>
      <c r="M40" s="672" t="s">
        <v>3696</v>
      </c>
    </row>
    <row r="41" spans="1:13" ht="33" customHeight="1">
      <c r="A41" s="481" t="s">
        <v>2687</v>
      </c>
      <c r="B41" s="181">
        <v>1980.5</v>
      </c>
      <c r="C41" s="181">
        <v>762669</v>
      </c>
      <c r="D41" s="454">
        <f t="shared" si="7"/>
        <v>57644.5</v>
      </c>
      <c r="E41" s="454">
        <f t="shared" si="8"/>
        <v>19844156.699999999</v>
      </c>
      <c r="F41" s="200"/>
      <c r="G41" s="181"/>
      <c r="H41" s="304">
        <f t="shared" si="12"/>
        <v>189083</v>
      </c>
      <c r="I41" s="181">
        <f>2071400</f>
        <v>2071400</v>
      </c>
      <c r="J41" s="262">
        <f t="shared" si="5"/>
        <v>14709016</v>
      </c>
      <c r="K41" s="181">
        <f t="shared" si="11"/>
        <v>4372471.7</v>
      </c>
      <c r="L41" s="213">
        <f t="shared" si="10"/>
        <v>5135140.6999999993</v>
      </c>
      <c r="M41" s="673" t="s">
        <v>3697</v>
      </c>
    </row>
    <row r="42" spans="1:13" ht="33" customHeight="1">
      <c r="A42" s="481" t="s">
        <v>2688</v>
      </c>
      <c r="B42" s="181">
        <v>2520.5</v>
      </c>
      <c r="C42" s="181">
        <v>925079.5</v>
      </c>
      <c r="D42" s="454">
        <f t="shared" si="7"/>
        <v>60165</v>
      </c>
      <c r="E42" s="454">
        <f t="shared" si="8"/>
        <v>20769236.199999999</v>
      </c>
      <c r="F42" s="200"/>
      <c r="G42" s="181"/>
      <c r="H42" s="304">
        <f t="shared" si="12"/>
        <v>762669</v>
      </c>
      <c r="I42" s="181">
        <v>132100</v>
      </c>
      <c r="J42" s="262">
        <f t="shared" si="5"/>
        <v>14841116</v>
      </c>
      <c r="K42" s="181">
        <f t="shared" si="11"/>
        <v>5003040.7</v>
      </c>
      <c r="L42" s="213">
        <f t="shared" si="10"/>
        <v>5928120.1999999993</v>
      </c>
      <c r="M42" s="673" t="s">
        <v>3698</v>
      </c>
    </row>
    <row r="43" spans="1:13" ht="33" customHeight="1">
      <c r="A43" s="481" t="s">
        <v>2690</v>
      </c>
      <c r="B43" s="181">
        <v>1306.5</v>
      </c>
      <c r="C43" s="181">
        <v>462369</v>
      </c>
      <c r="D43" s="454">
        <f t="shared" si="7"/>
        <v>61471.5</v>
      </c>
      <c r="E43" s="454">
        <f t="shared" si="8"/>
        <v>21231605.199999999</v>
      </c>
      <c r="F43" s="200"/>
      <c r="G43" s="181"/>
      <c r="H43" s="304">
        <f t="shared" si="12"/>
        <v>925079.5</v>
      </c>
      <c r="I43" s="181">
        <f>1543+7100+526900</f>
        <v>535543</v>
      </c>
      <c r="J43" s="262">
        <f t="shared" si="5"/>
        <v>15376659</v>
      </c>
      <c r="K43" s="181">
        <f t="shared" si="11"/>
        <v>5392577.2000000002</v>
      </c>
      <c r="L43" s="213">
        <f t="shared" si="10"/>
        <v>5854946.1999999993</v>
      </c>
      <c r="M43" s="673" t="s">
        <v>3699</v>
      </c>
    </row>
    <row r="44" spans="1:13" ht="33" customHeight="1">
      <c r="A44" s="481" t="s">
        <v>2692</v>
      </c>
      <c r="B44" s="181">
        <v>2192</v>
      </c>
      <c r="C44" s="181">
        <v>749150</v>
      </c>
      <c r="D44" s="454">
        <f t="shared" si="7"/>
        <v>63663.5</v>
      </c>
      <c r="E44" s="454">
        <f t="shared" si="8"/>
        <v>21980755.199999999</v>
      </c>
      <c r="F44" s="200"/>
      <c r="G44" s="181"/>
      <c r="H44" s="304">
        <f t="shared" si="12"/>
        <v>462369</v>
      </c>
      <c r="I44" s="181">
        <f>640300+6100</f>
        <v>646400</v>
      </c>
      <c r="J44" s="262">
        <f t="shared" si="5"/>
        <v>16023059</v>
      </c>
      <c r="K44" s="181">
        <f t="shared" si="11"/>
        <v>5208546.2</v>
      </c>
      <c r="L44" s="213">
        <f t="shared" si="10"/>
        <v>5957696.1999999993</v>
      </c>
      <c r="M44" s="673" t="s">
        <v>3700</v>
      </c>
    </row>
    <row r="45" spans="1:13" ht="33" customHeight="1">
      <c r="A45" s="481" t="s">
        <v>1918</v>
      </c>
      <c r="B45" s="181">
        <v>1275.5</v>
      </c>
      <c r="C45" s="181">
        <v>430225.5</v>
      </c>
      <c r="D45" s="454">
        <f t="shared" si="7"/>
        <v>64939</v>
      </c>
      <c r="E45" s="454">
        <f t="shared" si="8"/>
        <v>22410980.699999999</v>
      </c>
      <c r="F45" s="200"/>
      <c r="G45" s="181"/>
      <c r="H45" s="304">
        <f t="shared" si="12"/>
        <v>749150</v>
      </c>
      <c r="I45" s="181">
        <f>317200+1500000</f>
        <v>1817200</v>
      </c>
      <c r="J45" s="262">
        <f t="shared" si="5"/>
        <v>17840259</v>
      </c>
      <c r="K45" s="181">
        <f t="shared" si="11"/>
        <v>4140496.2</v>
      </c>
      <c r="L45" s="213">
        <f t="shared" si="10"/>
        <v>4570721.6999999993</v>
      </c>
      <c r="M45" s="673" t="s">
        <v>3701</v>
      </c>
    </row>
    <row r="46" spans="1:13" ht="33" customHeight="1">
      <c r="A46" s="481" t="s">
        <v>1920</v>
      </c>
      <c r="B46" s="181">
        <v>617</v>
      </c>
      <c r="C46" s="181">
        <v>200627</v>
      </c>
      <c r="D46" s="454">
        <f t="shared" si="7"/>
        <v>65556</v>
      </c>
      <c r="E46" s="454">
        <f t="shared" si="8"/>
        <v>22611607.699999999</v>
      </c>
      <c r="F46" s="200"/>
      <c r="G46" s="181"/>
      <c r="H46" s="304">
        <f t="shared" si="12"/>
        <v>430225.5</v>
      </c>
      <c r="I46" s="181"/>
      <c r="J46" s="262">
        <f t="shared" si="5"/>
        <v>17840259</v>
      </c>
      <c r="K46" s="181">
        <f t="shared" si="11"/>
        <v>4570721.7</v>
      </c>
      <c r="L46" s="213">
        <f t="shared" si="10"/>
        <v>4771348.6999999993</v>
      </c>
      <c r="M46" s="673"/>
    </row>
    <row r="47" spans="1:13" ht="33" customHeight="1">
      <c r="A47" s="481" t="s">
        <v>1921</v>
      </c>
      <c r="B47" s="181">
        <v>1734</v>
      </c>
      <c r="C47" s="181">
        <v>560765</v>
      </c>
      <c r="D47" s="454">
        <f t="shared" si="7"/>
        <v>67290</v>
      </c>
      <c r="E47" s="454">
        <f t="shared" si="8"/>
        <v>23172372.699999999</v>
      </c>
      <c r="F47" s="200"/>
      <c r="G47" s="181"/>
      <c r="H47" s="304">
        <f t="shared" si="12"/>
        <v>200627</v>
      </c>
      <c r="I47" s="181">
        <f>468200+24500+38900+301100</f>
        <v>832700</v>
      </c>
      <c r="J47" s="262">
        <f t="shared" si="5"/>
        <v>18672959</v>
      </c>
      <c r="K47" s="181">
        <f t="shared" si="11"/>
        <v>3938648.7</v>
      </c>
      <c r="L47" s="213">
        <f t="shared" si="10"/>
        <v>4499413.6999999993</v>
      </c>
      <c r="M47" s="673" t="s">
        <v>3702</v>
      </c>
    </row>
    <row r="48" spans="1:13" ht="33" customHeight="1">
      <c r="A48" s="481" t="s">
        <v>1923</v>
      </c>
      <c r="B48" s="181">
        <v>1022.5</v>
      </c>
      <c r="C48" s="181">
        <v>326860.5</v>
      </c>
      <c r="D48" s="454">
        <f t="shared" si="7"/>
        <v>68312.5</v>
      </c>
      <c r="E48" s="454">
        <f t="shared" si="8"/>
        <v>23499233.199999999</v>
      </c>
      <c r="F48" s="200"/>
      <c r="G48" s="181"/>
      <c r="H48" s="304">
        <f t="shared" si="12"/>
        <v>560765</v>
      </c>
      <c r="I48" s="181"/>
      <c r="J48" s="262">
        <f t="shared" si="5"/>
        <v>18672959</v>
      </c>
      <c r="K48" s="181">
        <f t="shared" si="11"/>
        <v>4499413.7</v>
      </c>
      <c r="L48" s="213">
        <f t="shared" si="10"/>
        <v>4826274.1999999993</v>
      </c>
      <c r="M48" s="668" t="s">
        <v>3703</v>
      </c>
    </row>
    <row r="49" spans="1:13" ht="33" customHeight="1">
      <c r="A49" s="481" t="s">
        <v>3704</v>
      </c>
      <c r="B49" s="181"/>
      <c r="C49" s="181">
        <f>-(182355.1+257073.84+317498.56+378643.75+208577.74+13274.63+188328.82+172509.96+161368.52+103837.78)</f>
        <v>-1983468.7</v>
      </c>
      <c r="D49" s="454">
        <f t="shared" si="7"/>
        <v>68312.5</v>
      </c>
      <c r="E49" s="454">
        <f t="shared" si="8"/>
        <v>21515764.5</v>
      </c>
      <c r="F49" s="200"/>
      <c r="G49" s="181"/>
      <c r="H49" s="304">
        <f t="shared" si="12"/>
        <v>326860.5</v>
      </c>
      <c r="I49" s="181">
        <v>140400</v>
      </c>
      <c r="J49" s="262">
        <f t="shared" si="5"/>
        <v>18813359</v>
      </c>
      <c r="K49" s="181">
        <f t="shared" si="11"/>
        <v>4685874.2</v>
      </c>
      <c r="L49" s="234">
        <f t="shared" si="10"/>
        <v>2702405.5</v>
      </c>
      <c r="M49" s="668"/>
    </row>
    <row r="50" spans="1:13" ht="33" customHeight="1">
      <c r="A50" s="481" t="s">
        <v>1924</v>
      </c>
      <c r="B50" s="181">
        <v>214</v>
      </c>
      <c r="C50" s="181">
        <v>65964.5</v>
      </c>
      <c r="D50" s="454">
        <f t="shared" si="7"/>
        <v>68526.5</v>
      </c>
      <c r="E50" s="454">
        <f t="shared" si="8"/>
        <v>21581729</v>
      </c>
      <c r="F50" s="200"/>
      <c r="G50" s="181"/>
      <c r="H50" s="304">
        <f t="shared" si="12"/>
        <v>-1983468.7</v>
      </c>
      <c r="I50" s="181"/>
      <c r="J50" s="262">
        <f t="shared" si="5"/>
        <v>18813359</v>
      </c>
      <c r="K50" s="181">
        <f t="shared" si="11"/>
        <v>2702405.5</v>
      </c>
      <c r="L50" s="234">
        <f t="shared" si="10"/>
        <v>2768370</v>
      </c>
      <c r="M50" s="668" t="s">
        <v>3705</v>
      </c>
    </row>
    <row r="51" spans="1:13" ht="33" customHeight="1">
      <c r="A51" s="481" t="s">
        <v>1925</v>
      </c>
      <c r="B51" s="181">
        <v>16.5</v>
      </c>
      <c r="C51" s="181">
        <v>5099.5</v>
      </c>
      <c r="D51" s="454">
        <f t="shared" si="7"/>
        <v>68543</v>
      </c>
      <c r="E51" s="454">
        <f t="shared" si="8"/>
        <v>21586828.5</v>
      </c>
      <c r="F51" s="200"/>
      <c r="G51" s="181"/>
      <c r="H51" s="304">
        <f t="shared" si="12"/>
        <v>65964.5</v>
      </c>
      <c r="I51" s="181"/>
      <c r="J51" s="262">
        <f t="shared" si="5"/>
        <v>18813359</v>
      </c>
      <c r="K51" s="181">
        <f t="shared" si="11"/>
        <v>2768370</v>
      </c>
      <c r="L51" s="234">
        <f t="shared" si="10"/>
        <v>2773469.5</v>
      </c>
      <c r="M51" s="668"/>
    </row>
    <row r="52" spans="1:13" ht="33" customHeight="1">
      <c r="A52" s="481" t="s">
        <v>1926</v>
      </c>
      <c r="B52" s="181">
        <v>0</v>
      </c>
      <c r="C52" s="181">
        <v>0</v>
      </c>
      <c r="D52" s="454">
        <f t="shared" si="7"/>
        <v>68543</v>
      </c>
      <c r="E52" s="454">
        <f t="shared" si="8"/>
        <v>21586828.5</v>
      </c>
      <c r="F52" s="200"/>
      <c r="G52" s="181"/>
      <c r="H52" s="304">
        <f t="shared" si="12"/>
        <v>5099.5</v>
      </c>
      <c r="I52" s="181">
        <v>621396</v>
      </c>
      <c r="J52" s="262">
        <f t="shared" si="5"/>
        <v>19434755</v>
      </c>
      <c r="K52" s="181">
        <f t="shared" si="11"/>
        <v>2152073.5</v>
      </c>
      <c r="L52" s="234">
        <f t="shared" si="10"/>
        <v>2152073.5</v>
      </c>
      <c r="M52" s="668"/>
    </row>
    <row r="53" spans="1:13" ht="33" customHeight="1">
      <c r="A53" s="481"/>
      <c r="B53" s="181"/>
      <c r="C53" s="181"/>
      <c r="D53" s="454"/>
      <c r="E53" s="454"/>
      <c r="F53" s="200"/>
      <c r="G53" s="181"/>
      <c r="H53" s="304">
        <f t="shared" si="12"/>
        <v>0</v>
      </c>
      <c r="I53" s="181"/>
      <c r="J53" s="262"/>
      <c r="K53" s="181">
        <f t="shared" si="11"/>
        <v>2152073.5</v>
      </c>
      <c r="L53" s="200"/>
      <c r="M53" s="668"/>
    </row>
    <row r="54" spans="1:13" ht="33" customHeight="1">
      <c r="A54" s="481">
        <v>42979</v>
      </c>
      <c r="B54" s="181">
        <v>0</v>
      </c>
      <c r="C54" s="181">
        <v>0</v>
      </c>
      <c r="D54" s="454">
        <v>68543</v>
      </c>
      <c r="E54" s="454">
        <v>21586828.5</v>
      </c>
      <c r="F54" s="200"/>
      <c r="G54" s="181"/>
      <c r="H54" s="181">
        <v>5099.5</v>
      </c>
      <c r="I54" s="181">
        <v>621396</v>
      </c>
      <c r="J54" s="262">
        <v>19434755</v>
      </c>
      <c r="K54" s="181">
        <v>2152073.5</v>
      </c>
      <c r="L54" s="200">
        <v>2152073.5</v>
      </c>
      <c r="M54" s="668"/>
    </row>
    <row r="55" spans="1:13" ht="33" customHeight="1">
      <c r="A55" s="481"/>
      <c r="B55" s="181"/>
      <c r="C55" s="181"/>
      <c r="D55" s="454"/>
      <c r="E55" s="454"/>
      <c r="F55" s="200"/>
      <c r="G55" s="181"/>
      <c r="H55" s="181"/>
      <c r="I55" s="181"/>
      <c r="J55" s="262"/>
      <c r="K55" s="181"/>
      <c r="L55" s="200"/>
      <c r="M55" s="668"/>
    </row>
    <row r="56" spans="1:13" ht="33" customHeight="1">
      <c r="A56" s="481"/>
      <c r="B56" s="181"/>
      <c r="C56" s="181"/>
      <c r="D56" s="454"/>
      <c r="E56" s="454"/>
      <c r="F56" s="200"/>
      <c r="G56" s="181"/>
      <c r="H56" s="181"/>
      <c r="I56" s="181"/>
      <c r="J56" s="262"/>
      <c r="K56" s="181"/>
      <c r="L56" s="200"/>
      <c r="M56" s="668"/>
    </row>
    <row r="57" spans="1:13" ht="33" customHeight="1">
      <c r="A57" s="481"/>
      <c r="B57" s="181"/>
      <c r="C57" s="181"/>
      <c r="D57" s="454"/>
      <c r="E57" s="454"/>
      <c r="F57" s="200"/>
      <c r="G57" s="181"/>
      <c r="H57" s="181"/>
      <c r="I57" s="181"/>
      <c r="J57" s="262"/>
      <c r="K57" s="181"/>
      <c r="L57" s="200"/>
      <c r="M57" s="668"/>
    </row>
    <row r="58" spans="1:13" ht="33" customHeight="1">
      <c r="A58" s="481"/>
      <c r="B58" s="181"/>
      <c r="C58" s="181"/>
      <c r="D58" s="454"/>
      <c r="E58" s="454"/>
      <c r="F58" s="200"/>
      <c r="G58" s="181"/>
      <c r="H58" s="181"/>
      <c r="I58" s="181"/>
      <c r="J58" s="262"/>
      <c r="K58" s="181"/>
      <c r="L58" s="200"/>
      <c r="M58" s="668"/>
    </row>
    <row r="59" spans="1:13" ht="33" customHeight="1">
      <c r="A59" s="481"/>
      <c r="B59" s="181"/>
      <c r="C59" s="181"/>
      <c r="D59" s="454"/>
      <c r="E59" s="454"/>
      <c r="F59" s="200"/>
      <c r="G59" s="181"/>
      <c r="H59" s="181"/>
      <c r="I59" s="181"/>
      <c r="J59" s="262"/>
      <c r="K59" s="200"/>
      <c r="L59" s="200"/>
      <c r="M59" s="668"/>
    </row>
    <row r="65" ht="21.95" customHeight="1"/>
  </sheetData>
  <mergeCells count="16">
    <mergeCell ref="B6:D6"/>
    <mergeCell ref="E6:G6"/>
    <mergeCell ref="H6:K6"/>
    <mergeCell ref="B7:G7"/>
    <mergeCell ref="H7:K7"/>
    <mergeCell ref="E1:E2"/>
    <mergeCell ref="A1:B2"/>
    <mergeCell ref="C1:D2"/>
    <mergeCell ref="F1:H2"/>
    <mergeCell ref="J1:L1"/>
    <mergeCell ref="J2:M2"/>
    <mergeCell ref="B3:C3"/>
    <mergeCell ref="E3:I3"/>
    <mergeCell ref="B4:C4"/>
    <mergeCell ref="B5:G5"/>
    <mergeCell ref="H5:K5"/>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3"/>
  <sheetViews>
    <sheetView topLeftCell="A43" zoomScaleSheetLayoutView="100" workbookViewId="0">
      <selection activeCell="B50" sqref="B50:M50"/>
    </sheetView>
  </sheetViews>
  <sheetFormatPr defaultColWidth="9" defaultRowHeight="14.25"/>
  <cols>
    <col min="1" max="1" width="14.875" customWidth="1"/>
    <col min="2" max="2" width="15.75" customWidth="1"/>
    <col min="3" max="3" width="14.125" customWidth="1"/>
    <col min="4" max="4" width="12.25" customWidth="1"/>
    <col min="5" max="5" width="16.75" customWidth="1"/>
    <col min="6" max="6" width="13" customWidth="1"/>
    <col min="7" max="7" width="13.875" customWidth="1"/>
    <col min="8" max="8" width="14.75" customWidth="1"/>
    <col min="9" max="9" width="11.875" customWidth="1"/>
    <col min="10" max="10" width="12.75" customWidth="1"/>
    <col min="11" max="11" width="15.75" customWidth="1"/>
    <col min="12" max="12" width="14.125" customWidth="1"/>
    <col min="13" max="13" width="29.25" customWidth="1"/>
  </cols>
  <sheetData>
    <row r="1" spans="1:13" ht="66" customHeight="1">
      <c r="A1" s="2160" t="s">
        <v>556</v>
      </c>
      <c r="B1" s="2160"/>
      <c r="C1" s="2161" t="s">
        <v>3631</v>
      </c>
      <c r="D1" s="2160"/>
      <c r="E1" s="2160" t="s">
        <v>236</v>
      </c>
      <c r="F1" s="2162"/>
      <c r="G1" s="2163"/>
      <c r="H1" s="2164"/>
      <c r="I1" s="654" t="s">
        <v>2101</v>
      </c>
      <c r="J1" s="2000" t="s">
        <v>3706</v>
      </c>
      <c r="K1" s="1644"/>
      <c r="L1" s="1644"/>
      <c r="M1" s="619" t="s">
        <v>3707</v>
      </c>
    </row>
    <row r="2" spans="1:13" ht="66" customHeight="1">
      <c r="A2" s="2160"/>
      <c r="B2" s="2160"/>
      <c r="C2" s="2161"/>
      <c r="D2" s="2160"/>
      <c r="E2" s="2160"/>
      <c r="F2" s="2153"/>
      <c r="G2" s="2154"/>
      <c r="H2" s="2155"/>
      <c r="I2" s="655" t="s">
        <v>3708</v>
      </c>
      <c r="J2" s="1939" t="s">
        <v>3709</v>
      </c>
      <c r="K2" s="1940"/>
      <c r="L2" s="1940"/>
      <c r="M2" s="1941"/>
    </row>
    <row r="3" spans="1:13" ht="57" customHeight="1">
      <c r="A3" s="648" t="s">
        <v>240</v>
      </c>
      <c r="B3" s="2165" t="s">
        <v>3710</v>
      </c>
      <c r="C3" s="2165"/>
      <c r="D3" s="531" t="s">
        <v>242</v>
      </c>
      <c r="E3" s="1675"/>
      <c r="F3" s="1675"/>
      <c r="G3" s="1675"/>
      <c r="H3" s="1675"/>
      <c r="I3" s="1675"/>
      <c r="J3" s="531" t="s">
        <v>243</v>
      </c>
      <c r="K3" s="656"/>
      <c r="L3" s="531" t="s">
        <v>245</v>
      </c>
      <c r="M3" s="657" t="s">
        <v>3711</v>
      </c>
    </row>
    <row r="4" spans="1:13" ht="30.95" customHeight="1">
      <c r="A4" s="39" t="s">
        <v>247</v>
      </c>
      <c r="B4" s="1637" t="s">
        <v>3712</v>
      </c>
      <c r="C4" s="1637"/>
      <c r="D4" s="41" t="s">
        <v>249</v>
      </c>
      <c r="E4" s="43"/>
      <c r="F4" s="41" t="s">
        <v>251</v>
      </c>
      <c r="G4" s="41"/>
      <c r="H4" s="41" t="s">
        <v>252</v>
      </c>
      <c r="I4" s="41"/>
      <c r="J4" s="41" t="s">
        <v>565</v>
      </c>
      <c r="K4" s="40"/>
      <c r="L4" s="41" t="s">
        <v>255</v>
      </c>
      <c r="M4" s="105"/>
    </row>
    <row r="5" spans="1:13" ht="66" customHeight="1">
      <c r="A5" s="39" t="s">
        <v>260</v>
      </c>
      <c r="B5" s="2156" t="s">
        <v>3713</v>
      </c>
      <c r="C5" s="2156"/>
      <c r="D5" s="2156"/>
      <c r="E5" s="2156"/>
      <c r="F5" s="2156" t="s">
        <v>3714</v>
      </c>
      <c r="G5" s="2156"/>
      <c r="H5" s="2156"/>
      <c r="I5" s="2136"/>
      <c r="J5" s="2137"/>
      <c r="K5" s="2138"/>
      <c r="L5" s="2157"/>
      <c r="M5" s="2158"/>
    </row>
    <row r="6" spans="1:13" ht="51" customHeight="1">
      <c r="A6" s="39" t="s">
        <v>258</v>
      </c>
      <c r="B6" s="2159" t="s">
        <v>3715</v>
      </c>
      <c r="C6" s="2159"/>
      <c r="D6" s="2159"/>
      <c r="E6" s="2159"/>
      <c r="F6" s="2159"/>
      <c r="G6" s="2159"/>
      <c r="H6" s="1786"/>
      <c r="I6" s="1786"/>
      <c r="J6" s="1786"/>
      <c r="K6" s="1786"/>
      <c r="L6" s="178"/>
      <c r="M6" s="643"/>
    </row>
    <row r="7" spans="1:13" ht="30.75">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27" customHeight="1">
      <c r="A8" s="452" t="s">
        <v>3716</v>
      </c>
      <c r="B8" s="47">
        <v>3139</v>
      </c>
      <c r="C8" s="47">
        <v>1175870</v>
      </c>
      <c r="D8" s="447">
        <f>B8</f>
        <v>3139</v>
      </c>
      <c r="E8" s="447">
        <f>C8</f>
        <v>1175870</v>
      </c>
      <c r="F8" s="140"/>
      <c r="G8" s="47">
        <f>C8*0.05</f>
        <v>58793.5</v>
      </c>
      <c r="H8" s="7"/>
      <c r="I8" s="47"/>
      <c r="J8" s="465"/>
      <c r="K8" s="7"/>
      <c r="L8" s="140">
        <f t="shared" ref="L8:L49" si="0">E8-J8</f>
        <v>1175870</v>
      </c>
      <c r="M8" s="658" t="s">
        <v>3717</v>
      </c>
    </row>
    <row r="9" spans="1:13" ht="27" customHeight="1">
      <c r="A9" s="452" t="s">
        <v>3718</v>
      </c>
      <c r="B9" s="47">
        <v>1344.5</v>
      </c>
      <c r="C9" s="47">
        <v>465012.5</v>
      </c>
      <c r="D9" s="447">
        <f>D8+B9</f>
        <v>4483.5</v>
      </c>
      <c r="E9" s="447">
        <f t="shared" ref="E9:E21" si="1">E8+C9</f>
        <v>1640882.5</v>
      </c>
      <c r="F9" s="140"/>
      <c r="G9" s="47">
        <f>E9*0.05</f>
        <v>82044.125</v>
      </c>
      <c r="H9" s="649">
        <f>C8*0.95</f>
        <v>1117076.5</v>
      </c>
      <c r="I9" s="47"/>
      <c r="J9" s="465"/>
      <c r="K9" s="47">
        <f t="shared" ref="K9:K49" si="2">K8+H9-I9</f>
        <v>1117076.5</v>
      </c>
      <c r="L9" s="140">
        <f t="shared" si="0"/>
        <v>1640882.5</v>
      </c>
      <c r="M9" s="659"/>
    </row>
    <row r="10" spans="1:13" s="185" customFormat="1" ht="27" customHeight="1">
      <c r="A10" s="455" t="s">
        <v>1068</v>
      </c>
      <c r="B10" s="181"/>
      <c r="C10" s="181">
        <v>21564</v>
      </c>
      <c r="D10" s="454">
        <f t="shared" ref="D10:D21" si="3">D9+B10</f>
        <v>4483.5</v>
      </c>
      <c r="E10" s="454">
        <f t="shared" si="1"/>
        <v>1662446.5</v>
      </c>
      <c r="F10" s="200"/>
      <c r="G10" s="181">
        <f>E10*0.05</f>
        <v>83122.325000000012</v>
      </c>
      <c r="H10" s="181">
        <f>C9*0.95</f>
        <v>441761.875</v>
      </c>
      <c r="I10" s="181"/>
      <c r="J10" s="262"/>
      <c r="K10" s="181">
        <f t="shared" si="2"/>
        <v>1558838.375</v>
      </c>
      <c r="L10" s="200">
        <f t="shared" si="0"/>
        <v>1662446.5</v>
      </c>
      <c r="M10" s="660"/>
    </row>
    <row r="11" spans="1:13" s="185" customFormat="1" ht="27" customHeight="1">
      <c r="A11" s="650" t="s">
        <v>3719</v>
      </c>
      <c r="B11" s="555">
        <v>72</v>
      </c>
      <c r="C11" s="555">
        <v>23400</v>
      </c>
      <c r="D11" s="454">
        <f t="shared" si="3"/>
        <v>4555.5</v>
      </c>
      <c r="E11" s="454">
        <f t="shared" si="1"/>
        <v>1685846.5</v>
      </c>
      <c r="F11" s="211"/>
      <c r="G11" s="181">
        <f>E11*0.05</f>
        <v>84292.325000000012</v>
      </c>
      <c r="H11" s="181">
        <f t="shared" ref="H11:H48" si="4">C10*0.95</f>
        <v>20485.8</v>
      </c>
      <c r="I11" s="555"/>
      <c r="J11" s="554"/>
      <c r="K11" s="181">
        <f t="shared" si="2"/>
        <v>1579324.175</v>
      </c>
      <c r="L11" s="200">
        <f t="shared" si="0"/>
        <v>1685846.5</v>
      </c>
      <c r="M11" s="661"/>
    </row>
    <row r="12" spans="1:13" s="185" customFormat="1" ht="27" customHeight="1">
      <c r="A12" s="455" t="s">
        <v>3720</v>
      </c>
      <c r="B12" s="181">
        <v>30.5</v>
      </c>
      <c r="C12" s="181">
        <v>11037.5</v>
      </c>
      <c r="D12" s="454">
        <f t="shared" si="3"/>
        <v>4586</v>
      </c>
      <c r="E12" s="454">
        <f t="shared" si="1"/>
        <v>1696884</v>
      </c>
      <c r="F12" s="200"/>
      <c r="G12" s="181">
        <f t="shared" ref="G12:G21" si="5">E12*0.05</f>
        <v>84844.200000000012</v>
      </c>
      <c r="H12" s="181">
        <f t="shared" si="4"/>
        <v>22230</v>
      </c>
      <c r="I12" s="262">
        <v>1117076</v>
      </c>
      <c r="J12" s="262">
        <f t="shared" ref="J12:J49" si="6">J11+I12</f>
        <v>1117076</v>
      </c>
      <c r="K12" s="181">
        <f t="shared" si="2"/>
        <v>484478.17500000005</v>
      </c>
      <c r="L12" s="200">
        <f t="shared" si="0"/>
        <v>579808</v>
      </c>
      <c r="M12" s="660"/>
    </row>
    <row r="13" spans="1:13" s="185" customFormat="1" ht="27" customHeight="1">
      <c r="A13" s="455" t="s">
        <v>1112</v>
      </c>
      <c r="B13" s="181"/>
      <c r="C13" s="181">
        <v>42978</v>
      </c>
      <c r="D13" s="454">
        <f t="shared" si="3"/>
        <v>4586</v>
      </c>
      <c r="E13" s="454">
        <f t="shared" si="1"/>
        <v>1739862</v>
      </c>
      <c r="F13" s="200"/>
      <c r="G13" s="181">
        <v>84844.2</v>
      </c>
      <c r="H13" s="181">
        <f t="shared" si="4"/>
        <v>10485.625</v>
      </c>
      <c r="I13" s="181"/>
      <c r="J13" s="262">
        <f t="shared" si="6"/>
        <v>1117076</v>
      </c>
      <c r="K13" s="181">
        <f t="shared" si="2"/>
        <v>494963.80000000005</v>
      </c>
      <c r="L13" s="200">
        <f t="shared" si="0"/>
        <v>622786</v>
      </c>
      <c r="M13" s="660"/>
    </row>
    <row r="14" spans="1:13" s="185" customFormat="1" ht="27" customHeight="1">
      <c r="A14" s="455" t="s">
        <v>3721</v>
      </c>
      <c r="B14" s="457">
        <v>30</v>
      </c>
      <c r="C14" s="457">
        <v>9750</v>
      </c>
      <c r="D14" s="454">
        <f t="shared" si="3"/>
        <v>4616</v>
      </c>
      <c r="E14" s="454">
        <f t="shared" si="1"/>
        <v>1749612</v>
      </c>
      <c r="F14" s="338"/>
      <c r="G14" s="181">
        <f t="shared" si="5"/>
        <v>87480.6</v>
      </c>
      <c r="H14" s="181">
        <f t="shared" si="4"/>
        <v>40829.1</v>
      </c>
      <c r="I14" s="478"/>
      <c r="J14" s="262">
        <f t="shared" si="6"/>
        <v>1117076</v>
      </c>
      <c r="K14" s="181">
        <f t="shared" si="2"/>
        <v>535792.9</v>
      </c>
      <c r="L14" s="200">
        <f t="shared" si="0"/>
        <v>632536</v>
      </c>
      <c r="M14" s="662"/>
    </row>
    <row r="15" spans="1:13" s="185" customFormat="1" ht="27" customHeight="1">
      <c r="A15" s="455" t="s">
        <v>3722</v>
      </c>
      <c r="B15" s="457">
        <v>116</v>
      </c>
      <c r="C15" s="457">
        <v>40620</v>
      </c>
      <c r="D15" s="454">
        <f t="shared" si="3"/>
        <v>4732</v>
      </c>
      <c r="E15" s="454">
        <f t="shared" si="1"/>
        <v>1790232</v>
      </c>
      <c r="F15" s="338"/>
      <c r="G15" s="181">
        <f t="shared" si="5"/>
        <v>89511.6</v>
      </c>
      <c r="H15" s="181">
        <f t="shared" si="4"/>
        <v>9262.5</v>
      </c>
      <c r="I15" s="181">
        <v>622786</v>
      </c>
      <c r="J15" s="262">
        <f t="shared" si="6"/>
        <v>1739862</v>
      </c>
      <c r="K15" s="181">
        <f t="shared" si="2"/>
        <v>-77730.599999999977</v>
      </c>
      <c r="L15" s="200">
        <f t="shared" si="0"/>
        <v>50370</v>
      </c>
      <c r="M15" s="662" t="s">
        <v>3723</v>
      </c>
    </row>
    <row r="16" spans="1:13" s="185" customFormat="1" ht="27" customHeight="1">
      <c r="A16" s="455" t="s">
        <v>3724</v>
      </c>
      <c r="B16" s="457">
        <v>1043</v>
      </c>
      <c r="C16" s="457">
        <v>367815</v>
      </c>
      <c r="D16" s="454">
        <f t="shared" si="3"/>
        <v>5775</v>
      </c>
      <c r="E16" s="454">
        <f t="shared" si="1"/>
        <v>2158047</v>
      </c>
      <c r="F16" s="338"/>
      <c r="G16" s="181">
        <f t="shared" si="5"/>
        <v>107902.35</v>
      </c>
      <c r="H16" s="181">
        <f t="shared" si="4"/>
        <v>38589</v>
      </c>
      <c r="I16" s="181"/>
      <c r="J16" s="262">
        <f t="shared" si="6"/>
        <v>1739862</v>
      </c>
      <c r="K16" s="181">
        <f t="shared" si="2"/>
        <v>-39141.599999999977</v>
      </c>
      <c r="L16" s="200">
        <f t="shared" si="0"/>
        <v>418185</v>
      </c>
      <c r="M16" s="663"/>
    </row>
    <row r="17" spans="1:13" s="185" customFormat="1" ht="27" customHeight="1">
      <c r="A17" s="458" t="s">
        <v>785</v>
      </c>
      <c r="B17" s="457"/>
      <c r="C17" s="457">
        <v>170</v>
      </c>
      <c r="D17" s="454">
        <f t="shared" si="3"/>
        <v>5775</v>
      </c>
      <c r="E17" s="454">
        <f t="shared" si="1"/>
        <v>2158217</v>
      </c>
      <c r="F17" s="338"/>
      <c r="G17" s="181">
        <f t="shared" si="5"/>
        <v>107910.85</v>
      </c>
      <c r="H17" s="181">
        <f t="shared" si="4"/>
        <v>349424.25</v>
      </c>
      <c r="I17" s="181"/>
      <c r="J17" s="262">
        <f t="shared" si="6"/>
        <v>1739862</v>
      </c>
      <c r="K17" s="181">
        <f t="shared" si="2"/>
        <v>310282.65000000002</v>
      </c>
      <c r="L17" s="200">
        <f t="shared" si="0"/>
        <v>418355</v>
      </c>
      <c r="M17" s="662"/>
    </row>
    <row r="18" spans="1:13" s="185" customFormat="1" ht="27" customHeight="1">
      <c r="A18" s="455" t="s">
        <v>3725</v>
      </c>
      <c r="B18" s="457">
        <v>670</v>
      </c>
      <c r="C18" s="457">
        <v>229370</v>
      </c>
      <c r="D18" s="454">
        <f t="shared" si="3"/>
        <v>6445</v>
      </c>
      <c r="E18" s="454">
        <f t="shared" si="1"/>
        <v>2387587</v>
      </c>
      <c r="F18" s="338"/>
      <c r="G18" s="181">
        <f t="shared" si="5"/>
        <v>119379.35</v>
      </c>
      <c r="H18" s="181">
        <f t="shared" si="4"/>
        <v>161.5</v>
      </c>
      <c r="I18" s="615"/>
      <c r="J18" s="262">
        <f t="shared" si="6"/>
        <v>1739862</v>
      </c>
      <c r="K18" s="181">
        <f t="shared" si="2"/>
        <v>310444.15000000002</v>
      </c>
      <c r="L18" s="200">
        <f t="shared" si="0"/>
        <v>647725</v>
      </c>
      <c r="M18" s="662"/>
    </row>
    <row r="19" spans="1:13" s="185" customFormat="1" ht="27" customHeight="1">
      <c r="A19" s="458" t="s">
        <v>3726</v>
      </c>
      <c r="B19" s="457">
        <v>247</v>
      </c>
      <c r="C19" s="457">
        <v>84875</v>
      </c>
      <c r="D19" s="454">
        <f t="shared" si="3"/>
        <v>6692</v>
      </c>
      <c r="E19" s="454">
        <f t="shared" si="1"/>
        <v>2472462</v>
      </c>
      <c r="F19" s="338"/>
      <c r="G19" s="181">
        <f t="shared" si="5"/>
        <v>123623.1</v>
      </c>
      <c r="H19" s="181">
        <f t="shared" si="4"/>
        <v>217901.5</v>
      </c>
      <c r="I19" s="181">
        <v>50370</v>
      </c>
      <c r="J19" s="262">
        <f t="shared" si="6"/>
        <v>1790232</v>
      </c>
      <c r="K19" s="181">
        <f t="shared" si="2"/>
        <v>477975.65</v>
      </c>
      <c r="L19" s="200">
        <f t="shared" si="0"/>
        <v>682230</v>
      </c>
      <c r="M19" s="662" t="s">
        <v>3727</v>
      </c>
    </row>
    <row r="20" spans="1:13" s="185" customFormat="1" ht="27" customHeight="1">
      <c r="A20" s="458" t="s">
        <v>3728</v>
      </c>
      <c r="B20" s="457">
        <v>884</v>
      </c>
      <c r="C20" s="457">
        <v>304370</v>
      </c>
      <c r="D20" s="454">
        <f t="shared" si="3"/>
        <v>7576</v>
      </c>
      <c r="E20" s="454">
        <f t="shared" si="1"/>
        <v>2776832</v>
      </c>
      <c r="F20" s="338"/>
      <c r="G20" s="181">
        <f t="shared" si="5"/>
        <v>138841.60000000001</v>
      </c>
      <c r="H20" s="181">
        <f t="shared" si="4"/>
        <v>80631.25</v>
      </c>
      <c r="I20" s="457"/>
      <c r="J20" s="262">
        <f t="shared" si="6"/>
        <v>1790232</v>
      </c>
      <c r="K20" s="181">
        <f t="shared" si="2"/>
        <v>558606.9</v>
      </c>
      <c r="L20" s="200">
        <f t="shared" si="0"/>
        <v>986600</v>
      </c>
      <c r="M20" s="662" t="s">
        <v>3729</v>
      </c>
    </row>
    <row r="21" spans="1:13" s="185" customFormat="1" ht="27" customHeight="1">
      <c r="A21" s="458" t="s">
        <v>3730</v>
      </c>
      <c r="B21" s="457">
        <v>508.5</v>
      </c>
      <c r="C21" s="457">
        <v>177067.5</v>
      </c>
      <c r="D21" s="454">
        <f t="shared" si="3"/>
        <v>8084.5</v>
      </c>
      <c r="E21" s="454">
        <f t="shared" si="1"/>
        <v>2953899.5</v>
      </c>
      <c r="F21" s="338"/>
      <c r="G21" s="181">
        <f t="shared" si="5"/>
        <v>147694.97500000001</v>
      </c>
      <c r="H21" s="181">
        <f t="shared" si="4"/>
        <v>289151.5</v>
      </c>
      <c r="I21" s="457">
        <f>300000+260000</f>
        <v>560000</v>
      </c>
      <c r="J21" s="262">
        <f t="shared" si="6"/>
        <v>2350232</v>
      </c>
      <c r="K21" s="181">
        <f t="shared" si="2"/>
        <v>287758.40000000002</v>
      </c>
      <c r="L21" s="200">
        <f t="shared" si="0"/>
        <v>603667.5</v>
      </c>
      <c r="M21" s="662" t="s">
        <v>3731</v>
      </c>
    </row>
    <row r="22" spans="1:13" s="185" customFormat="1" ht="27" customHeight="1">
      <c r="A22" s="458" t="s">
        <v>786</v>
      </c>
      <c r="B22" s="457"/>
      <c r="C22" s="651">
        <v>-51600</v>
      </c>
      <c r="D22" s="454">
        <f t="shared" ref="D22:E24" si="7">D21+B22</f>
        <v>8084.5</v>
      </c>
      <c r="E22" s="454">
        <f t="shared" si="7"/>
        <v>2902299.5</v>
      </c>
      <c r="F22" s="338"/>
      <c r="G22" s="181">
        <v>147694.97500000001</v>
      </c>
      <c r="H22" s="181">
        <f t="shared" si="4"/>
        <v>168214.125</v>
      </c>
      <c r="I22" s="457"/>
      <c r="J22" s="262">
        <f t="shared" si="6"/>
        <v>2350232</v>
      </c>
      <c r="K22" s="181">
        <f t="shared" si="2"/>
        <v>455972.52500000002</v>
      </c>
      <c r="L22" s="200">
        <f t="shared" si="0"/>
        <v>552067.5</v>
      </c>
      <c r="M22" s="662"/>
    </row>
    <row r="23" spans="1:13" s="185" customFormat="1" ht="27" customHeight="1">
      <c r="A23" s="481" t="s">
        <v>3732</v>
      </c>
      <c r="B23" s="457">
        <v>444.5</v>
      </c>
      <c r="C23" s="457">
        <v>153152.5</v>
      </c>
      <c r="D23" s="454">
        <f t="shared" si="7"/>
        <v>8529</v>
      </c>
      <c r="E23" s="454">
        <f t="shared" si="7"/>
        <v>3055452</v>
      </c>
      <c r="F23" s="338"/>
      <c r="G23" s="181">
        <f t="shared" ref="G23:G47" si="8">E23*0.05</f>
        <v>152772.6</v>
      </c>
      <c r="H23" s="181">
        <f t="shared" si="4"/>
        <v>-49020</v>
      </c>
      <c r="I23" s="457"/>
      <c r="J23" s="262">
        <f t="shared" si="6"/>
        <v>2350232</v>
      </c>
      <c r="K23" s="181">
        <f t="shared" si="2"/>
        <v>406952.52500000002</v>
      </c>
      <c r="L23" s="200">
        <f t="shared" si="0"/>
        <v>705220</v>
      </c>
      <c r="M23" s="662"/>
    </row>
    <row r="24" spans="1:13" s="185" customFormat="1" ht="27" customHeight="1">
      <c r="A24" s="481" t="s">
        <v>3732</v>
      </c>
      <c r="B24" s="181">
        <v>1319.5</v>
      </c>
      <c r="C24" s="181">
        <v>468467.5</v>
      </c>
      <c r="D24" s="454">
        <f t="shared" si="7"/>
        <v>9848.5</v>
      </c>
      <c r="E24" s="454">
        <f t="shared" si="7"/>
        <v>3523919.5</v>
      </c>
      <c r="F24" s="200"/>
      <c r="G24" s="181">
        <f t="shared" si="8"/>
        <v>176195.97500000001</v>
      </c>
      <c r="H24" s="181">
        <f t="shared" si="4"/>
        <v>145494.875</v>
      </c>
      <c r="I24" s="181">
        <v>200000</v>
      </c>
      <c r="J24" s="262">
        <f t="shared" si="6"/>
        <v>2550232</v>
      </c>
      <c r="K24" s="181">
        <f t="shared" si="2"/>
        <v>352447.4</v>
      </c>
      <c r="L24" s="200">
        <f t="shared" si="0"/>
        <v>973687.5</v>
      </c>
      <c r="M24" s="664" t="s">
        <v>3733</v>
      </c>
    </row>
    <row r="25" spans="1:13" s="185" customFormat="1" ht="27" customHeight="1">
      <c r="A25" s="481" t="s">
        <v>3734</v>
      </c>
      <c r="B25" s="181">
        <v>866</v>
      </c>
      <c r="C25" s="181">
        <v>316257.5</v>
      </c>
      <c r="D25" s="454">
        <f t="shared" ref="D25:D49" si="9">D24+B25</f>
        <v>10714.5</v>
      </c>
      <c r="E25" s="454">
        <f t="shared" ref="E25:E49" si="10">E24+C25</f>
        <v>3840177</v>
      </c>
      <c r="F25" s="200"/>
      <c r="G25" s="181">
        <f t="shared" si="8"/>
        <v>192008.85</v>
      </c>
      <c r="H25" s="181">
        <f t="shared" si="4"/>
        <v>445044.125</v>
      </c>
      <c r="I25" s="181">
        <v>300000</v>
      </c>
      <c r="J25" s="262">
        <f t="shared" si="6"/>
        <v>2850232</v>
      </c>
      <c r="K25" s="181">
        <f t="shared" si="2"/>
        <v>497491.52500000002</v>
      </c>
      <c r="L25" s="200">
        <f t="shared" si="0"/>
        <v>989945</v>
      </c>
      <c r="M25" s="664" t="s">
        <v>3735</v>
      </c>
    </row>
    <row r="26" spans="1:13" s="185" customFormat="1" ht="27" customHeight="1">
      <c r="A26" s="481" t="s">
        <v>3736</v>
      </c>
      <c r="B26" s="181">
        <v>460</v>
      </c>
      <c r="C26" s="181">
        <v>164230</v>
      </c>
      <c r="D26" s="454">
        <f t="shared" si="9"/>
        <v>11174.5</v>
      </c>
      <c r="E26" s="454">
        <f t="shared" si="10"/>
        <v>4004407</v>
      </c>
      <c r="F26" s="200"/>
      <c r="G26" s="181">
        <f t="shared" si="8"/>
        <v>200220.35</v>
      </c>
      <c r="H26" s="181">
        <f t="shared" si="4"/>
        <v>300444.625</v>
      </c>
      <c r="I26" s="181"/>
      <c r="J26" s="262">
        <f t="shared" si="6"/>
        <v>2850232</v>
      </c>
      <c r="K26" s="181">
        <f t="shared" si="2"/>
        <v>797936.15</v>
      </c>
      <c r="L26" s="200">
        <f t="shared" si="0"/>
        <v>1154175</v>
      </c>
      <c r="M26" s="664"/>
    </row>
    <row r="27" spans="1:13" s="185" customFormat="1" ht="27" customHeight="1">
      <c r="A27" s="481" t="s">
        <v>787</v>
      </c>
      <c r="B27" s="181"/>
      <c r="C27" s="181">
        <v>-76096</v>
      </c>
      <c r="D27" s="454">
        <f t="shared" si="9"/>
        <v>11174.5</v>
      </c>
      <c r="E27" s="454">
        <f t="shared" si="10"/>
        <v>3928311</v>
      </c>
      <c r="F27" s="200"/>
      <c r="G27" s="181">
        <f t="shared" si="8"/>
        <v>196415.55000000002</v>
      </c>
      <c r="H27" s="181">
        <f t="shared" si="4"/>
        <v>156018.5</v>
      </c>
      <c r="I27" s="181"/>
      <c r="J27" s="262">
        <f t="shared" si="6"/>
        <v>2850232</v>
      </c>
      <c r="K27" s="181">
        <f t="shared" si="2"/>
        <v>953954.65</v>
      </c>
      <c r="L27" s="200">
        <f t="shared" si="0"/>
        <v>1078079</v>
      </c>
      <c r="M27" s="664"/>
    </row>
    <row r="28" spans="1:13" s="185" customFormat="1" ht="27" customHeight="1">
      <c r="A28" s="481" t="s">
        <v>3737</v>
      </c>
      <c r="B28" s="181">
        <v>120</v>
      </c>
      <c r="C28" s="181">
        <v>41570</v>
      </c>
      <c r="D28" s="454">
        <f t="shared" si="9"/>
        <v>11294.5</v>
      </c>
      <c r="E28" s="454">
        <f t="shared" si="10"/>
        <v>3969881</v>
      </c>
      <c r="F28" s="200"/>
      <c r="G28" s="181">
        <f t="shared" si="8"/>
        <v>198494.05000000002</v>
      </c>
      <c r="H28" s="181">
        <f t="shared" si="4"/>
        <v>-72291.199999999997</v>
      </c>
      <c r="I28" s="181">
        <f>500000</f>
        <v>500000</v>
      </c>
      <c r="J28" s="262">
        <f t="shared" si="6"/>
        <v>3350232</v>
      </c>
      <c r="K28" s="181">
        <f t="shared" si="2"/>
        <v>381663.45000000007</v>
      </c>
      <c r="L28" s="200">
        <f t="shared" si="0"/>
        <v>619649</v>
      </c>
      <c r="M28" s="664" t="s">
        <v>3738</v>
      </c>
    </row>
    <row r="29" spans="1:13" s="185" customFormat="1" ht="27" customHeight="1">
      <c r="A29" s="481" t="s">
        <v>3739</v>
      </c>
      <c r="B29" s="181">
        <v>64</v>
      </c>
      <c r="C29" s="181">
        <v>24877.5</v>
      </c>
      <c r="D29" s="454">
        <f t="shared" si="9"/>
        <v>11358.5</v>
      </c>
      <c r="E29" s="454">
        <f t="shared" si="10"/>
        <v>3994758.5</v>
      </c>
      <c r="F29" s="200"/>
      <c r="G29" s="181">
        <f t="shared" si="8"/>
        <v>199737.92500000002</v>
      </c>
      <c r="H29" s="181">
        <f t="shared" si="4"/>
        <v>39491.5</v>
      </c>
      <c r="I29" s="181"/>
      <c r="J29" s="262">
        <f t="shared" si="6"/>
        <v>3350232</v>
      </c>
      <c r="K29" s="181">
        <f t="shared" si="2"/>
        <v>421154.95000000007</v>
      </c>
      <c r="L29" s="200">
        <f t="shared" si="0"/>
        <v>644526.5</v>
      </c>
      <c r="M29" s="664"/>
    </row>
    <row r="30" spans="1:13" s="185" customFormat="1" ht="27" customHeight="1">
      <c r="A30" s="638" t="s">
        <v>789</v>
      </c>
      <c r="B30" s="259"/>
      <c r="C30" s="259">
        <v>-103369</v>
      </c>
      <c r="D30" s="454">
        <f t="shared" si="9"/>
        <v>11358.5</v>
      </c>
      <c r="E30" s="454">
        <f t="shared" si="10"/>
        <v>3891389.5</v>
      </c>
      <c r="F30" s="200"/>
      <c r="G30" s="181">
        <f t="shared" si="8"/>
        <v>194569.47500000001</v>
      </c>
      <c r="H30" s="181">
        <f t="shared" si="4"/>
        <v>23633.625</v>
      </c>
      <c r="I30" s="181"/>
      <c r="J30" s="262">
        <f t="shared" si="6"/>
        <v>3350232</v>
      </c>
      <c r="K30" s="181">
        <f t="shared" si="2"/>
        <v>444788.57500000007</v>
      </c>
      <c r="L30" s="200">
        <f t="shared" si="0"/>
        <v>541157.5</v>
      </c>
      <c r="M30" s="664"/>
    </row>
    <row r="31" spans="1:13" s="185" customFormat="1" ht="27" customHeight="1">
      <c r="A31" s="481" t="s">
        <v>3740</v>
      </c>
      <c r="B31" s="181">
        <v>185</v>
      </c>
      <c r="C31" s="181">
        <v>66415</v>
      </c>
      <c r="D31" s="454">
        <f t="shared" si="9"/>
        <v>11543.5</v>
      </c>
      <c r="E31" s="454">
        <f t="shared" si="10"/>
        <v>3957804.5</v>
      </c>
      <c r="F31" s="200"/>
      <c r="G31" s="181">
        <f t="shared" si="8"/>
        <v>197890.22500000001</v>
      </c>
      <c r="H31" s="181">
        <f t="shared" si="4"/>
        <v>-98200.549999999988</v>
      </c>
      <c r="I31" s="181"/>
      <c r="J31" s="262">
        <f t="shared" si="6"/>
        <v>3350232</v>
      </c>
      <c r="K31" s="181">
        <f t="shared" si="2"/>
        <v>346588.02500000008</v>
      </c>
      <c r="L31" s="200">
        <f t="shared" si="0"/>
        <v>607572.5</v>
      </c>
      <c r="M31" s="664"/>
    </row>
    <row r="32" spans="1:13" s="185" customFormat="1" ht="27" customHeight="1">
      <c r="A32" s="481" t="s">
        <v>3741</v>
      </c>
      <c r="B32" s="181">
        <v>162</v>
      </c>
      <c r="C32" s="181">
        <v>56040</v>
      </c>
      <c r="D32" s="454">
        <f t="shared" si="9"/>
        <v>11705.5</v>
      </c>
      <c r="E32" s="454">
        <f t="shared" si="10"/>
        <v>4013844.5</v>
      </c>
      <c r="F32" s="200"/>
      <c r="G32" s="181">
        <f t="shared" si="8"/>
        <v>200692.22500000001</v>
      </c>
      <c r="H32" s="181">
        <f t="shared" si="4"/>
        <v>63094.25</v>
      </c>
      <c r="I32" s="181"/>
      <c r="J32" s="262">
        <f t="shared" si="6"/>
        <v>3350232</v>
      </c>
      <c r="K32" s="181">
        <f t="shared" si="2"/>
        <v>409682.27500000008</v>
      </c>
      <c r="L32" s="200">
        <f t="shared" si="0"/>
        <v>663612.5</v>
      </c>
      <c r="M32" s="664"/>
    </row>
    <row r="33" spans="1:13" s="185" customFormat="1" ht="27" customHeight="1">
      <c r="A33" s="481" t="s">
        <v>3742</v>
      </c>
      <c r="B33" s="181">
        <v>181.5</v>
      </c>
      <c r="C33" s="181">
        <v>65467.5</v>
      </c>
      <c r="D33" s="454">
        <f t="shared" si="9"/>
        <v>11887</v>
      </c>
      <c r="E33" s="454">
        <f t="shared" si="10"/>
        <v>4079312</v>
      </c>
      <c r="F33" s="200"/>
      <c r="G33" s="181">
        <f t="shared" si="8"/>
        <v>203965.6</v>
      </c>
      <c r="H33" s="181">
        <f t="shared" si="4"/>
        <v>53238</v>
      </c>
      <c r="I33" s="181"/>
      <c r="J33" s="262">
        <f t="shared" si="6"/>
        <v>3350232</v>
      </c>
      <c r="K33" s="181">
        <f t="shared" si="2"/>
        <v>462920.27500000008</v>
      </c>
      <c r="L33" s="200">
        <f t="shared" si="0"/>
        <v>729080</v>
      </c>
      <c r="M33" s="664"/>
    </row>
    <row r="34" spans="1:13" s="185" customFormat="1" ht="27" customHeight="1">
      <c r="A34" s="481" t="s">
        <v>3743</v>
      </c>
      <c r="B34" s="181">
        <v>77</v>
      </c>
      <c r="C34" s="181">
        <v>26565</v>
      </c>
      <c r="D34" s="454">
        <f t="shared" si="9"/>
        <v>11964</v>
      </c>
      <c r="E34" s="454">
        <f t="shared" si="10"/>
        <v>4105877</v>
      </c>
      <c r="F34" s="200"/>
      <c r="G34" s="181">
        <f t="shared" si="8"/>
        <v>205293.85</v>
      </c>
      <c r="H34" s="181">
        <f t="shared" si="4"/>
        <v>62194.125</v>
      </c>
      <c r="I34" s="181"/>
      <c r="J34" s="262">
        <f t="shared" si="6"/>
        <v>3350232</v>
      </c>
      <c r="K34" s="181">
        <f t="shared" si="2"/>
        <v>525114.40000000014</v>
      </c>
      <c r="L34" s="200">
        <f t="shared" si="0"/>
        <v>755645</v>
      </c>
      <c r="M34" s="664"/>
    </row>
    <row r="35" spans="1:13" s="185" customFormat="1" ht="27" customHeight="1">
      <c r="A35" s="481" t="s">
        <v>1572</v>
      </c>
      <c r="B35" s="181"/>
      <c r="C35" s="181">
        <v>-16806</v>
      </c>
      <c r="D35" s="454">
        <f t="shared" si="9"/>
        <v>11964</v>
      </c>
      <c r="E35" s="454">
        <f t="shared" si="10"/>
        <v>4089071</v>
      </c>
      <c r="F35" s="200"/>
      <c r="G35" s="181">
        <f t="shared" si="8"/>
        <v>204453.55000000002</v>
      </c>
      <c r="H35" s="181">
        <f t="shared" si="4"/>
        <v>25236.75</v>
      </c>
      <c r="I35" s="181"/>
      <c r="J35" s="262">
        <f t="shared" si="6"/>
        <v>3350232</v>
      </c>
      <c r="K35" s="181">
        <f t="shared" si="2"/>
        <v>550351.15000000014</v>
      </c>
      <c r="L35" s="200">
        <f t="shared" si="0"/>
        <v>738839</v>
      </c>
      <c r="M35" s="664"/>
    </row>
    <row r="36" spans="1:13" s="185" customFormat="1" ht="27" customHeight="1">
      <c r="A36" s="481" t="s">
        <v>3744</v>
      </c>
      <c r="B36" s="181">
        <v>97.5</v>
      </c>
      <c r="C36" s="181">
        <v>36542.5</v>
      </c>
      <c r="D36" s="454">
        <f t="shared" si="9"/>
        <v>12061.5</v>
      </c>
      <c r="E36" s="454">
        <f t="shared" si="10"/>
        <v>4125613.5</v>
      </c>
      <c r="F36" s="200"/>
      <c r="G36" s="181">
        <f t="shared" si="8"/>
        <v>206280.67500000002</v>
      </c>
      <c r="H36" s="181">
        <f t="shared" si="4"/>
        <v>-15965.699999999999</v>
      </c>
      <c r="I36" s="181"/>
      <c r="J36" s="262">
        <f t="shared" si="6"/>
        <v>3350232</v>
      </c>
      <c r="K36" s="181">
        <f t="shared" si="2"/>
        <v>534385.45000000019</v>
      </c>
      <c r="L36" s="200">
        <f t="shared" si="0"/>
        <v>775381.5</v>
      </c>
      <c r="M36" s="664"/>
    </row>
    <row r="37" spans="1:13" s="185" customFormat="1" ht="27" customHeight="1">
      <c r="A37" s="481" t="s">
        <v>1574</v>
      </c>
      <c r="B37" s="181"/>
      <c r="C37" s="181">
        <v>-28099</v>
      </c>
      <c r="D37" s="454">
        <f t="shared" si="9"/>
        <v>12061.5</v>
      </c>
      <c r="E37" s="454">
        <f t="shared" si="10"/>
        <v>4097514.5</v>
      </c>
      <c r="F37" s="200"/>
      <c r="G37" s="181">
        <f t="shared" si="8"/>
        <v>204875.72500000001</v>
      </c>
      <c r="H37" s="181">
        <f t="shared" si="4"/>
        <v>34715.375</v>
      </c>
      <c r="I37" s="181"/>
      <c r="J37" s="262">
        <f t="shared" si="6"/>
        <v>3350232</v>
      </c>
      <c r="K37" s="181">
        <f t="shared" si="2"/>
        <v>569100.82500000019</v>
      </c>
      <c r="L37" s="200">
        <f t="shared" si="0"/>
        <v>747282.5</v>
      </c>
      <c r="M37" s="664"/>
    </row>
    <row r="38" spans="1:13" s="185" customFormat="1" ht="27" customHeight="1">
      <c r="A38" s="481" t="s">
        <v>3745</v>
      </c>
      <c r="B38" s="181">
        <v>94</v>
      </c>
      <c r="C38" s="181">
        <v>31490</v>
      </c>
      <c r="D38" s="454">
        <f t="shared" si="9"/>
        <v>12155.5</v>
      </c>
      <c r="E38" s="454">
        <f t="shared" si="10"/>
        <v>4129004.5</v>
      </c>
      <c r="F38" s="200"/>
      <c r="G38" s="181">
        <f t="shared" si="8"/>
        <v>206450.22500000001</v>
      </c>
      <c r="H38" s="181">
        <f t="shared" si="4"/>
        <v>-26694.05</v>
      </c>
      <c r="I38" s="181"/>
      <c r="J38" s="262">
        <f t="shared" si="6"/>
        <v>3350232</v>
      </c>
      <c r="K38" s="181">
        <f t="shared" si="2"/>
        <v>542406.77500000014</v>
      </c>
      <c r="L38" s="200">
        <f t="shared" si="0"/>
        <v>778772.5</v>
      </c>
      <c r="M38" s="664"/>
    </row>
    <row r="39" spans="1:13" s="185" customFormat="1" ht="27" customHeight="1">
      <c r="A39" s="481" t="s">
        <v>3746</v>
      </c>
      <c r="B39" s="181">
        <v>0</v>
      </c>
      <c r="C39" s="181">
        <v>0</v>
      </c>
      <c r="D39" s="454">
        <f t="shared" si="9"/>
        <v>12155.5</v>
      </c>
      <c r="E39" s="454">
        <f t="shared" si="10"/>
        <v>4129004.5</v>
      </c>
      <c r="F39" s="200"/>
      <c r="G39" s="181">
        <f t="shared" si="8"/>
        <v>206450.22500000001</v>
      </c>
      <c r="H39" s="181">
        <f t="shared" si="4"/>
        <v>29915.5</v>
      </c>
      <c r="I39" s="181"/>
      <c r="J39" s="262">
        <f t="shared" si="6"/>
        <v>3350232</v>
      </c>
      <c r="K39" s="181">
        <f t="shared" si="2"/>
        <v>572322.27500000014</v>
      </c>
      <c r="L39" s="200">
        <f t="shared" si="0"/>
        <v>778772.5</v>
      </c>
      <c r="M39" s="664"/>
    </row>
    <row r="40" spans="1:13" s="185" customFormat="1" ht="27" customHeight="1">
      <c r="A40" s="481" t="s">
        <v>1575</v>
      </c>
      <c r="B40" s="181"/>
      <c r="C40" s="181">
        <v>-5020</v>
      </c>
      <c r="D40" s="454">
        <f t="shared" si="9"/>
        <v>12155.5</v>
      </c>
      <c r="E40" s="454">
        <f t="shared" si="10"/>
        <v>4123984.5</v>
      </c>
      <c r="F40" s="200"/>
      <c r="G40" s="181">
        <f t="shared" si="8"/>
        <v>206199.22500000001</v>
      </c>
      <c r="H40" s="181">
        <f t="shared" si="4"/>
        <v>0</v>
      </c>
      <c r="I40" s="181"/>
      <c r="J40" s="262">
        <f t="shared" si="6"/>
        <v>3350232</v>
      </c>
      <c r="K40" s="181">
        <f t="shared" si="2"/>
        <v>572322.27500000014</v>
      </c>
      <c r="L40" s="200">
        <f t="shared" si="0"/>
        <v>773752.5</v>
      </c>
      <c r="M40" s="664"/>
    </row>
    <row r="41" spans="1:13" s="185" customFormat="1" ht="27" customHeight="1">
      <c r="A41" s="481" t="s">
        <v>3747</v>
      </c>
      <c r="B41" s="181">
        <v>35</v>
      </c>
      <c r="C41" s="181">
        <v>12045</v>
      </c>
      <c r="D41" s="454">
        <f t="shared" si="9"/>
        <v>12190.5</v>
      </c>
      <c r="E41" s="454">
        <f t="shared" si="10"/>
        <v>4136029.5</v>
      </c>
      <c r="F41" s="200"/>
      <c r="G41" s="181">
        <f t="shared" si="8"/>
        <v>206801.47500000001</v>
      </c>
      <c r="H41" s="181">
        <f t="shared" si="4"/>
        <v>-4769</v>
      </c>
      <c r="I41" s="181"/>
      <c r="J41" s="262">
        <f t="shared" si="6"/>
        <v>3350232</v>
      </c>
      <c r="K41" s="181">
        <f t="shared" si="2"/>
        <v>567553.27500000014</v>
      </c>
      <c r="L41" s="200">
        <f t="shared" si="0"/>
        <v>785797.5</v>
      </c>
      <c r="M41" s="664"/>
    </row>
    <row r="42" spans="1:13" s="185" customFormat="1" ht="27" customHeight="1">
      <c r="A42" s="481" t="s">
        <v>3748</v>
      </c>
      <c r="B42" s="181">
        <v>43</v>
      </c>
      <c r="C42" s="181">
        <v>14675</v>
      </c>
      <c r="D42" s="454">
        <f t="shared" si="9"/>
        <v>12233.5</v>
      </c>
      <c r="E42" s="454">
        <f t="shared" si="10"/>
        <v>4150704.5</v>
      </c>
      <c r="F42" s="200"/>
      <c r="G42" s="181">
        <f t="shared" si="8"/>
        <v>207535.22500000001</v>
      </c>
      <c r="H42" s="181">
        <f t="shared" si="4"/>
        <v>11442.75</v>
      </c>
      <c r="I42" s="181"/>
      <c r="J42" s="262">
        <f t="shared" si="6"/>
        <v>3350232</v>
      </c>
      <c r="K42" s="181">
        <f t="shared" si="2"/>
        <v>578996.02500000014</v>
      </c>
      <c r="L42" s="200">
        <f t="shared" si="0"/>
        <v>800472.5</v>
      </c>
      <c r="M42" s="664"/>
    </row>
    <row r="43" spans="1:13" s="185" customFormat="1" ht="27" customHeight="1">
      <c r="A43" s="481" t="s">
        <v>3749</v>
      </c>
      <c r="B43" s="181">
        <v>77.5</v>
      </c>
      <c r="C43" s="181">
        <v>26712.5</v>
      </c>
      <c r="D43" s="454">
        <f t="shared" si="9"/>
        <v>12311</v>
      </c>
      <c r="E43" s="454">
        <f t="shared" si="10"/>
        <v>4177417</v>
      </c>
      <c r="F43" s="200"/>
      <c r="G43" s="181">
        <f t="shared" si="8"/>
        <v>208870.85</v>
      </c>
      <c r="H43" s="181">
        <f t="shared" si="4"/>
        <v>13941.25</v>
      </c>
      <c r="I43" s="181"/>
      <c r="J43" s="262">
        <f t="shared" si="6"/>
        <v>3350232</v>
      </c>
      <c r="K43" s="181">
        <f t="shared" si="2"/>
        <v>592937.27500000014</v>
      </c>
      <c r="L43" s="200">
        <f t="shared" si="0"/>
        <v>827185</v>
      </c>
      <c r="M43" s="664"/>
    </row>
    <row r="44" spans="1:13" s="185" customFormat="1" ht="27" customHeight="1">
      <c r="A44" s="481" t="s">
        <v>3750</v>
      </c>
      <c r="B44" s="181">
        <v>159</v>
      </c>
      <c r="C44" s="181">
        <v>54890</v>
      </c>
      <c r="D44" s="454">
        <f t="shared" si="9"/>
        <v>12470</v>
      </c>
      <c r="E44" s="454">
        <f t="shared" si="10"/>
        <v>4232307</v>
      </c>
      <c r="F44" s="200"/>
      <c r="G44" s="181">
        <f t="shared" si="8"/>
        <v>211615.35</v>
      </c>
      <c r="H44" s="181">
        <f t="shared" si="4"/>
        <v>25376.875</v>
      </c>
      <c r="I44" s="181"/>
      <c r="J44" s="262">
        <f t="shared" si="6"/>
        <v>3350232</v>
      </c>
      <c r="K44" s="181">
        <f t="shared" si="2"/>
        <v>618314.15000000014</v>
      </c>
      <c r="L44" s="200">
        <f t="shared" si="0"/>
        <v>882075</v>
      </c>
      <c r="M44" s="664"/>
    </row>
    <row r="45" spans="1:13" s="185" customFormat="1" ht="27" customHeight="1">
      <c r="A45" s="481" t="s">
        <v>1577</v>
      </c>
      <c r="B45" s="181"/>
      <c r="C45" s="181">
        <v>-4790</v>
      </c>
      <c r="D45" s="454">
        <f t="shared" si="9"/>
        <v>12470</v>
      </c>
      <c r="E45" s="454">
        <f t="shared" si="10"/>
        <v>4227517</v>
      </c>
      <c r="F45" s="200"/>
      <c r="G45" s="181">
        <f t="shared" si="8"/>
        <v>211375.85</v>
      </c>
      <c r="H45" s="181">
        <f t="shared" si="4"/>
        <v>52145.5</v>
      </c>
      <c r="I45" s="181"/>
      <c r="J45" s="262">
        <f t="shared" si="6"/>
        <v>3350232</v>
      </c>
      <c r="K45" s="181">
        <f t="shared" si="2"/>
        <v>670459.65000000014</v>
      </c>
      <c r="L45" s="200">
        <f t="shared" si="0"/>
        <v>877285</v>
      </c>
      <c r="M45" s="664"/>
    </row>
    <row r="46" spans="1:13" s="185" customFormat="1" ht="30" customHeight="1">
      <c r="A46" s="481" t="s">
        <v>3751</v>
      </c>
      <c r="B46" s="181">
        <v>52</v>
      </c>
      <c r="C46" s="181">
        <v>17660</v>
      </c>
      <c r="D46" s="454">
        <f t="shared" si="9"/>
        <v>12522</v>
      </c>
      <c r="E46" s="454">
        <f t="shared" si="10"/>
        <v>4245177</v>
      </c>
      <c r="F46" s="200"/>
      <c r="G46" s="181">
        <f t="shared" si="8"/>
        <v>212258.85</v>
      </c>
      <c r="H46" s="181">
        <f t="shared" si="4"/>
        <v>-4550.5</v>
      </c>
      <c r="I46" s="181">
        <v>500000</v>
      </c>
      <c r="J46" s="262">
        <f t="shared" si="6"/>
        <v>3850232</v>
      </c>
      <c r="K46" s="181">
        <f t="shared" si="2"/>
        <v>165909.15000000014</v>
      </c>
      <c r="L46" s="200">
        <f t="shared" si="0"/>
        <v>394945</v>
      </c>
      <c r="M46" s="664" t="s">
        <v>3752</v>
      </c>
    </row>
    <row r="47" spans="1:13" s="185" customFormat="1" ht="27" customHeight="1">
      <c r="A47" s="481" t="s">
        <v>3753</v>
      </c>
      <c r="B47" s="259">
        <v>36</v>
      </c>
      <c r="C47" s="259">
        <v>12060</v>
      </c>
      <c r="D47" s="454">
        <f t="shared" si="9"/>
        <v>12558</v>
      </c>
      <c r="E47" s="454">
        <f t="shared" si="10"/>
        <v>4257237</v>
      </c>
      <c r="F47" s="200"/>
      <c r="G47" s="181">
        <f t="shared" si="8"/>
        <v>212861.85</v>
      </c>
      <c r="H47" s="181">
        <f t="shared" si="4"/>
        <v>16777</v>
      </c>
      <c r="I47" s="181"/>
      <c r="J47" s="262">
        <f t="shared" si="6"/>
        <v>3850232</v>
      </c>
      <c r="K47" s="181">
        <f t="shared" si="2"/>
        <v>182686.15000000014</v>
      </c>
      <c r="L47" s="200">
        <f t="shared" si="0"/>
        <v>407005</v>
      </c>
      <c r="M47" s="664"/>
    </row>
    <row r="48" spans="1:13" s="185" customFormat="1" ht="27" customHeight="1">
      <c r="A48" s="481" t="s">
        <v>672</v>
      </c>
      <c r="B48" s="259"/>
      <c r="C48" s="259">
        <v>-13645</v>
      </c>
      <c r="D48" s="454">
        <f t="shared" si="9"/>
        <v>12558</v>
      </c>
      <c r="E48" s="454">
        <f t="shared" si="10"/>
        <v>4243592</v>
      </c>
      <c r="F48" s="200"/>
      <c r="G48" s="181">
        <f>C47*0.05</f>
        <v>603</v>
      </c>
      <c r="H48" s="181">
        <f t="shared" si="4"/>
        <v>11457</v>
      </c>
      <c r="I48" s="181">
        <v>300000</v>
      </c>
      <c r="J48" s="262">
        <f t="shared" si="6"/>
        <v>4150232</v>
      </c>
      <c r="K48" s="181">
        <f t="shared" si="2"/>
        <v>-105856.84999999986</v>
      </c>
      <c r="L48" s="200">
        <f t="shared" si="0"/>
        <v>93360</v>
      </c>
      <c r="M48" s="664" t="s">
        <v>3754</v>
      </c>
    </row>
    <row r="49" spans="1:13" s="185" customFormat="1" ht="27" customHeight="1">
      <c r="A49" s="481"/>
      <c r="B49" s="181"/>
      <c r="C49" s="181"/>
      <c r="D49" s="454">
        <f t="shared" si="9"/>
        <v>12558</v>
      </c>
      <c r="E49" s="454">
        <f t="shared" si="10"/>
        <v>4243592</v>
      </c>
      <c r="F49" s="200"/>
      <c r="G49" s="652"/>
      <c r="H49" s="181">
        <f>C48+E46*0.05</f>
        <v>198613.85</v>
      </c>
      <c r="I49" s="181">
        <v>93360</v>
      </c>
      <c r="J49" s="262">
        <f t="shared" si="6"/>
        <v>4243592</v>
      </c>
      <c r="K49" s="181">
        <f t="shared" si="2"/>
        <v>-602.99999999985448</v>
      </c>
      <c r="L49" s="200">
        <f t="shared" si="0"/>
        <v>0</v>
      </c>
      <c r="M49" s="664" t="s">
        <v>3755</v>
      </c>
    </row>
    <row r="50" spans="1:13" s="185" customFormat="1" ht="27" customHeight="1">
      <c r="A50" s="481">
        <v>42979</v>
      </c>
      <c r="B50" s="181"/>
      <c r="C50" s="181">
        <v>-13645</v>
      </c>
      <c r="D50" s="653">
        <v>12558</v>
      </c>
      <c r="E50" s="454">
        <v>4243592</v>
      </c>
      <c r="F50" s="200"/>
      <c r="G50" s="652">
        <v>603</v>
      </c>
      <c r="H50" s="181">
        <v>11457</v>
      </c>
      <c r="I50" s="181">
        <v>300000</v>
      </c>
      <c r="J50" s="262">
        <v>4150232</v>
      </c>
      <c r="K50" s="181">
        <v>-105856.84999999986</v>
      </c>
      <c r="L50" s="200">
        <v>93360</v>
      </c>
      <c r="M50" s="664" t="s">
        <v>3754</v>
      </c>
    </row>
    <row r="51" spans="1:13" s="185" customFormat="1" ht="27" customHeight="1">
      <c r="A51" s="481"/>
      <c r="B51" s="181"/>
      <c r="C51" s="181"/>
      <c r="D51" s="653"/>
      <c r="E51" s="454"/>
      <c r="F51" s="200"/>
      <c r="G51" s="652"/>
      <c r="H51" s="181"/>
      <c r="I51" s="181"/>
      <c r="J51" s="262"/>
      <c r="K51" s="181"/>
      <c r="L51" s="200"/>
      <c r="M51" s="664"/>
    </row>
    <row r="52" spans="1:13" s="185" customFormat="1" ht="27" customHeight="1">
      <c r="A52" s="481"/>
      <c r="B52" s="181"/>
      <c r="C52" s="181"/>
      <c r="D52" s="653"/>
      <c r="E52" s="454"/>
      <c r="F52" s="200"/>
      <c r="G52" s="652"/>
      <c r="H52" s="181"/>
      <c r="I52" s="181"/>
      <c r="J52" s="262"/>
      <c r="K52" s="181"/>
      <c r="L52" s="200"/>
      <c r="M52" s="664"/>
    </row>
    <row r="53" spans="1:13" s="185" customFormat="1" ht="27" customHeight="1">
      <c r="A53" s="481"/>
      <c r="B53" s="181"/>
      <c r="C53" s="181"/>
      <c r="D53" s="653"/>
      <c r="E53" s="454"/>
      <c r="F53" s="200"/>
      <c r="G53" s="652"/>
      <c r="H53" s="181"/>
      <c r="I53" s="181"/>
      <c r="J53" s="262"/>
      <c r="K53" s="181"/>
      <c r="L53" s="200"/>
      <c r="M53" s="664"/>
    </row>
    <row r="54" spans="1:13" ht="27" customHeight="1"/>
    <row r="55" spans="1:13" ht="27" customHeight="1"/>
    <row r="56" spans="1:13" ht="27" customHeight="1"/>
    <row r="57" spans="1:13" ht="27" customHeight="1"/>
    <row r="58" spans="1:13" ht="27" customHeight="1"/>
    <row r="59" spans="1:13" ht="27" customHeight="1"/>
    <row r="60" spans="1:13" ht="27" customHeight="1"/>
    <row r="61" spans="1:13" ht="27" customHeight="1"/>
    <row r="62" spans="1:13" ht="27" customHeight="1"/>
    <row r="63" spans="1:13" ht="27" customHeight="1"/>
    <row r="64" spans="1:13" ht="27" customHeight="1"/>
    <row r="65" ht="27" customHeight="1"/>
    <row r="66" ht="27" customHeight="1"/>
    <row r="67" ht="27" customHeight="1"/>
    <row r="68" ht="27" customHeight="1"/>
    <row r="69" ht="27" customHeight="1"/>
    <row r="70" ht="27" customHeight="1"/>
    <row r="71" ht="27" customHeight="1"/>
    <row r="72" ht="27" customHeight="1"/>
    <row r="73" ht="27" customHeight="1"/>
  </sheetData>
  <mergeCells count="15">
    <mergeCell ref="B3:C3"/>
    <mergeCell ref="E3:I3"/>
    <mergeCell ref="E1:E2"/>
    <mergeCell ref="A1:B2"/>
    <mergeCell ref="C1:D2"/>
    <mergeCell ref="F1:H2"/>
    <mergeCell ref="J1:L1"/>
    <mergeCell ref="J2:M2"/>
    <mergeCell ref="B4:C4"/>
    <mergeCell ref="B5:E5"/>
    <mergeCell ref="F5:H5"/>
    <mergeCell ref="I5:K5"/>
    <mergeCell ref="L5:M5"/>
    <mergeCell ref="B6:G6"/>
    <mergeCell ref="H6:K6"/>
  </mergeCells>
  <phoneticPr fontId="84" type="noConversion"/>
  <pageMargins left="0.75" right="0.75" top="1" bottom="1" header="0.51" footer="0.51"/>
  <pageSetup paperSize="9" orientation="portrait" verticalDpi="200"/>
  <headerFooter scaleWithDoc="0" alignWithMargins="0"/>
</worksheet>
</file>

<file path=xl/worksheets/sheet1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topLeftCell="A31" zoomScaleSheetLayoutView="100" workbookViewId="0">
      <selection activeCell="B36" sqref="B36:M36"/>
    </sheetView>
  </sheetViews>
  <sheetFormatPr defaultColWidth="9" defaultRowHeight="14.25"/>
  <cols>
    <col min="1" max="1" width="13.75" customWidth="1"/>
    <col min="2" max="2" width="13.125" customWidth="1"/>
    <col min="3" max="3" width="15.375" customWidth="1"/>
    <col min="4" max="4" width="14.25" customWidth="1"/>
    <col min="5" max="5" width="12" customWidth="1"/>
    <col min="6" max="6" width="12.375" customWidth="1"/>
    <col min="7" max="7" width="11.875" customWidth="1"/>
    <col min="8" max="8" width="11" customWidth="1"/>
    <col min="9" max="9" width="11.75" customWidth="1"/>
    <col min="10" max="10" width="11.125" customWidth="1"/>
    <col min="11" max="11" width="12.75" customWidth="1"/>
    <col min="12" max="12" width="11.75" customWidth="1"/>
    <col min="13" max="13" width="27" customWidth="1"/>
  </cols>
  <sheetData>
    <row r="1" spans="1:13" ht="69" customHeight="1">
      <c r="A1" s="2144" t="s">
        <v>556</v>
      </c>
      <c r="B1" s="2145"/>
      <c r="C1" s="2148" t="s">
        <v>3631</v>
      </c>
      <c r="D1" s="2145"/>
      <c r="E1" s="2142" t="s">
        <v>236</v>
      </c>
      <c r="F1" s="2150"/>
      <c r="G1" s="2151"/>
      <c r="H1" s="2152"/>
      <c r="I1" s="531" t="s">
        <v>2101</v>
      </c>
      <c r="J1" s="2000" t="s">
        <v>3706</v>
      </c>
      <c r="K1" s="1644"/>
      <c r="L1" s="1644"/>
      <c r="M1" s="619" t="s">
        <v>3707</v>
      </c>
    </row>
    <row r="2" spans="1:13" ht="84.95" customHeight="1">
      <c r="A2" s="2146"/>
      <c r="B2" s="2147"/>
      <c r="C2" s="2149"/>
      <c r="D2" s="2147"/>
      <c r="E2" s="2143"/>
      <c r="F2" s="2153"/>
      <c r="G2" s="2154"/>
      <c r="H2" s="2155"/>
      <c r="I2" s="642" t="s">
        <v>3708</v>
      </c>
      <c r="J2" s="1939" t="s">
        <v>3756</v>
      </c>
      <c r="K2" s="1940"/>
      <c r="L2" s="1940"/>
      <c r="M2" s="1941"/>
    </row>
    <row r="3" spans="1:13" ht="48.95" customHeight="1">
      <c r="A3" s="39" t="s">
        <v>240</v>
      </c>
      <c r="B3" s="1639" t="s">
        <v>3757</v>
      </c>
      <c r="C3" s="1639"/>
      <c r="D3" s="41" t="s">
        <v>242</v>
      </c>
      <c r="E3" s="1637"/>
      <c r="F3" s="1637"/>
      <c r="G3" s="1637"/>
      <c r="H3" s="1637"/>
      <c r="I3" s="1637"/>
      <c r="J3" s="41" t="s">
        <v>243</v>
      </c>
      <c r="K3" s="59"/>
      <c r="L3" s="41" t="s">
        <v>245</v>
      </c>
      <c r="M3" s="461" t="s">
        <v>3711</v>
      </c>
    </row>
    <row r="4" spans="1:13" ht="48.95" customHeight="1">
      <c r="A4" s="39" t="s">
        <v>247</v>
      </c>
      <c r="B4" s="1637" t="s">
        <v>3758</v>
      </c>
      <c r="C4" s="1637"/>
      <c r="D4" s="41" t="s">
        <v>249</v>
      </c>
      <c r="E4" s="43"/>
      <c r="F4" s="41" t="s">
        <v>251</v>
      </c>
      <c r="G4" s="41"/>
      <c r="H4" s="41" t="s">
        <v>252</v>
      </c>
      <c r="I4" s="41"/>
      <c r="J4" s="41" t="s">
        <v>565</v>
      </c>
      <c r="K4" s="40"/>
      <c r="L4" s="41" t="s">
        <v>255</v>
      </c>
      <c r="M4" s="105"/>
    </row>
    <row r="5" spans="1:13" ht="57.95" customHeight="1">
      <c r="A5" s="39" t="s">
        <v>260</v>
      </c>
      <c r="B5" s="2156" t="s">
        <v>3713</v>
      </c>
      <c r="C5" s="2156"/>
      <c r="D5" s="2156"/>
      <c r="E5" s="2156"/>
      <c r="F5" s="2156" t="s">
        <v>3759</v>
      </c>
      <c r="G5" s="2156"/>
      <c r="H5" s="2156"/>
      <c r="I5" s="2136"/>
      <c r="J5" s="2137"/>
      <c r="K5" s="2138"/>
      <c r="L5" s="2157"/>
      <c r="M5" s="2158"/>
    </row>
    <row r="6" spans="1:13" ht="41.1" customHeight="1">
      <c r="A6" s="39" t="s">
        <v>258</v>
      </c>
      <c r="B6" s="2159" t="s">
        <v>3715</v>
      </c>
      <c r="C6" s="2159"/>
      <c r="D6" s="2159"/>
      <c r="E6" s="2159"/>
      <c r="F6" s="2159"/>
      <c r="G6" s="2159"/>
      <c r="H6" s="1786"/>
      <c r="I6" s="1786"/>
      <c r="J6" s="1786"/>
      <c r="K6" s="1786"/>
      <c r="L6" s="178"/>
      <c r="M6" s="643"/>
    </row>
    <row r="7" spans="1:13" ht="32.1" customHeight="1">
      <c r="A7" s="630" t="s">
        <v>266</v>
      </c>
      <c r="B7" s="631" t="s">
        <v>267</v>
      </c>
      <c r="C7" s="631" t="s">
        <v>268</v>
      </c>
      <c r="D7" s="631" t="s">
        <v>269</v>
      </c>
      <c r="E7" s="631" t="s">
        <v>270</v>
      </c>
      <c r="F7" s="631" t="s">
        <v>271</v>
      </c>
      <c r="G7" s="632" t="s">
        <v>272</v>
      </c>
      <c r="H7" s="633" t="s">
        <v>273</v>
      </c>
      <c r="I7" s="631" t="s">
        <v>274</v>
      </c>
      <c r="J7" s="631" t="s">
        <v>275</v>
      </c>
      <c r="K7" s="631" t="s">
        <v>276</v>
      </c>
      <c r="L7" s="631" t="s">
        <v>277</v>
      </c>
      <c r="M7" s="644" t="s">
        <v>278</v>
      </c>
    </row>
    <row r="8" spans="1:13" ht="30.95" customHeight="1">
      <c r="A8" s="634" t="s">
        <v>3760</v>
      </c>
      <c r="B8" s="635">
        <v>12.5</v>
      </c>
      <c r="C8" s="635">
        <v>4937.5</v>
      </c>
      <c r="D8" s="635">
        <f>B8</f>
        <v>12.5</v>
      </c>
      <c r="E8" s="635">
        <f>C8</f>
        <v>4937.5</v>
      </c>
      <c r="F8" s="635"/>
      <c r="G8" s="636">
        <f t="shared" ref="G8:G33" si="0">E8*0.05</f>
        <v>246.875</v>
      </c>
      <c r="H8" s="637"/>
      <c r="I8" s="635"/>
      <c r="J8" s="635"/>
      <c r="K8" s="635"/>
      <c r="L8" s="635">
        <f t="shared" ref="L8:L34" si="1">E8-J8</f>
        <v>4937.5</v>
      </c>
      <c r="M8" s="645"/>
    </row>
    <row r="9" spans="1:13" ht="30.95" customHeight="1">
      <c r="A9" s="634" t="s">
        <v>3732</v>
      </c>
      <c r="B9" s="635">
        <v>484.5</v>
      </c>
      <c r="C9" s="635">
        <v>171552.5</v>
      </c>
      <c r="D9" s="635">
        <f t="shared" ref="D9:D34" si="2">D8+B9</f>
        <v>497</v>
      </c>
      <c r="E9" s="635">
        <f t="shared" ref="E9:E34" si="3">E8+C9</f>
        <v>176490</v>
      </c>
      <c r="F9" s="635"/>
      <c r="G9" s="636">
        <f t="shared" si="0"/>
        <v>8824.5</v>
      </c>
      <c r="H9" s="637">
        <f>C8*0.95</f>
        <v>4690.625</v>
      </c>
      <c r="I9" s="635"/>
      <c r="J9" s="635"/>
      <c r="K9" s="635">
        <f t="shared" ref="K9:K35" si="4">K8+H9-I9</f>
        <v>4690.625</v>
      </c>
      <c r="L9" s="635">
        <f t="shared" si="1"/>
        <v>176490</v>
      </c>
      <c r="M9" s="645"/>
    </row>
    <row r="10" spans="1:13" ht="30.95" customHeight="1">
      <c r="A10" s="634" t="s">
        <v>3734</v>
      </c>
      <c r="B10" s="259">
        <v>993</v>
      </c>
      <c r="C10" s="259">
        <v>350605</v>
      </c>
      <c r="D10" s="635">
        <f t="shared" si="2"/>
        <v>1490</v>
      </c>
      <c r="E10" s="635">
        <f t="shared" si="3"/>
        <v>527095</v>
      </c>
      <c r="F10" s="259"/>
      <c r="G10" s="636">
        <f t="shared" si="0"/>
        <v>26354.75</v>
      </c>
      <c r="H10" s="637">
        <f>C9*0.95</f>
        <v>162974.875</v>
      </c>
      <c r="I10" s="259"/>
      <c r="J10" s="259"/>
      <c r="K10" s="635">
        <f t="shared" si="4"/>
        <v>167665.5</v>
      </c>
      <c r="L10" s="635">
        <f t="shared" si="1"/>
        <v>527095</v>
      </c>
      <c r="M10" s="646"/>
    </row>
    <row r="11" spans="1:13" ht="30.95" customHeight="1">
      <c r="A11" s="634" t="s">
        <v>3736</v>
      </c>
      <c r="B11" s="181">
        <v>2392</v>
      </c>
      <c r="C11" s="181">
        <v>835440</v>
      </c>
      <c r="D11" s="635">
        <f t="shared" si="2"/>
        <v>3882</v>
      </c>
      <c r="E11" s="635">
        <f t="shared" si="3"/>
        <v>1362535</v>
      </c>
      <c r="F11" s="259"/>
      <c r="G11" s="636">
        <f t="shared" si="0"/>
        <v>68126.75</v>
      </c>
      <c r="H11" s="637">
        <f>C10*0.95</f>
        <v>333074.75</v>
      </c>
      <c r="I11" s="259"/>
      <c r="J11" s="259"/>
      <c r="K11" s="635">
        <f t="shared" si="4"/>
        <v>500740.25</v>
      </c>
      <c r="L11" s="635">
        <f t="shared" si="1"/>
        <v>1362535</v>
      </c>
      <c r="M11" s="646"/>
    </row>
    <row r="12" spans="1:13" ht="30.95" customHeight="1">
      <c r="A12" s="638" t="s">
        <v>787</v>
      </c>
      <c r="B12" s="259"/>
      <c r="C12" s="259">
        <v>-10235</v>
      </c>
      <c r="D12" s="635">
        <f t="shared" si="2"/>
        <v>3882</v>
      </c>
      <c r="E12" s="635">
        <f t="shared" si="3"/>
        <v>1352300</v>
      </c>
      <c r="F12" s="259"/>
      <c r="G12" s="636">
        <f t="shared" si="0"/>
        <v>67615</v>
      </c>
      <c r="H12" s="637">
        <f t="shared" ref="H12:H33" si="5">C11*0.95</f>
        <v>793668</v>
      </c>
      <c r="I12" s="259"/>
      <c r="J12" s="259"/>
      <c r="K12" s="635">
        <f t="shared" si="4"/>
        <v>1294408.25</v>
      </c>
      <c r="L12" s="635">
        <f t="shared" si="1"/>
        <v>1352300</v>
      </c>
      <c r="M12" s="646"/>
    </row>
    <row r="13" spans="1:13" ht="30.95" customHeight="1">
      <c r="A13" s="638" t="s">
        <v>3761</v>
      </c>
      <c r="B13" s="259">
        <v>4348.5</v>
      </c>
      <c r="C13" s="259">
        <v>1539092.5</v>
      </c>
      <c r="D13" s="635">
        <f t="shared" si="2"/>
        <v>8230.5</v>
      </c>
      <c r="E13" s="635">
        <f t="shared" si="3"/>
        <v>2891392.5</v>
      </c>
      <c r="F13" s="259"/>
      <c r="G13" s="636">
        <f t="shared" si="0"/>
        <v>144569.625</v>
      </c>
      <c r="H13" s="637">
        <f t="shared" si="5"/>
        <v>-9723.25</v>
      </c>
      <c r="I13" s="259">
        <v>850000</v>
      </c>
      <c r="J13" s="259">
        <f>I13</f>
        <v>850000</v>
      </c>
      <c r="K13" s="635">
        <f t="shared" si="4"/>
        <v>434685</v>
      </c>
      <c r="L13" s="635">
        <f t="shared" si="1"/>
        <v>2041392.5</v>
      </c>
      <c r="M13" s="646" t="s">
        <v>3762</v>
      </c>
    </row>
    <row r="14" spans="1:13" ht="30.95" customHeight="1">
      <c r="A14" s="638" t="s">
        <v>3763</v>
      </c>
      <c r="B14" s="259">
        <v>10415.5</v>
      </c>
      <c r="C14" s="259">
        <v>3764125</v>
      </c>
      <c r="D14" s="635">
        <f t="shared" si="2"/>
        <v>18646</v>
      </c>
      <c r="E14" s="635">
        <f t="shared" si="3"/>
        <v>6655517.5</v>
      </c>
      <c r="F14" s="259"/>
      <c r="G14" s="636">
        <f t="shared" si="0"/>
        <v>332775.875</v>
      </c>
      <c r="H14" s="637">
        <f t="shared" si="5"/>
        <v>1462137.875</v>
      </c>
      <c r="I14" s="259">
        <v>330136</v>
      </c>
      <c r="J14" s="259">
        <f t="shared" ref="J14:J34" si="6">I14+J13</f>
        <v>1180136</v>
      </c>
      <c r="K14" s="635">
        <f t="shared" si="4"/>
        <v>1566686.875</v>
      </c>
      <c r="L14" s="635">
        <f t="shared" si="1"/>
        <v>5475381.5</v>
      </c>
      <c r="M14" s="646" t="s">
        <v>3764</v>
      </c>
    </row>
    <row r="15" spans="1:13" ht="30.95" customHeight="1">
      <c r="A15" s="638" t="s">
        <v>3765</v>
      </c>
      <c r="B15" s="259">
        <v>9980.5</v>
      </c>
      <c r="C15" s="259">
        <v>3614682.5</v>
      </c>
      <c r="D15" s="635">
        <f t="shared" si="2"/>
        <v>28626.5</v>
      </c>
      <c r="E15" s="635">
        <f t="shared" si="3"/>
        <v>10270200</v>
      </c>
      <c r="F15" s="259"/>
      <c r="G15" s="636">
        <f t="shared" si="0"/>
        <v>513510</v>
      </c>
      <c r="H15" s="637">
        <f t="shared" si="5"/>
        <v>3575918.75</v>
      </c>
      <c r="I15" s="259"/>
      <c r="J15" s="259">
        <f t="shared" si="6"/>
        <v>1180136</v>
      </c>
      <c r="K15" s="635">
        <f t="shared" si="4"/>
        <v>5142605.625</v>
      </c>
      <c r="L15" s="635">
        <f t="shared" si="1"/>
        <v>9090064</v>
      </c>
      <c r="M15" s="646"/>
    </row>
    <row r="16" spans="1:13" ht="30.95" customHeight="1">
      <c r="A16" s="638" t="s">
        <v>789</v>
      </c>
      <c r="B16" s="369"/>
      <c r="C16" s="369">
        <v>-396387</v>
      </c>
      <c r="D16" s="635">
        <f t="shared" si="2"/>
        <v>28626.5</v>
      </c>
      <c r="E16" s="635">
        <f t="shared" si="3"/>
        <v>9873813</v>
      </c>
      <c r="F16" s="259"/>
      <c r="G16" s="636">
        <f t="shared" si="0"/>
        <v>493690.65</v>
      </c>
      <c r="H16" s="637">
        <f t="shared" si="5"/>
        <v>3433948.375</v>
      </c>
      <c r="I16" s="259">
        <v>4772895</v>
      </c>
      <c r="J16" s="259">
        <f t="shared" si="6"/>
        <v>5953031</v>
      </c>
      <c r="K16" s="635">
        <f t="shared" si="4"/>
        <v>3803659</v>
      </c>
      <c r="L16" s="635">
        <f t="shared" si="1"/>
        <v>3920782</v>
      </c>
      <c r="M16" s="646" t="s">
        <v>3766</v>
      </c>
    </row>
    <row r="17" spans="1:13" ht="30.95" customHeight="1">
      <c r="A17" s="481" t="s">
        <v>3767</v>
      </c>
      <c r="B17" s="540">
        <v>5389.5</v>
      </c>
      <c r="C17" s="540">
        <v>1927530</v>
      </c>
      <c r="D17" s="635">
        <f t="shared" si="2"/>
        <v>34016</v>
      </c>
      <c r="E17" s="635">
        <f t="shared" si="3"/>
        <v>11801343</v>
      </c>
      <c r="F17" s="259"/>
      <c r="G17" s="636">
        <f t="shared" si="0"/>
        <v>590067.15</v>
      </c>
      <c r="H17" s="637">
        <f t="shared" si="5"/>
        <v>-376567.64999999997</v>
      </c>
      <c r="I17" s="259">
        <v>500000</v>
      </c>
      <c r="J17" s="259">
        <f t="shared" si="6"/>
        <v>6453031</v>
      </c>
      <c r="K17" s="635">
        <f t="shared" si="4"/>
        <v>2927091.35</v>
      </c>
      <c r="L17" s="635">
        <f t="shared" si="1"/>
        <v>5348312</v>
      </c>
      <c r="M17" s="646" t="s">
        <v>3768</v>
      </c>
    </row>
    <row r="18" spans="1:13" ht="30.95" customHeight="1">
      <c r="A18" s="481" t="s">
        <v>3769</v>
      </c>
      <c r="B18" s="635">
        <v>6627.5</v>
      </c>
      <c r="C18" s="635">
        <v>2398630</v>
      </c>
      <c r="D18" s="635">
        <f t="shared" si="2"/>
        <v>40643.5</v>
      </c>
      <c r="E18" s="635">
        <f t="shared" si="3"/>
        <v>14199973</v>
      </c>
      <c r="F18" s="259"/>
      <c r="G18" s="636">
        <f t="shared" si="0"/>
        <v>709998.65</v>
      </c>
      <c r="H18" s="637">
        <f t="shared" si="5"/>
        <v>1831153.5</v>
      </c>
      <c r="I18" s="259">
        <f>1000000+3000000</f>
        <v>4000000</v>
      </c>
      <c r="J18" s="259">
        <f t="shared" si="6"/>
        <v>10453031</v>
      </c>
      <c r="K18" s="635">
        <f t="shared" si="4"/>
        <v>758244.84999999963</v>
      </c>
      <c r="L18" s="635">
        <f t="shared" si="1"/>
        <v>3746942</v>
      </c>
      <c r="M18" s="646" t="s">
        <v>3770</v>
      </c>
    </row>
    <row r="19" spans="1:13" ht="30.95" customHeight="1">
      <c r="A19" s="481" t="s">
        <v>3771</v>
      </c>
      <c r="B19" s="181">
        <v>2756.5</v>
      </c>
      <c r="C19" s="181">
        <v>979172.5</v>
      </c>
      <c r="D19" s="635">
        <f t="shared" si="2"/>
        <v>43400</v>
      </c>
      <c r="E19" s="635">
        <f t="shared" si="3"/>
        <v>15179145.5</v>
      </c>
      <c r="F19" s="259"/>
      <c r="G19" s="636">
        <f t="shared" si="0"/>
        <v>758957.27500000002</v>
      </c>
      <c r="H19" s="637">
        <f t="shared" si="5"/>
        <v>2278698.5</v>
      </c>
      <c r="I19" s="259"/>
      <c r="J19" s="259">
        <f t="shared" si="6"/>
        <v>10453031</v>
      </c>
      <c r="K19" s="635">
        <f t="shared" si="4"/>
        <v>3036943.3499999996</v>
      </c>
      <c r="L19" s="635">
        <f t="shared" si="1"/>
        <v>4726114.5</v>
      </c>
      <c r="M19" s="646" t="s">
        <v>3772</v>
      </c>
    </row>
    <row r="20" spans="1:13" ht="30.95" customHeight="1">
      <c r="A20" s="639" t="s">
        <v>1572</v>
      </c>
      <c r="B20" s="635"/>
      <c r="C20" s="640">
        <v>-2207509</v>
      </c>
      <c r="D20" s="635">
        <f t="shared" si="2"/>
        <v>43400</v>
      </c>
      <c r="E20" s="635">
        <f t="shared" si="3"/>
        <v>12971636.5</v>
      </c>
      <c r="F20" s="259"/>
      <c r="G20" s="636">
        <f t="shared" si="0"/>
        <v>648581.82500000007</v>
      </c>
      <c r="H20" s="637">
        <f t="shared" si="5"/>
        <v>930213.875</v>
      </c>
      <c r="I20" s="259">
        <v>1000000</v>
      </c>
      <c r="J20" s="259">
        <f t="shared" si="6"/>
        <v>11453031</v>
      </c>
      <c r="K20" s="635">
        <f t="shared" si="4"/>
        <v>2967157.2249999996</v>
      </c>
      <c r="L20" s="635">
        <f t="shared" si="1"/>
        <v>1518605.5</v>
      </c>
      <c r="M20" s="646"/>
    </row>
    <row r="21" spans="1:13" ht="30.95" customHeight="1">
      <c r="A21" s="638" t="s">
        <v>3744</v>
      </c>
      <c r="B21" s="635">
        <v>4250</v>
      </c>
      <c r="C21" s="635">
        <v>1522490</v>
      </c>
      <c r="D21" s="635">
        <f t="shared" si="2"/>
        <v>47650</v>
      </c>
      <c r="E21" s="635">
        <f t="shared" si="3"/>
        <v>14494126.5</v>
      </c>
      <c r="F21" s="259"/>
      <c r="G21" s="636">
        <f t="shared" si="0"/>
        <v>724706.32500000007</v>
      </c>
      <c r="H21" s="637">
        <f t="shared" si="5"/>
        <v>-2097133.5499999998</v>
      </c>
      <c r="I21" s="259"/>
      <c r="J21" s="259">
        <f t="shared" si="6"/>
        <v>11453031</v>
      </c>
      <c r="K21" s="635">
        <f t="shared" si="4"/>
        <v>870023.67499999981</v>
      </c>
      <c r="L21" s="635">
        <f t="shared" si="1"/>
        <v>3041095.5</v>
      </c>
      <c r="M21" s="647" t="s">
        <v>3773</v>
      </c>
    </row>
    <row r="22" spans="1:13" ht="30.95" customHeight="1">
      <c r="A22" s="638" t="s">
        <v>3774</v>
      </c>
      <c r="B22" s="259">
        <v>3785.5</v>
      </c>
      <c r="C22" s="259">
        <v>1338630</v>
      </c>
      <c r="D22" s="635">
        <f t="shared" si="2"/>
        <v>51435.5</v>
      </c>
      <c r="E22" s="635">
        <f t="shared" si="3"/>
        <v>15832756.5</v>
      </c>
      <c r="F22" s="259"/>
      <c r="G22" s="636">
        <f t="shared" si="0"/>
        <v>791637.82500000007</v>
      </c>
      <c r="H22" s="637">
        <f t="shared" si="5"/>
        <v>1446365.5</v>
      </c>
      <c r="I22" s="259"/>
      <c r="J22" s="259">
        <f t="shared" si="6"/>
        <v>11453031</v>
      </c>
      <c r="K22" s="635">
        <f t="shared" si="4"/>
        <v>2316389.1749999998</v>
      </c>
      <c r="L22" s="635">
        <f t="shared" si="1"/>
        <v>4379725.5</v>
      </c>
      <c r="M22" s="646"/>
    </row>
    <row r="23" spans="1:13" ht="30.95" customHeight="1">
      <c r="A23" s="481" t="s">
        <v>1574</v>
      </c>
      <c r="B23" s="181"/>
      <c r="C23" s="181">
        <v>-1227909</v>
      </c>
      <c r="D23" s="635">
        <f t="shared" si="2"/>
        <v>51435.5</v>
      </c>
      <c r="E23" s="635">
        <f t="shared" si="3"/>
        <v>14604847.5</v>
      </c>
      <c r="F23" s="259"/>
      <c r="G23" s="636">
        <f t="shared" si="0"/>
        <v>730242.375</v>
      </c>
      <c r="H23" s="637">
        <f t="shared" si="5"/>
        <v>1271698.5</v>
      </c>
      <c r="I23" s="259"/>
      <c r="J23" s="259">
        <f t="shared" si="6"/>
        <v>11453031</v>
      </c>
      <c r="K23" s="635">
        <f t="shared" si="4"/>
        <v>3588087.6749999998</v>
      </c>
      <c r="L23" s="635">
        <f t="shared" si="1"/>
        <v>3151816.5</v>
      </c>
      <c r="M23" s="646"/>
    </row>
    <row r="24" spans="1:13" ht="30.95" customHeight="1">
      <c r="A24" s="638" t="s">
        <v>3775</v>
      </c>
      <c r="B24" s="259">
        <v>1918</v>
      </c>
      <c r="C24" s="259">
        <v>679800</v>
      </c>
      <c r="D24" s="635">
        <f t="shared" si="2"/>
        <v>53353.5</v>
      </c>
      <c r="E24" s="635">
        <f t="shared" si="3"/>
        <v>15284647.5</v>
      </c>
      <c r="F24" s="259"/>
      <c r="G24" s="636">
        <f t="shared" si="0"/>
        <v>764232.375</v>
      </c>
      <c r="H24" s="637">
        <f t="shared" si="5"/>
        <v>-1166513.55</v>
      </c>
      <c r="I24" s="259"/>
      <c r="J24" s="259">
        <f t="shared" si="6"/>
        <v>11453031</v>
      </c>
      <c r="K24" s="635">
        <f t="shared" si="4"/>
        <v>2421574.125</v>
      </c>
      <c r="L24" s="635">
        <f t="shared" si="1"/>
        <v>3831616.5</v>
      </c>
      <c r="M24" s="646"/>
    </row>
    <row r="25" spans="1:13" ht="30.95" customHeight="1">
      <c r="A25" s="638" t="s">
        <v>3776</v>
      </c>
      <c r="B25" s="259">
        <v>2662.5</v>
      </c>
      <c r="C25" s="259">
        <v>936810</v>
      </c>
      <c r="D25" s="635">
        <f t="shared" si="2"/>
        <v>56016</v>
      </c>
      <c r="E25" s="635">
        <f t="shared" si="3"/>
        <v>16221457.5</v>
      </c>
      <c r="F25" s="259"/>
      <c r="G25" s="636">
        <f t="shared" si="0"/>
        <v>811072.875</v>
      </c>
      <c r="H25" s="637">
        <f t="shared" si="5"/>
        <v>645810</v>
      </c>
      <c r="I25" s="259"/>
      <c r="J25" s="259">
        <f t="shared" si="6"/>
        <v>11453031</v>
      </c>
      <c r="K25" s="635">
        <f t="shared" si="4"/>
        <v>3067384.125</v>
      </c>
      <c r="L25" s="635">
        <f t="shared" si="1"/>
        <v>4768426.5</v>
      </c>
      <c r="M25" s="646"/>
    </row>
    <row r="26" spans="1:13" ht="30.95" customHeight="1">
      <c r="A26" s="481" t="s">
        <v>1575</v>
      </c>
      <c r="B26" s="181"/>
      <c r="C26" s="181">
        <v>-911011</v>
      </c>
      <c r="D26" s="635">
        <f t="shared" si="2"/>
        <v>56016</v>
      </c>
      <c r="E26" s="635">
        <f t="shared" si="3"/>
        <v>15310446.5</v>
      </c>
      <c r="F26" s="259"/>
      <c r="G26" s="636">
        <f t="shared" si="0"/>
        <v>765522.32500000007</v>
      </c>
      <c r="H26" s="637">
        <f t="shared" si="5"/>
        <v>889969.5</v>
      </c>
      <c r="I26" s="259"/>
      <c r="J26" s="259">
        <f t="shared" si="6"/>
        <v>11453031</v>
      </c>
      <c r="K26" s="635">
        <f t="shared" si="4"/>
        <v>3957353.625</v>
      </c>
      <c r="L26" s="635">
        <f t="shared" si="1"/>
        <v>3857415.5</v>
      </c>
      <c r="M26" s="646"/>
    </row>
    <row r="27" spans="1:13" ht="30.95" customHeight="1">
      <c r="A27" s="481" t="s">
        <v>3777</v>
      </c>
      <c r="B27" s="259">
        <v>3035.5</v>
      </c>
      <c r="C27" s="259">
        <v>1056947.5</v>
      </c>
      <c r="D27" s="635">
        <f t="shared" si="2"/>
        <v>59051.5</v>
      </c>
      <c r="E27" s="635">
        <f t="shared" si="3"/>
        <v>16367394</v>
      </c>
      <c r="F27" s="259"/>
      <c r="G27" s="636">
        <f t="shared" si="0"/>
        <v>818369.70000000007</v>
      </c>
      <c r="H27" s="637">
        <f t="shared" si="5"/>
        <v>-865460.45</v>
      </c>
      <c r="I27" s="259">
        <v>3083820</v>
      </c>
      <c r="J27" s="259">
        <f t="shared" si="6"/>
        <v>14536851</v>
      </c>
      <c r="K27" s="635">
        <f t="shared" si="4"/>
        <v>8073.1749999998137</v>
      </c>
      <c r="L27" s="635">
        <f t="shared" si="1"/>
        <v>1830543</v>
      </c>
      <c r="M27" s="646"/>
    </row>
    <row r="28" spans="1:13" ht="30.95" customHeight="1">
      <c r="A28" s="481" t="s">
        <v>3748</v>
      </c>
      <c r="B28" s="259">
        <v>2105.5</v>
      </c>
      <c r="C28" s="259">
        <v>731945</v>
      </c>
      <c r="D28" s="635">
        <f t="shared" si="2"/>
        <v>61157</v>
      </c>
      <c r="E28" s="635">
        <f t="shared" si="3"/>
        <v>17099339</v>
      </c>
      <c r="F28" s="259"/>
      <c r="G28" s="636">
        <f t="shared" si="0"/>
        <v>854966.95000000007</v>
      </c>
      <c r="H28" s="637">
        <f t="shared" si="5"/>
        <v>1004100.125</v>
      </c>
      <c r="I28" s="259">
        <v>200000</v>
      </c>
      <c r="J28" s="259">
        <f t="shared" si="6"/>
        <v>14736851</v>
      </c>
      <c r="K28" s="635">
        <f t="shared" si="4"/>
        <v>812173.29999999981</v>
      </c>
      <c r="L28" s="635">
        <f t="shared" si="1"/>
        <v>2362488</v>
      </c>
      <c r="M28" s="646" t="s">
        <v>3778</v>
      </c>
    </row>
    <row r="29" spans="1:13" ht="30.95" customHeight="1">
      <c r="A29" s="481" t="s">
        <v>3749</v>
      </c>
      <c r="B29" s="259">
        <v>988</v>
      </c>
      <c r="C29" s="259">
        <v>331520</v>
      </c>
      <c r="D29" s="635">
        <f t="shared" si="2"/>
        <v>62145</v>
      </c>
      <c r="E29" s="635">
        <f t="shared" si="3"/>
        <v>17430859</v>
      </c>
      <c r="F29" s="259"/>
      <c r="G29" s="636">
        <f t="shared" si="0"/>
        <v>871542.95000000007</v>
      </c>
      <c r="H29" s="637">
        <f t="shared" si="5"/>
        <v>695347.75</v>
      </c>
      <c r="I29" s="259"/>
      <c r="J29" s="259">
        <f t="shared" si="6"/>
        <v>14736851</v>
      </c>
      <c r="K29" s="635">
        <f t="shared" si="4"/>
        <v>1507521.0499999998</v>
      </c>
      <c r="L29" s="635">
        <f t="shared" si="1"/>
        <v>2694008</v>
      </c>
      <c r="M29" s="646"/>
    </row>
    <row r="30" spans="1:13" ht="30.95" customHeight="1">
      <c r="A30" s="481" t="s">
        <v>3750</v>
      </c>
      <c r="B30" s="259">
        <v>594</v>
      </c>
      <c r="C30" s="259">
        <v>201440</v>
      </c>
      <c r="D30" s="635">
        <f t="shared" si="2"/>
        <v>62739</v>
      </c>
      <c r="E30" s="635">
        <f t="shared" si="3"/>
        <v>17632299</v>
      </c>
      <c r="F30" s="369"/>
      <c r="G30" s="636">
        <f t="shared" si="0"/>
        <v>881614.95000000007</v>
      </c>
      <c r="H30" s="637">
        <f t="shared" si="5"/>
        <v>314944</v>
      </c>
      <c r="I30" s="259">
        <v>1000000</v>
      </c>
      <c r="J30" s="259">
        <f t="shared" si="6"/>
        <v>15736851</v>
      </c>
      <c r="K30" s="635">
        <f t="shared" si="4"/>
        <v>822465.04999999981</v>
      </c>
      <c r="L30" s="635">
        <f t="shared" si="1"/>
        <v>1895448</v>
      </c>
      <c r="M30" s="646" t="s">
        <v>3779</v>
      </c>
    </row>
    <row r="31" spans="1:13" ht="30.95" customHeight="1">
      <c r="A31" s="481" t="s">
        <v>1577</v>
      </c>
      <c r="B31" s="259"/>
      <c r="C31" s="259">
        <v>-613286</v>
      </c>
      <c r="D31" s="635">
        <f t="shared" si="2"/>
        <v>62739</v>
      </c>
      <c r="E31" s="635">
        <f t="shared" si="3"/>
        <v>17019013</v>
      </c>
      <c r="F31" s="369"/>
      <c r="G31" s="636">
        <f t="shared" si="0"/>
        <v>850950.65</v>
      </c>
      <c r="H31" s="637">
        <f t="shared" si="5"/>
        <v>191368</v>
      </c>
      <c r="I31" s="259"/>
      <c r="J31" s="259">
        <f t="shared" si="6"/>
        <v>15736851</v>
      </c>
      <c r="K31" s="635">
        <f t="shared" si="4"/>
        <v>1013833.0499999998</v>
      </c>
      <c r="L31" s="635">
        <f t="shared" si="1"/>
        <v>1282162</v>
      </c>
      <c r="M31" s="646"/>
    </row>
    <row r="32" spans="1:13" ht="48" customHeight="1">
      <c r="A32" s="481" t="s">
        <v>3751</v>
      </c>
      <c r="B32" s="259">
        <v>117</v>
      </c>
      <c r="C32" s="259">
        <v>40247.5</v>
      </c>
      <c r="D32" s="635">
        <f t="shared" si="2"/>
        <v>62856</v>
      </c>
      <c r="E32" s="635">
        <f t="shared" si="3"/>
        <v>17059260.5</v>
      </c>
      <c r="F32" s="369"/>
      <c r="G32" s="636">
        <f t="shared" si="0"/>
        <v>852963.02500000002</v>
      </c>
      <c r="H32" s="637">
        <f t="shared" si="5"/>
        <v>-582621.69999999995</v>
      </c>
      <c r="I32" s="259"/>
      <c r="J32" s="259">
        <f t="shared" si="6"/>
        <v>15736851</v>
      </c>
      <c r="K32" s="635">
        <f t="shared" si="4"/>
        <v>431211.34999999986</v>
      </c>
      <c r="L32" s="635">
        <f t="shared" si="1"/>
        <v>1322409.5</v>
      </c>
      <c r="M32" s="646"/>
    </row>
    <row r="33" spans="1:13" ht="48" customHeight="1">
      <c r="A33" s="481" t="s">
        <v>3753</v>
      </c>
      <c r="B33" s="259">
        <v>36</v>
      </c>
      <c r="C33" s="259">
        <v>11700</v>
      </c>
      <c r="D33" s="635">
        <f t="shared" si="2"/>
        <v>62892</v>
      </c>
      <c r="E33" s="635">
        <f t="shared" si="3"/>
        <v>17070960.5</v>
      </c>
      <c r="F33" s="369"/>
      <c r="G33" s="636">
        <f t="shared" si="0"/>
        <v>853548.02500000002</v>
      </c>
      <c r="H33" s="637">
        <f t="shared" si="5"/>
        <v>38235.125</v>
      </c>
      <c r="I33" s="259"/>
      <c r="J33" s="259">
        <f t="shared" si="6"/>
        <v>15736851</v>
      </c>
      <c r="K33" s="635">
        <f t="shared" si="4"/>
        <v>469446.47499999986</v>
      </c>
      <c r="L33" s="635">
        <f t="shared" si="1"/>
        <v>1334109.5</v>
      </c>
      <c r="M33" s="646"/>
    </row>
    <row r="34" spans="1:13" ht="48" customHeight="1">
      <c r="A34" s="481" t="s">
        <v>672</v>
      </c>
      <c r="B34" s="259"/>
      <c r="C34" s="259">
        <v>-105472</v>
      </c>
      <c r="D34" s="635">
        <f t="shared" si="2"/>
        <v>62892</v>
      </c>
      <c r="E34" s="635">
        <f t="shared" si="3"/>
        <v>16965488.5</v>
      </c>
      <c r="F34" s="369"/>
      <c r="G34" s="636">
        <f>C33*0.05</f>
        <v>585</v>
      </c>
      <c r="H34" s="637">
        <f>C33*0.95+E32*0.05</f>
        <v>864078.02500000002</v>
      </c>
      <c r="I34" s="259">
        <v>506640</v>
      </c>
      <c r="J34" s="259">
        <f t="shared" si="6"/>
        <v>16243491</v>
      </c>
      <c r="K34" s="635">
        <f t="shared" si="4"/>
        <v>826884.5</v>
      </c>
      <c r="L34" s="635">
        <f t="shared" si="1"/>
        <v>721997.5</v>
      </c>
      <c r="M34" s="646" t="s">
        <v>3755</v>
      </c>
    </row>
    <row r="35" spans="1:13" ht="48" customHeight="1">
      <c r="A35" s="481"/>
      <c r="B35" s="259"/>
      <c r="C35" s="259"/>
      <c r="D35" s="635"/>
      <c r="E35" s="635"/>
      <c r="F35" s="369"/>
      <c r="G35" s="260"/>
      <c r="H35" s="637">
        <f>C34</f>
        <v>-105472</v>
      </c>
      <c r="I35" s="259"/>
      <c r="J35" s="259"/>
      <c r="K35" s="635">
        <f t="shared" si="4"/>
        <v>721412.5</v>
      </c>
      <c r="L35" s="259"/>
      <c r="M35" s="646" t="s">
        <v>3780</v>
      </c>
    </row>
    <row r="36" spans="1:13" ht="48" customHeight="1">
      <c r="A36" s="481">
        <v>42979</v>
      </c>
      <c r="B36" s="259"/>
      <c r="C36" s="259">
        <v>-105472</v>
      </c>
      <c r="D36" s="635">
        <v>62892</v>
      </c>
      <c r="E36" s="635">
        <v>16965488.5</v>
      </c>
      <c r="F36" s="369"/>
      <c r="G36" s="260">
        <v>585</v>
      </c>
      <c r="H36" s="637">
        <v>864078.02500000002</v>
      </c>
      <c r="I36" s="259">
        <v>506640</v>
      </c>
      <c r="J36" s="259">
        <v>16243491</v>
      </c>
      <c r="K36" s="635">
        <v>826884.5</v>
      </c>
      <c r="L36" s="259">
        <v>721997.5</v>
      </c>
      <c r="M36" s="646" t="s">
        <v>3755</v>
      </c>
    </row>
    <row r="37" spans="1:13" ht="48" customHeight="1">
      <c r="A37" s="481"/>
      <c r="B37" s="259"/>
      <c r="C37" s="259"/>
      <c r="D37" s="635"/>
      <c r="E37" s="635"/>
      <c r="F37" s="369"/>
      <c r="G37" s="260"/>
      <c r="H37" s="637"/>
      <c r="I37" s="259"/>
      <c r="J37" s="259"/>
      <c r="K37" s="635"/>
      <c r="L37" s="259"/>
      <c r="M37" s="646"/>
    </row>
    <row r="38" spans="1:13" ht="30.95" customHeight="1">
      <c r="A38" s="641"/>
      <c r="B38" s="259"/>
      <c r="C38" s="259"/>
      <c r="D38" s="259"/>
      <c r="E38" s="259"/>
      <c r="F38" s="259"/>
      <c r="G38" s="260"/>
      <c r="H38" s="261"/>
      <c r="I38" s="259"/>
      <c r="J38" s="259"/>
      <c r="K38" s="259"/>
      <c r="L38" s="259"/>
      <c r="M38" s="646"/>
    </row>
  </sheetData>
  <mergeCells count="15">
    <mergeCell ref="B3:C3"/>
    <mergeCell ref="E3:I3"/>
    <mergeCell ref="E1:E2"/>
    <mergeCell ref="F1:H2"/>
    <mergeCell ref="A1:B2"/>
    <mergeCell ref="C1:D2"/>
    <mergeCell ref="J1:L1"/>
    <mergeCell ref="J2:M2"/>
    <mergeCell ref="B4:C4"/>
    <mergeCell ref="B5:E5"/>
    <mergeCell ref="F5:H5"/>
    <mergeCell ref="I5:K5"/>
    <mergeCell ref="L5:M5"/>
    <mergeCell ref="B6:G6"/>
    <mergeCell ref="H6:K6"/>
  </mergeCells>
  <phoneticPr fontId="84" type="noConversion"/>
  <pageMargins left="0.75" right="0.75" top="1" bottom="1" header="0.51" footer="0.51"/>
  <pageSetup paperSize="9" orientation="portrait" horizontalDpi="200" verticalDpi="200"/>
  <headerFooter scaleWithDoc="0"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33"/>
  <sheetViews>
    <sheetView topLeftCell="A18" zoomScaleSheetLayoutView="100" workbookViewId="0">
      <selection activeCell="B23" sqref="B23:M23"/>
    </sheetView>
  </sheetViews>
  <sheetFormatPr defaultColWidth="9" defaultRowHeight="14.25"/>
  <cols>
    <col min="1" max="1" width="19.25" customWidth="1"/>
    <col min="2" max="2" width="15.5" customWidth="1"/>
    <col min="3" max="3" width="16.875" customWidth="1"/>
    <col min="4" max="4" width="13.625" customWidth="1"/>
    <col min="5" max="5" width="13.125" customWidth="1"/>
    <col min="6" max="6" width="12.125" customWidth="1"/>
    <col min="7" max="8" width="12.625" customWidth="1"/>
    <col min="9" max="9" width="13.25" customWidth="1"/>
    <col min="10" max="11" width="18.375" customWidth="1"/>
    <col min="12" max="12" width="14.125" customWidth="1"/>
    <col min="13" max="13" width="43.25" customWidth="1"/>
    <col min="17" max="18" width="13.625" customWidth="1"/>
    <col min="19" max="19" width="14.25" customWidth="1"/>
    <col min="20" max="20" width="9.375" bestFit="1" customWidth="1"/>
    <col min="21" max="21" width="12.375" customWidth="1"/>
  </cols>
  <sheetData>
    <row r="1" spans="1:22" ht="108" customHeight="1">
      <c r="A1" s="349" t="s">
        <v>556</v>
      </c>
      <c r="B1" s="852"/>
      <c r="C1" s="377" t="s">
        <v>609</v>
      </c>
      <c r="D1" s="1437" t="s">
        <v>558</v>
      </c>
      <c r="E1" s="1691" t="s">
        <v>559</v>
      </c>
      <c r="F1" s="1692"/>
      <c r="G1" s="1692"/>
      <c r="H1" s="1693"/>
      <c r="I1" s="500" t="s">
        <v>560</v>
      </c>
      <c r="J1" s="1694" t="s">
        <v>610</v>
      </c>
      <c r="K1" s="1694"/>
      <c r="L1" s="1695" t="s">
        <v>611</v>
      </c>
      <c r="M1" s="1696"/>
      <c r="Q1" s="1450"/>
      <c r="R1" s="1450"/>
    </row>
    <row r="2" spans="1:22" ht="66.95" customHeight="1">
      <c r="A2" s="133" t="s">
        <v>240</v>
      </c>
      <c r="B2" s="1682" t="s">
        <v>563</v>
      </c>
      <c r="C2" s="1682"/>
      <c r="D2" s="134" t="s">
        <v>242</v>
      </c>
      <c r="E2" s="1689"/>
      <c r="F2" s="1689"/>
      <c r="G2" s="1689"/>
      <c r="H2" s="1689"/>
      <c r="I2" s="166" t="s">
        <v>243</v>
      </c>
      <c r="J2" s="166" t="s">
        <v>321</v>
      </c>
      <c r="K2" s="310" t="s">
        <v>421</v>
      </c>
      <c r="L2" s="166" t="s">
        <v>245</v>
      </c>
      <c r="M2" s="241" t="s">
        <v>612</v>
      </c>
    </row>
    <row r="3" spans="1:22" ht="34.5" customHeight="1">
      <c r="A3" s="133" t="s">
        <v>247</v>
      </c>
      <c r="B3" s="1682" t="s">
        <v>4</v>
      </c>
      <c r="C3" s="1682"/>
      <c r="D3" s="134" t="s">
        <v>249</v>
      </c>
      <c r="E3" s="136">
        <v>70000</v>
      </c>
      <c r="F3" s="134" t="s">
        <v>251</v>
      </c>
      <c r="G3" s="134"/>
      <c r="H3" s="134" t="s">
        <v>252</v>
      </c>
      <c r="I3" s="137"/>
      <c r="J3" s="15" t="s">
        <v>565</v>
      </c>
      <c r="K3" s="15" t="s">
        <v>566</v>
      </c>
      <c r="L3" s="15" t="s">
        <v>255</v>
      </c>
      <c r="M3" s="92" t="s">
        <v>567</v>
      </c>
    </row>
    <row r="4" spans="1:22" ht="81" customHeight="1">
      <c r="A4" s="133" t="s">
        <v>260</v>
      </c>
      <c r="B4" s="1683" t="s">
        <v>613</v>
      </c>
      <c r="C4" s="1684"/>
      <c r="D4" s="1684"/>
      <c r="E4" s="1684"/>
      <c r="F4" s="1684"/>
      <c r="G4" s="1684"/>
      <c r="H4" s="1684"/>
      <c r="I4" s="1685"/>
      <c r="J4" s="1686"/>
      <c r="K4" s="1686"/>
      <c r="L4" s="1686"/>
      <c r="M4" s="1687"/>
    </row>
    <row r="5" spans="1:22" ht="38.1" customHeight="1">
      <c r="A5" s="1688" t="s">
        <v>570</v>
      </c>
      <c r="B5" s="1689"/>
      <c r="C5" s="1689"/>
      <c r="D5" s="1690"/>
      <c r="E5" s="1690"/>
      <c r="F5" s="1690"/>
      <c r="G5" s="1690"/>
      <c r="H5" s="1690"/>
      <c r="I5" s="1690"/>
      <c r="J5" s="169"/>
      <c r="K5" s="169"/>
      <c r="L5" s="169"/>
      <c r="M5" s="264"/>
    </row>
    <row r="6" spans="1:22" ht="35.1" customHeight="1">
      <c r="A6" s="357"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22" ht="36" customHeight="1">
      <c r="A7" s="1438" t="s">
        <v>590</v>
      </c>
      <c r="B7" s="181">
        <f>1227</f>
        <v>1227</v>
      </c>
      <c r="C7" s="181">
        <f>403476</f>
        <v>403476</v>
      </c>
      <c r="D7" s="304">
        <f>B7</f>
        <v>1227</v>
      </c>
      <c r="E7" s="304">
        <f>C7</f>
        <v>403476</v>
      </c>
      <c r="F7" s="304">
        <f t="shared" ref="F7:F21" si="0">70000-D7</f>
        <v>68773</v>
      </c>
      <c r="G7" s="304">
        <f t="shared" ref="G7:G21" si="1">E7*0.2</f>
        <v>80695.200000000012</v>
      </c>
      <c r="H7" s="304"/>
      <c r="I7" s="304"/>
      <c r="J7" s="304"/>
      <c r="K7" s="304"/>
      <c r="L7" s="1442">
        <f t="shared" ref="L7:L21" si="2">E7-J7</f>
        <v>403476</v>
      </c>
      <c r="M7" s="1443"/>
      <c r="Q7" t="s">
        <v>614</v>
      </c>
      <c r="R7" s="1451">
        <v>42614</v>
      </c>
      <c r="S7" s="47">
        <v>1000000</v>
      </c>
    </row>
    <row r="8" spans="1:22" ht="36" customHeight="1">
      <c r="A8" s="1438" t="s">
        <v>592</v>
      </c>
      <c r="B8" s="534">
        <v>2774.5</v>
      </c>
      <c r="C8" s="534">
        <v>855760.5</v>
      </c>
      <c r="D8" s="304">
        <f t="shared" ref="D8:D21" si="3">D7+B8</f>
        <v>4001.5</v>
      </c>
      <c r="E8" s="304">
        <f t="shared" ref="E8:E21" si="4">E7+C8</f>
        <v>1259236.5</v>
      </c>
      <c r="F8" s="304">
        <f t="shared" si="0"/>
        <v>65998.5</v>
      </c>
      <c r="G8" s="304">
        <f t="shared" si="1"/>
        <v>251847.30000000002</v>
      </c>
      <c r="H8" s="304">
        <f t="shared" ref="H8:H22" si="5">C7*0.8</f>
        <v>322780.80000000005</v>
      </c>
      <c r="I8" s="304"/>
      <c r="J8" s="304"/>
      <c r="K8" s="304">
        <f t="shared" ref="K8:K22" si="6">K7+H8-I8</f>
        <v>322780.80000000005</v>
      </c>
      <c r="L8" s="1442">
        <f t="shared" si="2"/>
        <v>1259236.5</v>
      </c>
      <c r="M8" s="1443"/>
      <c r="R8" s="1451">
        <v>42636</v>
      </c>
      <c r="S8" s="47">
        <v>500000</v>
      </c>
    </row>
    <row r="9" spans="1:22" ht="36" customHeight="1">
      <c r="A9" s="405" t="s">
        <v>593</v>
      </c>
      <c r="B9" s="304">
        <v>5076.5</v>
      </c>
      <c r="C9" s="304">
        <v>1455376.5</v>
      </c>
      <c r="D9" s="304">
        <f t="shared" si="3"/>
        <v>9078</v>
      </c>
      <c r="E9" s="304">
        <f t="shared" si="4"/>
        <v>2714613</v>
      </c>
      <c r="F9" s="304">
        <f t="shared" si="0"/>
        <v>60922</v>
      </c>
      <c r="G9" s="304">
        <f t="shared" si="1"/>
        <v>542922.6</v>
      </c>
      <c r="H9" s="304">
        <f t="shared" si="5"/>
        <v>684608.4</v>
      </c>
      <c r="I9" s="304"/>
      <c r="J9" s="304"/>
      <c r="K9" s="304">
        <f t="shared" si="6"/>
        <v>1007389.2000000001</v>
      </c>
      <c r="L9" s="1442">
        <f t="shared" si="2"/>
        <v>2714613</v>
      </c>
      <c r="M9" s="1443"/>
      <c r="Q9" s="229"/>
      <c r="R9" s="1451">
        <v>42644</v>
      </c>
      <c r="S9" s="47">
        <v>1500000</v>
      </c>
      <c r="T9" s="185" t="s">
        <v>615</v>
      </c>
    </row>
    <row r="10" spans="1:22" ht="36" customHeight="1">
      <c r="A10" s="405" t="s">
        <v>594</v>
      </c>
      <c r="B10" s="304">
        <v>5330.5</v>
      </c>
      <c r="C10" s="304">
        <v>1452888</v>
      </c>
      <c r="D10" s="304">
        <f t="shared" si="3"/>
        <v>14408.5</v>
      </c>
      <c r="E10" s="304">
        <f t="shared" si="4"/>
        <v>4167501</v>
      </c>
      <c r="F10" s="304">
        <f t="shared" si="0"/>
        <v>55591.5</v>
      </c>
      <c r="G10" s="304">
        <f t="shared" si="1"/>
        <v>833500.20000000007</v>
      </c>
      <c r="H10" s="304">
        <f t="shared" si="5"/>
        <v>1164301.2</v>
      </c>
      <c r="I10" s="304"/>
      <c r="J10" s="304"/>
      <c r="K10" s="304">
        <f t="shared" si="6"/>
        <v>2171690.4</v>
      </c>
      <c r="L10" s="1442">
        <f t="shared" si="2"/>
        <v>4167501</v>
      </c>
      <c r="M10" s="1443" t="s">
        <v>616</v>
      </c>
      <c r="Q10" s="229"/>
      <c r="R10" s="1451">
        <v>42703</v>
      </c>
      <c r="S10" s="47">
        <v>1350000</v>
      </c>
      <c r="T10" s="185" t="s">
        <v>617</v>
      </c>
    </row>
    <row r="11" spans="1:22" s="185" customFormat="1" ht="36" customHeight="1">
      <c r="A11" s="405" t="s">
        <v>595</v>
      </c>
      <c r="B11" s="304">
        <v>7144.5</v>
      </c>
      <c r="C11" s="304">
        <v>1907201</v>
      </c>
      <c r="D11" s="304">
        <f t="shared" si="3"/>
        <v>21553</v>
      </c>
      <c r="E11" s="304">
        <f t="shared" si="4"/>
        <v>6074702</v>
      </c>
      <c r="F11" s="304">
        <f t="shared" si="0"/>
        <v>48447</v>
      </c>
      <c r="G11" s="304">
        <f t="shared" si="1"/>
        <v>1214940.4000000001</v>
      </c>
      <c r="H11" s="304">
        <f t="shared" si="5"/>
        <v>1162310.4000000001</v>
      </c>
      <c r="I11" s="304"/>
      <c r="J11" s="304"/>
      <c r="K11" s="304">
        <f t="shared" si="6"/>
        <v>3334000.8</v>
      </c>
      <c r="L11" s="1442">
        <f t="shared" si="2"/>
        <v>6074702</v>
      </c>
      <c r="M11" s="1444" t="s">
        <v>618</v>
      </c>
      <c r="Q11" s="229"/>
      <c r="R11" s="1452">
        <v>42732</v>
      </c>
      <c r="S11" s="182">
        <v>1100000</v>
      </c>
    </row>
    <row r="12" spans="1:22" s="1436" customFormat="1" ht="36" customHeight="1">
      <c r="A12" s="1438" t="s">
        <v>596</v>
      </c>
      <c r="B12" s="181">
        <v>5607</v>
      </c>
      <c r="C12" s="181">
        <v>1492673</v>
      </c>
      <c r="D12" s="304">
        <f t="shared" si="3"/>
        <v>27160</v>
      </c>
      <c r="E12" s="304">
        <f t="shared" si="4"/>
        <v>7567375</v>
      </c>
      <c r="F12" s="304">
        <f t="shared" si="0"/>
        <v>42840</v>
      </c>
      <c r="G12" s="304">
        <f t="shared" si="1"/>
        <v>1513475</v>
      </c>
      <c r="H12" s="304">
        <f t="shared" si="5"/>
        <v>1525760.8</v>
      </c>
      <c r="I12" s="1445">
        <v>1000000</v>
      </c>
      <c r="J12" s="304">
        <f>I12</f>
        <v>1000000</v>
      </c>
      <c r="K12" s="304">
        <f t="shared" si="6"/>
        <v>3859761.5999999996</v>
      </c>
      <c r="L12" s="1442">
        <f t="shared" si="2"/>
        <v>6567375</v>
      </c>
      <c r="M12" s="1446"/>
      <c r="Q12" s="229"/>
      <c r="R12" s="1452">
        <v>42755</v>
      </c>
      <c r="S12" s="182">
        <v>400000</v>
      </c>
      <c r="T12" s="185"/>
      <c r="U12" s="185"/>
    </row>
    <row r="13" spans="1:22" s="185" customFormat="1" ht="36" customHeight="1">
      <c r="A13" s="1438" t="s">
        <v>597</v>
      </c>
      <c r="B13" s="304">
        <v>3525.5</v>
      </c>
      <c r="C13" s="1439">
        <v>930751.5</v>
      </c>
      <c r="D13" s="304">
        <f t="shared" si="3"/>
        <v>30685.5</v>
      </c>
      <c r="E13" s="304">
        <f t="shared" si="4"/>
        <v>8498126.5</v>
      </c>
      <c r="F13" s="304">
        <f t="shared" si="0"/>
        <v>39314.5</v>
      </c>
      <c r="G13" s="304">
        <f t="shared" si="1"/>
        <v>1699625.3</v>
      </c>
      <c r="H13" s="304">
        <f t="shared" si="5"/>
        <v>1194138.4000000001</v>
      </c>
      <c r="I13" s="252">
        <v>500000</v>
      </c>
      <c r="J13" s="304">
        <f t="shared" ref="J13:J21" si="7">J12+I13</f>
        <v>1500000</v>
      </c>
      <c r="K13" s="304">
        <f t="shared" si="6"/>
        <v>4553900</v>
      </c>
      <c r="L13" s="1442">
        <f t="shared" si="2"/>
        <v>6998126.5</v>
      </c>
      <c r="M13" s="180" t="s">
        <v>619</v>
      </c>
      <c r="Q13" s="229"/>
      <c r="R13" s="1453">
        <v>42764</v>
      </c>
      <c r="S13" s="1454">
        <f>100000</f>
        <v>100000</v>
      </c>
      <c r="T13" s="1455" t="s">
        <v>620</v>
      </c>
    </row>
    <row r="14" spans="1:22" s="185" customFormat="1" ht="36" customHeight="1">
      <c r="A14" s="1438" t="s">
        <v>598</v>
      </c>
      <c r="B14" s="304">
        <v>2527.5</v>
      </c>
      <c r="C14" s="1439">
        <v>667112</v>
      </c>
      <c r="D14" s="304">
        <f t="shared" si="3"/>
        <v>33213</v>
      </c>
      <c r="E14" s="304">
        <f t="shared" si="4"/>
        <v>9165238.5</v>
      </c>
      <c r="F14" s="304">
        <f t="shared" si="0"/>
        <v>36787</v>
      </c>
      <c r="G14" s="304">
        <f t="shared" si="1"/>
        <v>1833047.7000000002</v>
      </c>
      <c r="H14" s="304">
        <f t="shared" si="5"/>
        <v>744601.20000000007</v>
      </c>
      <c r="I14" s="555">
        <v>1500000</v>
      </c>
      <c r="J14" s="304">
        <f t="shared" si="7"/>
        <v>3000000</v>
      </c>
      <c r="K14" s="304">
        <f t="shared" si="6"/>
        <v>3798501.2</v>
      </c>
      <c r="L14" s="1442">
        <f t="shared" si="2"/>
        <v>6165238.5</v>
      </c>
      <c r="M14" s="1447" t="s">
        <v>621</v>
      </c>
      <c r="R14" s="1456">
        <v>42751</v>
      </c>
      <c r="S14" s="1457">
        <v>42195.49</v>
      </c>
      <c r="T14" s="1458" t="s">
        <v>622</v>
      </c>
      <c r="U14" s="1459"/>
      <c r="V14" s="1450"/>
    </row>
    <row r="15" spans="1:22" s="185" customFormat="1" ht="36" customHeight="1">
      <c r="A15" s="1438" t="s">
        <v>600</v>
      </c>
      <c r="B15" s="304">
        <v>669</v>
      </c>
      <c r="C15" s="1439">
        <v>179286.5</v>
      </c>
      <c r="D15" s="304">
        <f t="shared" si="3"/>
        <v>33882</v>
      </c>
      <c r="E15" s="304">
        <f t="shared" si="4"/>
        <v>9344525</v>
      </c>
      <c r="F15" s="304">
        <f t="shared" si="0"/>
        <v>36118</v>
      </c>
      <c r="G15" s="304">
        <f t="shared" si="1"/>
        <v>1868905</v>
      </c>
      <c r="H15" s="304">
        <f t="shared" si="5"/>
        <v>533689.59999999998</v>
      </c>
      <c r="I15" s="555">
        <v>1350000</v>
      </c>
      <c r="J15" s="304">
        <f t="shared" si="7"/>
        <v>4350000</v>
      </c>
      <c r="K15" s="304">
        <f t="shared" si="6"/>
        <v>2982190.8</v>
      </c>
      <c r="L15" s="1442">
        <f t="shared" si="2"/>
        <v>4994525</v>
      </c>
      <c r="M15" s="1448" t="s">
        <v>623</v>
      </c>
      <c r="R15" s="1460">
        <v>42901</v>
      </c>
      <c r="S15" s="182">
        <v>650000</v>
      </c>
    </row>
    <row r="16" spans="1:22" s="185" customFormat="1" ht="36" customHeight="1">
      <c r="A16" s="1438" t="s">
        <v>601</v>
      </c>
      <c r="B16" s="304">
        <v>0</v>
      </c>
      <c r="C16" s="304">
        <v>0</v>
      </c>
      <c r="D16" s="304">
        <f t="shared" si="3"/>
        <v>33882</v>
      </c>
      <c r="E16" s="304">
        <f t="shared" si="4"/>
        <v>9344525</v>
      </c>
      <c r="F16" s="304">
        <f t="shared" si="0"/>
        <v>36118</v>
      </c>
      <c r="G16" s="304">
        <f t="shared" si="1"/>
        <v>1868905</v>
      </c>
      <c r="H16" s="304">
        <f t="shared" si="5"/>
        <v>143429.20000000001</v>
      </c>
      <c r="I16" s="555">
        <v>1100000</v>
      </c>
      <c r="J16" s="304">
        <f t="shared" si="7"/>
        <v>5450000</v>
      </c>
      <c r="K16" s="304">
        <f t="shared" si="6"/>
        <v>2025620</v>
      </c>
      <c r="L16" s="1442">
        <f t="shared" si="2"/>
        <v>3894525</v>
      </c>
      <c r="M16" s="1448"/>
      <c r="R16" s="1460">
        <v>42913</v>
      </c>
      <c r="S16" s="182">
        <v>900000</v>
      </c>
    </row>
    <row r="17" spans="1:19" s="185" customFormat="1" ht="36" customHeight="1">
      <c r="A17" s="1438" t="s">
        <v>624</v>
      </c>
      <c r="B17" s="304">
        <v>411</v>
      </c>
      <c r="C17" s="304">
        <v>302874</v>
      </c>
      <c r="D17" s="304">
        <f t="shared" si="3"/>
        <v>34293</v>
      </c>
      <c r="E17" s="304">
        <f t="shared" si="4"/>
        <v>9647399</v>
      </c>
      <c r="F17" s="304">
        <f t="shared" si="0"/>
        <v>35707</v>
      </c>
      <c r="G17" s="304">
        <f t="shared" si="1"/>
        <v>1929479.8</v>
      </c>
      <c r="H17" s="304">
        <f t="shared" si="5"/>
        <v>0</v>
      </c>
      <c r="I17" s="555">
        <v>400000</v>
      </c>
      <c r="J17" s="304">
        <f t="shared" si="7"/>
        <v>5850000</v>
      </c>
      <c r="K17" s="304">
        <f t="shared" si="6"/>
        <v>1625620</v>
      </c>
      <c r="L17" s="1442">
        <f t="shared" si="2"/>
        <v>3797399</v>
      </c>
      <c r="M17" s="181"/>
      <c r="R17" s="182" t="s">
        <v>608</v>
      </c>
      <c r="S17" s="182">
        <f>SUM(S7:S16)</f>
        <v>7542195.4900000002</v>
      </c>
    </row>
    <row r="18" spans="1:19" s="185" customFormat="1" ht="36" customHeight="1">
      <c r="A18" s="1438" t="s">
        <v>625</v>
      </c>
      <c r="B18" s="304">
        <v>815.5</v>
      </c>
      <c r="C18" s="304">
        <v>245678.5</v>
      </c>
      <c r="D18" s="304">
        <f t="shared" si="3"/>
        <v>35108.5</v>
      </c>
      <c r="E18" s="304">
        <f t="shared" si="4"/>
        <v>9893077.5</v>
      </c>
      <c r="F18" s="304">
        <f t="shared" si="0"/>
        <v>34891.5</v>
      </c>
      <c r="G18" s="304">
        <f t="shared" si="1"/>
        <v>1978615.5</v>
      </c>
      <c r="H18" s="304">
        <f t="shared" si="5"/>
        <v>242299.2</v>
      </c>
      <c r="I18" s="555">
        <v>500000</v>
      </c>
      <c r="J18" s="304">
        <f t="shared" si="7"/>
        <v>6350000</v>
      </c>
      <c r="K18" s="304">
        <f t="shared" si="6"/>
        <v>1367919.2</v>
      </c>
      <c r="L18" s="1442">
        <f t="shared" si="2"/>
        <v>3543077.5</v>
      </c>
      <c r="M18" s="181" t="s">
        <v>626</v>
      </c>
      <c r="S18" s="1450"/>
    </row>
    <row r="19" spans="1:19" s="185" customFormat="1" ht="36" customHeight="1">
      <c r="A19" s="1438" t="s">
        <v>627</v>
      </c>
      <c r="B19" s="304">
        <v>1082.5</v>
      </c>
      <c r="C19" s="304">
        <v>323736.5</v>
      </c>
      <c r="D19" s="304">
        <f t="shared" si="3"/>
        <v>36191</v>
      </c>
      <c r="E19" s="304">
        <f t="shared" si="4"/>
        <v>10216814</v>
      </c>
      <c r="F19" s="304">
        <f t="shared" si="0"/>
        <v>33809</v>
      </c>
      <c r="G19" s="304">
        <f t="shared" si="1"/>
        <v>2043362.8</v>
      </c>
      <c r="H19" s="304">
        <f t="shared" si="5"/>
        <v>196542.80000000002</v>
      </c>
      <c r="I19" s="555">
        <f>650000+900000</f>
        <v>1550000</v>
      </c>
      <c r="J19" s="304">
        <f t="shared" si="7"/>
        <v>7900000</v>
      </c>
      <c r="K19" s="304">
        <f t="shared" si="6"/>
        <v>14462</v>
      </c>
      <c r="L19" s="1442">
        <f t="shared" si="2"/>
        <v>2316814</v>
      </c>
      <c r="M19" s="180" t="s">
        <v>628</v>
      </c>
    </row>
    <row r="20" spans="1:19" s="185" customFormat="1" ht="36" customHeight="1">
      <c r="A20" s="1438" t="s">
        <v>629</v>
      </c>
      <c r="B20" s="304">
        <v>1138.5</v>
      </c>
      <c r="C20" s="304">
        <v>343811.5</v>
      </c>
      <c r="D20" s="304">
        <f t="shared" si="3"/>
        <v>37329.5</v>
      </c>
      <c r="E20" s="304">
        <f t="shared" si="4"/>
        <v>10560625.5</v>
      </c>
      <c r="F20" s="304">
        <f t="shared" si="0"/>
        <v>32670.5</v>
      </c>
      <c r="G20" s="304">
        <f t="shared" si="1"/>
        <v>2112125.1</v>
      </c>
      <c r="H20" s="304">
        <f t="shared" si="5"/>
        <v>258989.2</v>
      </c>
      <c r="I20" s="555"/>
      <c r="J20" s="304">
        <f t="shared" si="7"/>
        <v>7900000</v>
      </c>
      <c r="K20" s="304">
        <f t="shared" si="6"/>
        <v>273451.2</v>
      </c>
      <c r="L20" s="1442">
        <f t="shared" si="2"/>
        <v>2660625.5</v>
      </c>
      <c r="M20" s="181"/>
    </row>
    <row r="21" spans="1:19" s="185" customFormat="1" ht="36" customHeight="1">
      <c r="A21" s="1440" t="s">
        <v>630</v>
      </c>
      <c r="B21" s="304">
        <v>587.5</v>
      </c>
      <c r="C21" s="304">
        <v>174560.5</v>
      </c>
      <c r="D21" s="304">
        <f t="shared" si="3"/>
        <v>37917</v>
      </c>
      <c r="E21" s="304">
        <f t="shared" si="4"/>
        <v>10735186</v>
      </c>
      <c r="F21" s="304">
        <f t="shared" si="0"/>
        <v>32083</v>
      </c>
      <c r="G21" s="304">
        <f t="shared" si="1"/>
        <v>2147037.2000000002</v>
      </c>
      <c r="H21" s="304">
        <f t="shared" si="5"/>
        <v>275049.2</v>
      </c>
      <c r="I21" s="555"/>
      <c r="J21" s="304">
        <f t="shared" si="7"/>
        <v>7900000</v>
      </c>
      <c r="K21" s="304">
        <f t="shared" si="6"/>
        <v>548500.4</v>
      </c>
      <c r="L21" s="1442">
        <f t="shared" si="2"/>
        <v>2835186</v>
      </c>
      <c r="M21" s="181"/>
    </row>
    <row r="22" spans="1:19" s="185" customFormat="1" ht="36" customHeight="1">
      <c r="A22" s="1440"/>
      <c r="B22" s="304"/>
      <c r="C22" s="304"/>
      <c r="D22" s="181"/>
      <c r="E22" s="181"/>
      <c r="F22" s="437"/>
      <c r="G22" s="555"/>
      <c r="H22" s="304">
        <f t="shared" si="5"/>
        <v>139648.4</v>
      </c>
      <c r="I22" s="555"/>
      <c r="J22" s="555"/>
      <c r="K22" s="304">
        <f t="shared" si="6"/>
        <v>688148.8</v>
      </c>
      <c r="L22" s="1449"/>
      <c r="M22" s="181"/>
    </row>
    <row r="23" spans="1:19" s="185" customFormat="1" ht="36" customHeight="1">
      <c r="A23" s="1440">
        <v>42979</v>
      </c>
      <c r="B23" s="304">
        <v>587.5</v>
      </c>
      <c r="C23" s="304">
        <v>174560.5</v>
      </c>
      <c r="D23" s="181">
        <v>37917</v>
      </c>
      <c r="E23" s="181">
        <v>10735186</v>
      </c>
      <c r="F23" s="437">
        <v>32083</v>
      </c>
      <c r="G23" s="555">
        <v>2147037.2000000002</v>
      </c>
      <c r="H23" s="304">
        <v>275049.2</v>
      </c>
      <c r="I23" s="555"/>
      <c r="J23" s="555">
        <v>7900000</v>
      </c>
      <c r="K23" s="555">
        <v>548500.4</v>
      </c>
      <c r="L23" s="1449">
        <v>2835186</v>
      </c>
      <c r="M23" s="181"/>
    </row>
    <row r="24" spans="1:19" s="185" customFormat="1" ht="36" customHeight="1">
      <c r="A24" s="324"/>
      <c r="B24" s="181"/>
      <c r="C24" s="181"/>
      <c r="D24" s="181"/>
      <c r="E24" s="181"/>
      <c r="F24" s="437"/>
      <c r="G24" s="181"/>
      <c r="H24" s="304"/>
      <c r="I24" s="181"/>
      <c r="J24" s="181"/>
      <c r="K24" s="181"/>
      <c r="L24" s="1449"/>
      <c r="M24" s="181"/>
    </row>
    <row r="25" spans="1:19">
      <c r="H25" s="287"/>
      <c r="J25" s="287"/>
    </row>
    <row r="26" spans="1:19">
      <c r="H26" s="287"/>
      <c r="J26" s="287"/>
    </row>
    <row r="27" spans="1:19">
      <c r="A27" s="1441"/>
      <c r="H27" s="287"/>
      <c r="J27" s="287"/>
    </row>
    <row r="28" spans="1:19">
      <c r="H28" s="287"/>
      <c r="J28" s="287"/>
    </row>
    <row r="29" spans="1:19">
      <c r="C29" t="s">
        <v>631</v>
      </c>
      <c r="H29" s="287"/>
      <c r="J29" s="287"/>
    </row>
    <row r="30" spans="1:19">
      <c r="C30" t="s">
        <v>563</v>
      </c>
      <c r="H30" s="287"/>
      <c r="J30" s="287"/>
    </row>
    <row r="31" spans="1:19">
      <c r="C31" t="s">
        <v>632</v>
      </c>
      <c r="H31" s="287"/>
      <c r="J31" s="287"/>
    </row>
    <row r="32" spans="1:19">
      <c r="C32" t="s">
        <v>633</v>
      </c>
      <c r="H32" s="287"/>
      <c r="J32" s="287"/>
    </row>
    <row r="33" spans="8:10">
      <c r="H33" s="287"/>
      <c r="J33" s="287"/>
    </row>
  </sheetData>
  <mergeCells count="11">
    <mergeCell ref="E1:H1"/>
    <mergeCell ref="J1:K1"/>
    <mergeCell ref="L1:M1"/>
    <mergeCell ref="B2:C2"/>
    <mergeCell ref="E2:H2"/>
    <mergeCell ref="B3:C3"/>
    <mergeCell ref="B4:I4"/>
    <mergeCell ref="J4:M4"/>
    <mergeCell ref="A5:C5"/>
    <mergeCell ref="D5:F5"/>
    <mergeCell ref="G5:I5"/>
  </mergeCells>
  <phoneticPr fontId="84" type="noConversion"/>
  <pageMargins left="0.75" right="0.75" top="1" bottom="1" header="0.51" footer="0.51"/>
  <pageSetup paperSize="9" orientation="portrait" verticalDpi="200"/>
  <headerFooter scaleWithDoc="0" alignWithMargins="0"/>
  <legacyDrawing r:id="rId1"/>
</worksheet>
</file>

<file path=xl/worksheets/sheet1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zoomScale="70" zoomScaleNormal="70" zoomScaleSheetLayoutView="100" workbookViewId="0">
      <selection activeCell="C21" sqref="C21"/>
    </sheetView>
  </sheetViews>
  <sheetFormatPr defaultColWidth="9" defaultRowHeight="14.25"/>
  <cols>
    <col min="1" max="1" width="14" customWidth="1"/>
    <col min="2" max="2" width="13.75" customWidth="1"/>
    <col min="3" max="3" width="13.875" customWidth="1"/>
    <col min="4" max="4" width="13.5" customWidth="1"/>
    <col min="5" max="5" width="12.875" customWidth="1"/>
    <col min="6" max="6" width="14.125" customWidth="1"/>
    <col min="7" max="7" width="13.75" customWidth="1"/>
    <col min="8" max="8" width="13" customWidth="1"/>
    <col min="9" max="9" width="12.5" customWidth="1"/>
    <col min="10" max="10" width="12.875" customWidth="1"/>
    <col min="11" max="11" width="13.875" customWidth="1"/>
    <col min="12" max="12" width="14.375" customWidth="1"/>
    <col min="13" max="13" width="26.25" customWidth="1"/>
  </cols>
  <sheetData>
    <row r="1" spans="1:13" ht="33" customHeight="1">
      <c r="A1" s="2166" t="s">
        <v>556</v>
      </c>
      <c r="B1" s="2167"/>
      <c r="C1" s="2143" t="s">
        <v>1525</v>
      </c>
      <c r="D1" s="2143"/>
      <c r="E1" s="613" t="s">
        <v>236</v>
      </c>
      <c r="F1" s="2168"/>
      <c r="G1" s="2168"/>
      <c r="H1" s="2168"/>
      <c r="I1" s="531" t="s">
        <v>3823</v>
      </c>
      <c r="J1" s="2000" t="s">
        <v>3824</v>
      </c>
      <c r="K1" s="1644"/>
      <c r="L1" s="1644"/>
      <c r="M1" s="619"/>
    </row>
    <row r="2" spans="1:13" ht="27.95" customHeight="1">
      <c r="A2" s="39" t="s">
        <v>240</v>
      </c>
      <c r="B2" s="1637" t="s">
        <v>3825</v>
      </c>
      <c r="C2" s="1637"/>
      <c r="D2" s="41" t="s">
        <v>242</v>
      </c>
      <c r="E2" s="1637"/>
      <c r="F2" s="1637"/>
      <c r="G2" s="1637"/>
      <c r="H2" s="1637"/>
      <c r="I2" s="1637"/>
      <c r="J2" s="41" t="s">
        <v>243</v>
      </c>
      <c r="K2" s="59"/>
      <c r="L2" s="41" t="s">
        <v>245</v>
      </c>
      <c r="M2" s="461" t="s">
        <v>3826</v>
      </c>
    </row>
    <row r="3" spans="1:13" ht="27.95" customHeight="1">
      <c r="A3" s="39" t="s">
        <v>247</v>
      </c>
      <c r="B3" s="1637" t="s">
        <v>3827</v>
      </c>
      <c r="C3" s="1637"/>
      <c r="D3" s="41" t="s">
        <v>249</v>
      </c>
      <c r="E3" s="43"/>
      <c r="F3" s="41" t="s">
        <v>251</v>
      </c>
      <c r="G3" s="41"/>
      <c r="H3" s="41" t="s">
        <v>252</v>
      </c>
      <c r="I3" s="41"/>
      <c r="J3" s="41" t="s">
        <v>565</v>
      </c>
      <c r="K3" s="40"/>
      <c r="L3" s="41" t="s">
        <v>255</v>
      </c>
      <c r="M3" s="105"/>
    </row>
    <row r="4" spans="1:13" ht="27.95" customHeight="1">
      <c r="A4" s="39" t="s">
        <v>260</v>
      </c>
      <c r="B4" s="2156"/>
      <c r="C4" s="2156"/>
      <c r="D4" s="2156"/>
      <c r="E4" s="2156"/>
      <c r="F4" s="2156"/>
      <c r="G4" s="2156"/>
      <c r="H4" s="2156"/>
      <c r="I4" s="2136"/>
      <c r="J4" s="2137"/>
      <c r="K4" s="2138"/>
      <c r="L4" s="2157"/>
      <c r="M4" s="2158"/>
    </row>
    <row r="5" spans="1:13" ht="30.95" customHeight="1">
      <c r="A5" s="19" t="s">
        <v>266</v>
      </c>
      <c r="B5" s="20" t="s">
        <v>267</v>
      </c>
      <c r="C5" s="20" t="s">
        <v>268</v>
      </c>
      <c r="D5" s="20" t="s">
        <v>269</v>
      </c>
      <c r="E5" s="20" t="s">
        <v>270</v>
      </c>
      <c r="F5" s="20" t="s">
        <v>271</v>
      </c>
      <c r="G5" s="21" t="s">
        <v>272</v>
      </c>
      <c r="H5" s="614" t="s">
        <v>273</v>
      </c>
      <c r="I5" s="20" t="s">
        <v>274</v>
      </c>
      <c r="J5" s="70" t="s">
        <v>275</v>
      </c>
      <c r="K5" s="70" t="s">
        <v>276</v>
      </c>
      <c r="L5" s="20" t="s">
        <v>277</v>
      </c>
      <c r="M5" s="71" t="s">
        <v>278</v>
      </c>
    </row>
    <row r="6" spans="1:13" ht="33" customHeight="1">
      <c r="A6" s="453" t="s">
        <v>3828</v>
      </c>
      <c r="B6" s="181">
        <v>732</v>
      </c>
      <c r="C6" s="181">
        <v>208510</v>
      </c>
      <c r="D6" s="454">
        <f>B6</f>
        <v>732</v>
      </c>
      <c r="E6" s="454">
        <f>C6</f>
        <v>208510</v>
      </c>
      <c r="F6" s="200"/>
      <c r="G6" s="437"/>
      <c r="H6" s="615"/>
      <c r="I6" s="620">
        <f>57837.5+150672.5</f>
        <v>208510</v>
      </c>
      <c r="J6" s="262">
        <f>I6</f>
        <v>208510</v>
      </c>
      <c r="K6" s="621"/>
      <c r="L6" s="211">
        <f>E6-J6</f>
        <v>0</v>
      </c>
      <c r="M6" s="622" t="s">
        <v>3829</v>
      </c>
    </row>
    <row r="7" spans="1:13" ht="30" customHeight="1">
      <c r="A7" s="616" t="s">
        <v>3830</v>
      </c>
      <c r="B7" s="478">
        <v>51.5</v>
      </c>
      <c r="C7" s="478">
        <v>14567.5</v>
      </c>
      <c r="D7" s="617">
        <f>D6+B7</f>
        <v>783.5</v>
      </c>
      <c r="E7" s="617">
        <f>E6+C7</f>
        <v>223077.5</v>
      </c>
      <c r="F7" s="480"/>
      <c r="G7" s="478"/>
      <c r="H7" s="618"/>
      <c r="I7" s="478">
        <v>14567.5</v>
      </c>
      <c r="J7" s="623">
        <f>I7+J6</f>
        <v>223077.5</v>
      </c>
      <c r="K7" s="624"/>
      <c r="L7" s="200">
        <f>E7-J7</f>
        <v>0</v>
      </c>
      <c r="M7" s="625" t="s">
        <v>3831</v>
      </c>
    </row>
    <row r="8" spans="1:13" ht="30" customHeight="1">
      <c r="A8" s="481">
        <v>42370</v>
      </c>
      <c r="B8" s="181">
        <v>51.5</v>
      </c>
      <c r="C8" s="181">
        <v>14567.5</v>
      </c>
      <c r="D8" s="454">
        <v>783.5</v>
      </c>
      <c r="E8" s="454">
        <v>223077.5</v>
      </c>
      <c r="F8" s="200"/>
      <c r="G8" s="181"/>
      <c r="H8" s="615"/>
      <c r="I8" s="181">
        <v>14567.5</v>
      </c>
      <c r="J8" s="623">
        <v>223077.5</v>
      </c>
      <c r="K8" s="624"/>
      <c r="L8" s="200">
        <v>0</v>
      </c>
      <c r="M8" s="626" t="s">
        <v>3831</v>
      </c>
    </row>
    <row r="9" spans="1:13" ht="30" customHeight="1">
      <c r="A9" s="481"/>
      <c r="B9" s="181"/>
      <c r="C9" s="181"/>
      <c r="D9" s="454"/>
      <c r="E9" s="454"/>
      <c r="F9" s="200"/>
      <c r="G9" s="181"/>
      <c r="H9" s="615"/>
      <c r="I9" s="181"/>
      <c r="J9" s="262"/>
      <c r="K9" s="627"/>
      <c r="L9" s="338"/>
      <c r="M9" s="628"/>
    </row>
  </sheetData>
  <mergeCells count="11">
    <mergeCell ref="A1:B1"/>
    <mergeCell ref="C1:D1"/>
    <mergeCell ref="F1:H1"/>
    <mergeCell ref="J1:L1"/>
    <mergeCell ref="B2:C2"/>
    <mergeCell ref="E2:I2"/>
    <mergeCell ref="B3:C3"/>
    <mergeCell ref="B4:E4"/>
    <mergeCell ref="F4:H4"/>
    <mergeCell ref="I4:K4"/>
    <mergeCell ref="L4:M4"/>
  </mergeCells>
  <phoneticPr fontId="84" type="noConversion"/>
  <pageMargins left="0.75" right="0.75" top="1" bottom="1" header="0.51" footer="0.51"/>
  <pageSetup paperSize="9" orientation="portrait" horizontalDpi="200" verticalDpi="200"/>
  <headerFooter scaleWithDoc="0" alignWithMargins="0"/>
</worksheet>
</file>

<file path=xl/worksheets/sheet17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0"/>
  <sheetViews>
    <sheetView topLeftCell="A40" zoomScaleSheetLayoutView="100" workbookViewId="0">
      <selection activeCell="J66" sqref="J66"/>
    </sheetView>
  </sheetViews>
  <sheetFormatPr defaultColWidth="9" defaultRowHeight="14.25"/>
  <cols>
    <col min="1" max="1" width="18.375" customWidth="1"/>
    <col min="2" max="12" width="14" customWidth="1"/>
    <col min="13" max="13" width="27" customWidth="1"/>
  </cols>
  <sheetData>
    <row r="1" spans="1:13" ht="111.95" customHeight="1">
      <c r="A1" s="2171" t="s">
        <v>3832</v>
      </c>
      <c r="B1" s="1860"/>
      <c r="C1" s="36" t="s">
        <v>3833</v>
      </c>
      <c r="D1" s="57"/>
      <c r="E1" s="38" t="s">
        <v>236</v>
      </c>
      <c r="F1" s="1790"/>
      <c r="G1" s="1790"/>
      <c r="H1" s="1790"/>
      <c r="I1" s="57" t="s">
        <v>237</v>
      </c>
      <c r="J1" s="1791" t="s">
        <v>3834</v>
      </c>
      <c r="K1" s="1791"/>
      <c r="L1" s="1791"/>
      <c r="M1" s="460" t="s">
        <v>3835</v>
      </c>
    </row>
    <row r="2" spans="1:13" ht="44.1" customHeight="1">
      <c r="A2" s="39" t="s">
        <v>240</v>
      </c>
      <c r="B2" s="1664" t="s">
        <v>3836</v>
      </c>
      <c r="C2" s="1664"/>
      <c r="D2" s="41" t="s">
        <v>242</v>
      </c>
      <c r="E2" s="1746" t="s">
        <v>3837</v>
      </c>
      <c r="F2" s="1746"/>
      <c r="G2" s="1746"/>
      <c r="H2" s="1746"/>
      <c r="I2" s="41" t="s">
        <v>243</v>
      </c>
      <c r="J2" s="41" t="s">
        <v>1050</v>
      </c>
      <c r="K2" s="40" t="s">
        <v>1050</v>
      </c>
      <c r="L2" s="41" t="s">
        <v>245</v>
      </c>
      <c r="M2" s="461" t="s">
        <v>3838</v>
      </c>
    </row>
    <row r="3" spans="1:13" ht="44.1" customHeight="1">
      <c r="A3" s="39" t="s">
        <v>247</v>
      </c>
      <c r="B3" s="1639" t="s">
        <v>3839</v>
      </c>
      <c r="C3" s="1639"/>
      <c r="D3" s="41" t="s">
        <v>249</v>
      </c>
      <c r="E3" s="43" t="s">
        <v>3840</v>
      </c>
      <c r="F3" s="41" t="s">
        <v>251</v>
      </c>
      <c r="G3" s="41" t="s">
        <v>3841</v>
      </c>
      <c r="H3" s="41" t="s">
        <v>252</v>
      </c>
      <c r="I3" s="462" t="s">
        <v>3842</v>
      </c>
      <c r="J3" s="41" t="s">
        <v>565</v>
      </c>
      <c r="K3" s="41" t="s">
        <v>3843</v>
      </c>
      <c r="L3" s="41" t="s">
        <v>255</v>
      </c>
      <c r="M3" s="603" t="s">
        <v>3844</v>
      </c>
    </row>
    <row r="4" spans="1:13" ht="44.1" customHeight="1">
      <c r="A4" s="39" t="s">
        <v>260</v>
      </c>
      <c r="B4" s="2132" t="s">
        <v>3845</v>
      </c>
      <c r="C4" s="2132"/>
      <c r="D4" s="2132"/>
      <c r="E4" s="2132"/>
      <c r="F4" s="2132"/>
      <c r="G4" s="2132"/>
      <c r="H4" s="2169" t="s">
        <v>2368</v>
      </c>
      <c r="I4" s="2169"/>
      <c r="J4" s="2169"/>
      <c r="K4" s="2169"/>
      <c r="L4" s="2169"/>
      <c r="M4" s="2170"/>
    </row>
    <row r="5" spans="1:13" ht="44.1" customHeight="1">
      <c r="A5" s="19" t="s">
        <v>266</v>
      </c>
      <c r="B5" s="20" t="s">
        <v>267</v>
      </c>
      <c r="C5" s="20" t="s">
        <v>268</v>
      </c>
      <c r="D5" s="20" t="s">
        <v>269</v>
      </c>
      <c r="E5" s="20" t="s">
        <v>270</v>
      </c>
      <c r="F5" s="20" t="s">
        <v>271</v>
      </c>
      <c r="G5" s="21" t="s">
        <v>272</v>
      </c>
      <c r="H5" s="22" t="s">
        <v>273</v>
      </c>
      <c r="I5" s="20" t="s">
        <v>274</v>
      </c>
      <c r="J5" s="70" t="s">
        <v>275</v>
      </c>
      <c r="K5" s="70" t="s">
        <v>276</v>
      </c>
      <c r="L5" s="20" t="s">
        <v>277</v>
      </c>
      <c r="M5" s="604" t="s">
        <v>278</v>
      </c>
    </row>
    <row r="6" spans="1:13" ht="24" customHeight="1">
      <c r="A6" s="446" t="s">
        <v>3846</v>
      </c>
      <c r="B6" s="47">
        <v>752.5</v>
      </c>
      <c r="C6" s="47">
        <v>172887.5</v>
      </c>
      <c r="D6" s="447">
        <f>B6</f>
        <v>752.5</v>
      </c>
      <c r="E6" s="447">
        <f>C6</f>
        <v>172887.5</v>
      </c>
      <c r="F6" s="140">
        <f t="shared" ref="F6:F12" si="0">7000-D6</f>
        <v>6247.5</v>
      </c>
      <c r="G6" s="47">
        <v>0</v>
      </c>
      <c r="H6" s="141">
        <v>0</v>
      </c>
      <c r="I6" s="47">
        <v>0</v>
      </c>
      <c r="J6" s="465">
        <v>0</v>
      </c>
      <c r="K6" s="140">
        <v>0</v>
      </c>
      <c r="L6" s="140">
        <f t="shared" ref="L6:L48" si="1">E6-J6</f>
        <v>172887.5</v>
      </c>
      <c r="M6" s="605"/>
    </row>
    <row r="7" spans="1:13" ht="24" customHeight="1">
      <c r="A7" s="446">
        <v>40360</v>
      </c>
      <c r="B7" s="47">
        <v>672</v>
      </c>
      <c r="C7" s="47">
        <v>159930</v>
      </c>
      <c r="D7" s="447">
        <f t="shared" ref="D7:D48" si="2">D6+B7</f>
        <v>1424.5</v>
      </c>
      <c r="E7" s="447">
        <f t="shared" ref="E7:E48" si="3">E6+C7</f>
        <v>332817.5</v>
      </c>
      <c r="F7" s="140">
        <f t="shared" si="0"/>
        <v>5575.5</v>
      </c>
      <c r="G7" s="47">
        <v>0</v>
      </c>
      <c r="H7" s="141">
        <f t="shared" ref="H7:H48" si="4">C6</f>
        <v>172887.5</v>
      </c>
      <c r="I7" s="47">
        <v>0</v>
      </c>
      <c r="J7" s="465">
        <f t="shared" ref="J7:J48" si="5">J6+I7</f>
        <v>0</v>
      </c>
      <c r="K7" s="140">
        <f t="shared" ref="K7:K48" si="6">K6+H7-I7</f>
        <v>172887.5</v>
      </c>
      <c r="L7" s="140">
        <f t="shared" si="1"/>
        <v>332817.5</v>
      </c>
      <c r="M7" s="605"/>
    </row>
    <row r="8" spans="1:13" ht="24" customHeight="1">
      <c r="A8" s="446">
        <v>40391</v>
      </c>
      <c r="B8" s="47">
        <v>709.5</v>
      </c>
      <c r="C8" s="47">
        <v>165952.5</v>
      </c>
      <c r="D8" s="447">
        <f t="shared" si="2"/>
        <v>2134</v>
      </c>
      <c r="E8" s="447">
        <f t="shared" si="3"/>
        <v>498770</v>
      </c>
      <c r="F8" s="140">
        <f t="shared" si="0"/>
        <v>4866</v>
      </c>
      <c r="G8" s="47">
        <v>0</v>
      </c>
      <c r="H8" s="141">
        <f t="shared" si="4"/>
        <v>159930</v>
      </c>
      <c r="I8" s="47">
        <v>0</v>
      </c>
      <c r="J8" s="465">
        <f t="shared" si="5"/>
        <v>0</v>
      </c>
      <c r="K8" s="140">
        <f t="shared" si="6"/>
        <v>332817.5</v>
      </c>
      <c r="L8" s="140">
        <f t="shared" si="1"/>
        <v>498770</v>
      </c>
      <c r="M8" s="605"/>
    </row>
    <row r="9" spans="1:13" ht="24" customHeight="1">
      <c r="A9" s="446">
        <v>40422</v>
      </c>
      <c r="B9" s="47">
        <v>169</v>
      </c>
      <c r="C9" s="47">
        <v>39675</v>
      </c>
      <c r="D9" s="447">
        <f t="shared" si="2"/>
        <v>2303</v>
      </c>
      <c r="E9" s="447">
        <f t="shared" si="3"/>
        <v>538445</v>
      </c>
      <c r="F9" s="140">
        <f t="shared" si="0"/>
        <v>4697</v>
      </c>
      <c r="G9" s="47">
        <v>0</v>
      </c>
      <c r="H9" s="141">
        <f t="shared" si="4"/>
        <v>165952.5</v>
      </c>
      <c r="I9" s="47">
        <v>0</v>
      </c>
      <c r="J9" s="465">
        <f t="shared" si="5"/>
        <v>0</v>
      </c>
      <c r="K9" s="140">
        <f t="shared" si="6"/>
        <v>498770</v>
      </c>
      <c r="L9" s="140">
        <f t="shared" si="1"/>
        <v>538445</v>
      </c>
      <c r="M9" s="605"/>
    </row>
    <row r="10" spans="1:13" ht="24" customHeight="1">
      <c r="A10" s="446">
        <v>40452</v>
      </c>
      <c r="B10" s="47">
        <v>0</v>
      </c>
      <c r="C10" s="47">
        <v>0</v>
      </c>
      <c r="D10" s="447">
        <f t="shared" si="2"/>
        <v>2303</v>
      </c>
      <c r="E10" s="447">
        <f t="shared" si="3"/>
        <v>538445</v>
      </c>
      <c r="F10" s="140">
        <f t="shared" si="0"/>
        <v>4697</v>
      </c>
      <c r="G10" s="47">
        <v>0</v>
      </c>
      <c r="H10" s="141">
        <f t="shared" si="4"/>
        <v>39675</v>
      </c>
      <c r="I10" s="47">
        <v>0</v>
      </c>
      <c r="J10" s="465">
        <f t="shared" si="5"/>
        <v>0</v>
      </c>
      <c r="K10" s="140">
        <f t="shared" si="6"/>
        <v>538445</v>
      </c>
      <c r="L10" s="140">
        <f t="shared" si="1"/>
        <v>538445</v>
      </c>
      <c r="M10" s="605"/>
    </row>
    <row r="11" spans="1:13" ht="24" customHeight="1">
      <c r="A11" s="446">
        <v>40483</v>
      </c>
      <c r="B11" s="47">
        <v>0</v>
      </c>
      <c r="C11" s="47">
        <v>0</v>
      </c>
      <c r="D11" s="447">
        <f t="shared" si="2"/>
        <v>2303</v>
      </c>
      <c r="E11" s="447">
        <f t="shared" si="3"/>
        <v>538445</v>
      </c>
      <c r="F11" s="140">
        <f t="shared" si="0"/>
        <v>4697</v>
      </c>
      <c r="G11" s="47">
        <v>0</v>
      </c>
      <c r="H11" s="141">
        <f t="shared" si="4"/>
        <v>0</v>
      </c>
      <c r="I11" s="47">
        <v>0</v>
      </c>
      <c r="J11" s="465">
        <f t="shared" si="5"/>
        <v>0</v>
      </c>
      <c r="K11" s="140">
        <f t="shared" si="6"/>
        <v>538445</v>
      </c>
      <c r="L11" s="140">
        <f t="shared" si="1"/>
        <v>538445</v>
      </c>
      <c r="M11" s="605"/>
    </row>
    <row r="12" spans="1:13" ht="24" customHeight="1">
      <c r="A12" s="446">
        <v>40513</v>
      </c>
      <c r="B12" s="47">
        <v>5</v>
      </c>
      <c r="C12" s="552">
        <v>1200</v>
      </c>
      <c r="D12" s="447">
        <f t="shared" si="2"/>
        <v>2308</v>
      </c>
      <c r="E12" s="447">
        <f t="shared" si="3"/>
        <v>539645</v>
      </c>
      <c r="F12" s="140">
        <f t="shared" si="0"/>
        <v>4692</v>
      </c>
      <c r="G12" s="47">
        <v>0</v>
      </c>
      <c r="H12" s="141">
        <f t="shared" si="4"/>
        <v>0</v>
      </c>
      <c r="I12" s="47">
        <v>0</v>
      </c>
      <c r="J12" s="465">
        <f t="shared" si="5"/>
        <v>0</v>
      </c>
      <c r="K12" s="140">
        <f t="shared" si="6"/>
        <v>538445</v>
      </c>
      <c r="L12" s="140">
        <f t="shared" si="1"/>
        <v>539645</v>
      </c>
      <c r="M12" s="605"/>
    </row>
    <row r="13" spans="1:13" ht="24" customHeight="1">
      <c r="A13" s="446">
        <v>40544</v>
      </c>
      <c r="B13" s="47">
        <f>2340.5+4511</f>
        <v>6851.5</v>
      </c>
      <c r="C13" s="47">
        <f>684105+1207769.5</f>
        <v>1891874.5</v>
      </c>
      <c r="D13" s="447">
        <f t="shared" si="2"/>
        <v>9159.5</v>
      </c>
      <c r="E13" s="447">
        <f t="shared" si="3"/>
        <v>2431519.5</v>
      </c>
      <c r="F13" s="140">
        <v>0</v>
      </c>
      <c r="G13" s="47">
        <v>0</v>
      </c>
      <c r="H13" s="141">
        <f t="shared" si="4"/>
        <v>1200</v>
      </c>
      <c r="I13" s="47">
        <v>0</v>
      </c>
      <c r="J13" s="465">
        <f t="shared" si="5"/>
        <v>0</v>
      </c>
      <c r="K13" s="140">
        <f t="shared" si="6"/>
        <v>539645</v>
      </c>
      <c r="L13" s="140">
        <f t="shared" si="1"/>
        <v>2431519.5</v>
      </c>
      <c r="M13" s="605"/>
    </row>
    <row r="14" spans="1:13" ht="24" customHeight="1">
      <c r="A14" s="446">
        <v>40575</v>
      </c>
      <c r="B14" s="47">
        <v>1433</v>
      </c>
      <c r="C14" s="47">
        <v>388790</v>
      </c>
      <c r="D14" s="447">
        <f t="shared" si="2"/>
        <v>10592.5</v>
      </c>
      <c r="E14" s="447">
        <f t="shared" si="3"/>
        <v>2820309.5</v>
      </c>
      <c r="F14" s="140">
        <v>0</v>
      </c>
      <c r="G14" s="47">
        <v>0</v>
      </c>
      <c r="H14" s="141">
        <f t="shared" si="4"/>
        <v>1891874.5</v>
      </c>
      <c r="I14" s="47">
        <v>0</v>
      </c>
      <c r="J14" s="465">
        <f t="shared" si="5"/>
        <v>0</v>
      </c>
      <c r="K14" s="140">
        <f t="shared" si="6"/>
        <v>2431519.5</v>
      </c>
      <c r="L14" s="140">
        <f t="shared" si="1"/>
        <v>2820309.5</v>
      </c>
      <c r="M14" s="605"/>
    </row>
    <row r="15" spans="1:13" ht="24" customHeight="1">
      <c r="A15" s="446">
        <v>40603</v>
      </c>
      <c r="B15" s="47">
        <v>5704</v>
      </c>
      <c r="C15" s="47">
        <v>1533315</v>
      </c>
      <c r="D15" s="447">
        <f t="shared" si="2"/>
        <v>16296.5</v>
      </c>
      <c r="E15" s="447">
        <f t="shared" si="3"/>
        <v>4353624.5</v>
      </c>
      <c r="F15" s="140">
        <v>0</v>
      </c>
      <c r="G15" s="47">
        <v>0</v>
      </c>
      <c r="H15" s="141">
        <f t="shared" si="4"/>
        <v>388790</v>
      </c>
      <c r="I15" s="47">
        <v>0</v>
      </c>
      <c r="J15" s="465">
        <f t="shared" si="5"/>
        <v>0</v>
      </c>
      <c r="K15" s="140">
        <f t="shared" si="6"/>
        <v>2820309.5</v>
      </c>
      <c r="L15" s="140">
        <f t="shared" si="1"/>
        <v>4353624.5</v>
      </c>
      <c r="M15" s="605"/>
    </row>
    <row r="16" spans="1:13" ht="24" customHeight="1">
      <c r="A16" s="446">
        <v>40634</v>
      </c>
      <c r="B16" s="47">
        <f>261+3883.5</f>
        <v>4144.5</v>
      </c>
      <c r="C16" s="47">
        <f>70470+1056072.5</f>
        <v>1126542.5</v>
      </c>
      <c r="D16" s="447">
        <f t="shared" si="2"/>
        <v>20441</v>
      </c>
      <c r="E16" s="592">
        <f t="shared" si="3"/>
        <v>5480167</v>
      </c>
      <c r="F16" s="140">
        <v>0</v>
      </c>
      <c r="G16" s="47">
        <v>0</v>
      </c>
      <c r="H16" s="141">
        <f t="shared" si="4"/>
        <v>1533315</v>
      </c>
      <c r="I16" s="47">
        <v>0</v>
      </c>
      <c r="J16" s="465">
        <f t="shared" si="5"/>
        <v>0</v>
      </c>
      <c r="K16" s="140">
        <f t="shared" si="6"/>
        <v>4353624.5</v>
      </c>
      <c r="L16" s="140">
        <f t="shared" si="1"/>
        <v>5480167</v>
      </c>
      <c r="M16" s="605" t="s">
        <v>3847</v>
      </c>
    </row>
    <row r="17" spans="1:13" ht="24" customHeight="1">
      <c r="A17" s="446">
        <v>40664</v>
      </c>
      <c r="B17" s="47">
        <v>2455</v>
      </c>
      <c r="C17" s="47">
        <v>693042.5</v>
      </c>
      <c r="D17" s="447">
        <f t="shared" si="2"/>
        <v>22896</v>
      </c>
      <c r="E17" s="592">
        <f t="shared" si="3"/>
        <v>6173209.5</v>
      </c>
      <c r="F17" s="140">
        <v>0</v>
      </c>
      <c r="G17" s="47">
        <v>0</v>
      </c>
      <c r="H17" s="141">
        <f t="shared" si="4"/>
        <v>1126542.5</v>
      </c>
      <c r="I17" s="47">
        <v>1000000</v>
      </c>
      <c r="J17" s="465">
        <f t="shared" si="5"/>
        <v>1000000</v>
      </c>
      <c r="K17" s="140">
        <f t="shared" si="6"/>
        <v>4480167</v>
      </c>
      <c r="L17" s="140">
        <f t="shared" si="1"/>
        <v>5173209.5</v>
      </c>
      <c r="M17" s="605" t="s">
        <v>3848</v>
      </c>
    </row>
    <row r="18" spans="1:13" ht="24" customHeight="1">
      <c r="A18" s="446">
        <v>40695</v>
      </c>
      <c r="B18" s="47">
        <v>1506.5</v>
      </c>
      <c r="C18" s="47">
        <v>441932.5</v>
      </c>
      <c r="D18" s="447">
        <f t="shared" si="2"/>
        <v>24402.5</v>
      </c>
      <c r="E18" s="592">
        <f t="shared" si="3"/>
        <v>6615142</v>
      </c>
      <c r="F18" s="140">
        <v>0</v>
      </c>
      <c r="G18" s="47">
        <v>0</v>
      </c>
      <c r="H18" s="141">
        <f t="shared" si="4"/>
        <v>693042.5</v>
      </c>
      <c r="I18" s="47">
        <v>1500000</v>
      </c>
      <c r="J18" s="465">
        <f t="shared" si="5"/>
        <v>2500000</v>
      </c>
      <c r="K18" s="140">
        <f t="shared" si="6"/>
        <v>3673209.5</v>
      </c>
      <c r="L18" s="140">
        <f t="shared" si="1"/>
        <v>4115142</v>
      </c>
      <c r="M18" s="605" t="s">
        <v>3849</v>
      </c>
    </row>
    <row r="19" spans="1:13" ht="24" customHeight="1">
      <c r="A19" s="446">
        <v>40725</v>
      </c>
      <c r="B19" s="47">
        <v>1449.5</v>
      </c>
      <c r="C19" s="47">
        <v>418262.5</v>
      </c>
      <c r="D19" s="447">
        <f t="shared" si="2"/>
        <v>25852</v>
      </c>
      <c r="E19" s="592">
        <f t="shared" si="3"/>
        <v>7033404.5</v>
      </c>
      <c r="F19" s="140">
        <v>0</v>
      </c>
      <c r="G19" s="47">
        <v>0</v>
      </c>
      <c r="H19" s="141">
        <f t="shared" si="4"/>
        <v>441932.5</v>
      </c>
      <c r="I19" s="47">
        <v>1500000</v>
      </c>
      <c r="J19" s="465">
        <f t="shared" si="5"/>
        <v>4000000</v>
      </c>
      <c r="K19" s="140">
        <f t="shared" si="6"/>
        <v>2615142</v>
      </c>
      <c r="L19" s="140">
        <f t="shared" si="1"/>
        <v>3033404.5</v>
      </c>
      <c r="M19" s="605"/>
    </row>
    <row r="20" spans="1:13" ht="24" customHeight="1">
      <c r="A20" s="446">
        <v>40756</v>
      </c>
      <c r="B20" s="47">
        <v>1303.5</v>
      </c>
      <c r="C20" s="47">
        <v>364535</v>
      </c>
      <c r="D20" s="447">
        <f t="shared" si="2"/>
        <v>27155.5</v>
      </c>
      <c r="E20" s="592">
        <f t="shared" si="3"/>
        <v>7397939.5</v>
      </c>
      <c r="F20" s="140">
        <v>0</v>
      </c>
      <c r="G20" s="47">
        <v>0</v>
      </c>
      <c r="H20" s="141">
        <f t="shared" si="4"/>
        <v>418262.5</v>
      </c>
      <c r="I20" s="47">
        <v>0</v>
      </c>
      <c r="J20" s="465">
        <f t="shared" si="5"/>
        <v>4000000</v>
      </c>
      <c r="K20" s="140">
        <f t="shared" si="6"/>
        <v>3033404.5</v>
      </c>
      <c r="L20" s="140">
        <f t="shared" si="1"/>
        <v>3397939.5</v>
      </c>
      <c r="M20" s="605" t="s">
        <v>3850</v>
      </c>
    </row>
    <row r="21" spans="1:13" ht="24" customHeight="1">
      <c r="A21" s="446">
        <v>40787</v>
      </c>
      <c r="B21" s="47">
        <v>100.5</v>
      </c>
      <c r="C21" s="47">
        <v>27927.5</v>
      </c>
      <c r="D21" s="447">
        <f t="shared" si="2"/>
        <v>27256</v>
      </c>
      <c r="E21" s="592">
        <f t="shared" si="3"/>
        <v>7425867</v>
      </c>
      <c r="F21" s="140">
        <v>0</v>
      </c>
      <c r="G21" s="47">
        <v>0</v>
      </c>
      <c r="H21" s="141">
        <f t="shared" si="4"/>
        <v>364535</v>
      </c>
      <c r="I21" s="47">
        <v>1000000</v>
      </c>
      <c r="J21" s="465">
        <f t="shared" si="5"/>
        <v>5000000</v>
      </c>
      <c r="K21" s="140">
        <f t="shared" si="6"/>
        <v>2397939.5</v>
      </c>
      <c r="L21" s="140">
        <f t="shared" si="1"/>
        <v>2425867</v>
      </c>
      <c r="M21" s="605"/>
    </row>
    <row r="22" spans="1:13" ht="24" customHeight="1">
      <c r="A22" s="446">
        <v>40817</v>
      </c>
      <c r="B22" s="47">
        <v>93</v>
      </c>
      <c r="C22" s="47">
        <v>25785</v>
      </c>
      <c r="D22" s="447">
        <f t="shared" si="2"/>
        <v>27349</v>
      </c>
      <c r="E22" s="592">
        <f t="shared" si="3"/>
        <v>7451652</v>
      </c>
      <c r="F22" s="140">
        <v>0</v>
      </c>
      <c r="G22" s="47">
        <v>0</v>
      </c>
      <c r="H22" s="141">
        <f t="shared" si="4"/>
        <v>27927.5</v>
      </c>
      <c r="I22" s="47">
        <v>0</v>
      </c>
      <c r="J22" s="465">
        <f t="shared" si="5"/>
        <v>5000000</v>
      </c>
      <c r="K22" s="140">
        <f t="shared" si="6"/>
        <v>2425867</v>
      </c>
      <c r="L22" s="140">
        <f t="shared" si="1"/>
        <v>2451652</v>
      </c>
      <c r="M22" s="605"/>
    </row>
    <row r="23" spans="1:13" ht="24" customHeight="1">
      <c r="A23" s="446">
        <v>40848</v>
      </c>
      <c r="B23" s="47">
        <v>158</v>
      </c>
      <c r="C23" s="47">
        <v>43742.5</v>
      </c>
      <c r="D23" s="447">
        <f t="shared" si="2"/>
        <v>27507</v>
      </c>
      <c r="E23" s="592">
        <f t="shared" si="3"/>
        <v>7495394.5</v>
      </c>
      <c r="F23" s="140">
        <v>0</v>
      </c>
      <c r="G23" s="47">
        <v>0</v>
      </c>
      <c r="H23" s="141">
        <f t="shared" si="4"/>
        <v>25785</v>
      </c>
      <c r="I23" s="47">
        <v>0</v>
      </c>
      <c r="J23" s="465">
        <f t="shared" si="5"/>
        <v>5000000</v>
      </c>
      <c r="K23" s="140">
        <f t="shared" si="6"/>
        <v>2451652</v>
      </c>
      <c r="L23" s="140">
        <f t="shared" si="1"/>
        <v>2495394.5</v>
      </c>
      <c r="M23" s="605"/>
    </row>
    <row r="24" spans="1:13" ht="24" customHeight="1">
      <c r="A24" s="446">
        <v>40878</v>
      </c>
      <c r="B24" s="47">
        <v>1091.5</v>
      </c>
      <c r="C24" s="47">
        <v>295087.5</v>
      </c>
      <c r="D24" s="447">
        <f t="shared" si="2"/>
        <v>28598.5</v>
      </c>
      <c r="E24" s="592">
        <f t="shared" si="3"/>
        <v>7790482</v>
      </c>
      <c r="F24" s="140">
        <v>0</v>
      </c>
      <c r="G24" s="47">
        <v>0</v>
      </c>
      <c r="H24" s="141">
        <f t="shared" si="4"/>
        <v>43742.5</v>
      </c>
      <c r="I24" s="47">
        <v>0</v>
      </c>
      <c r="J24" s="465">
        <f t="shared" si="5"/>
        <v>5000000</v>
      </c>
      <c r="K24" s="140">
        <f t="shared" si="6"/>
        <v>2495394.5</v>
      </c>
      <c r="L24" s="140">
        <f t="shared" si="1"/>
        <v>2790482</v>
      </c>
      <c r="M24" s="605"/>
    </row>
    <row r="25" spans="1:13" ht="24" customHeight="1">
      <c r="A25" s="446">
        <v>40909</v>
      </c>
      <c r="B25" s="47">
        <v>42.5</v>
      </c>
      <c r="C25" s="47">
        <v>11687.5</v>
      </c>
      <c r="D25" s="447">
        <f t="shared" si="2"/>
        <v>28641</v>
      </c>
      <c r="E25" s="592">
        <f t="shared" si="3"/>
        <v>7802169.5</v>
      </c>
      <c r="F25" s="140">
        <v>0</v>
      </c>
      <c r="G25" s="47">
        <v>0</v>
      </c>
      <c r="H25" s="141">
        <f t="shared" si="4"/>
        <v>295087.5</v>
      </c>
      <c r="I25" s="47">
        <v>0</v>
      </c>
      <c r="J25" s="465">
        <f t="shared" si="5"/>
        <v>5000000</v>
      </c>
      <c r="K25" s="140">
        <f t="shared" si="6"/>
        <v>2790482</v>
      </c>
      <c r="L25" s="140">
        <f t="shared" si="1"/>
        <v>2802169.5</v>
      </c>
      <c r="M25" s="605"/>
    </row>
    <row r="26" spans="1:13" ht="24" customHeight="1">
      <c r="A26" s="446">
        <v>40940</v>
      </c>
      <c r="B26" s="47">
        <v>0</v>
      </c>
      <c r="C26" s="47">
        <v>0</v>
      </c>
      <c r="D26" s="447">
        <f t="shared" si="2"/>
        <v>28641</v>
      </c>
      <c r="E26" s="592">
        <f t="shared" si="3"/>
        <v>7802169.5</v>
      </c>
      <c r="F26" s="140">
        <v>0</v>
      </c>
      <c r="G26" s="47">
        <v>0</v>
      </c>
      <c r="H26" s="141">
        <f t="shared" si="4"/>
        <v>11687.5</v>
      </c>
      <c r="I26" s="47">
        <v>0</v>
      </c>
      <c r="J26" s="465">
        <f t="shared" si="5"/>
        <v>5000000</v>
      </c>
      <c r="K26" s="140">
        <f t="shared" si="6"/>
        <v>2802169.5</v>
      </c>
      <c r="L26" s="140">
        <f t="shared" si="1"/>
        <v>2802169.5</v>
      </c>
      <c r="M26" s="605"/>
    </row>
    <row r="27" spans="1:13" ht="24" customHeight="1">
      <c r="A27" s="446">
        <v>40969</v>
      </c>
      <c r="B27" s="47">
        <v>8.5</v>
      </c>
      <c r="C27" s="47">
        <v>2337.5</v>
      </c>
      <c r="D27" s="447">
        <f t="shared" si="2"/>
        <v>28649.5</v>
      </c>
      <c r="E27" s="592">
        <f t="shared" si="3"/>
        <v>7804507</v>
      </c>
      <c r="F27" s="140">
        <v>0</v>
      </c>
      <c r="G27" s="47">
        <v>0</v>
      </c>
      <c r="H27" s="141">
        <f t="shared" si="4"/>
        <v>0</v>
      </c>
      <c r="I27" s="47">
        <v>0</v>
      </c>
      <c r="J27" s="465">
        <f t="shared" si="5"/>
        <v>5000000</v>
      </c>
      <c r="K27" s="140">
        <f t="shared" si="6"/>
        <v>2802169.5</v>
      </c>
      <c r="L27" s="140">
        <f t="shared" si="1"/>
        <v>2804507</v>
      </c>
      <c r="M27" s="605"/>
    </row>
    <row r="28" spans="1:13" ht="24" customHeight="1">
      <c r="A28" s="446">
        <v>41000</v>
      </c>
      <c r="B28" s="47">
        <v>4.5</v>
      </c>
      <c r="C28" s="47">
        <v>1237.5</v>
      </c>
      <c r="D28" s="447">
        <f t="shared" si="2"/>
        <v>28654</v>
      </c>
      <c r="E28" s="592">
        <f t="shared" si="3"/>
        <v>7805744.5</v>
      </c>
      <c r="F28" s="140">
        <v>0</v>
      </c>
      <c r="G28" s="47">
        <v>0</v>
      </c>
      <c r="H28" s="141">
        <f t="shared" si="4"/>
        <v>2337.5</v>
      </c>
      <c r="I28" s="47">
        <v>0</v>
      </c>
      <c r="J28" s="465">
        <f t="shared" si="5"/>
        <v>5000000</v>
      </c>
      <c r="K28" s="140">
        <f t="shared" si="6"/>
        <v>2804507</v>
      </c>
      <c r="L28" s="140">
        <f t="shared" si="1"/>
        <v>2805744.5</v>
      </c>
      <c r="M28" s="605"/>
    </row>
    <row r="29" spans="1:13" ht="24" customHeight="1">
      <c r="A29" s="446">
        <v>41030</v>
      </c>
      <c r="B29" s="47">
        <v>133.5</v>
      </c>
      <c r="C29" s="47">
        <v>37072.5</v>
      </c>
      <c r="D29" s="447">
        <f t="shared" si="2"/>
        <v>28787.5</v>
      </c>
      <c r="E29" s="592">
        <f t="shared" si="3"/>
        <v>7842817</v>
      </c>
      <c r="F29" s="140">
        <v>0</v>
      </c>
      <c r="G29" s="47">
        <v>0</v>
      </c>
      <c r="H29" s="141">
        <f t="shared" si="4"/>
        <v>1237.5</v>
      </c>
      <c r="I29" s="47">
        <v>0</v>
      </c>
      <c r="J29" s="465">
        <f t="shared" si="5"/>
        <v>5000000</v>
      </c>
      <c r="K29" s="140">
        <f t="shared" si="6"/>
        <v>2805744.5</v>
      </c>
      <c r="L29" s="140">
        <f t="shared" si="1"/>
        <v>2842817</v>
      </c>
      <c r="M29" s="605"/>
    </row>
    <row r="30" spans="1:13" ht="24" customHeight="1">
      <c r="A30" s="446">
        <v>41061</v>
      </c>
      <c r="B30" s="47">
        <v>0</v>
      </c>
      <c r="C30" s="47">
        <v>0</v>
      </c>
      <c r="D30" s="447">
        <f t="shared" si="2"/>
        <v>28787.5</v>
      </c>
      <c r="E30" s="592">
        <f t="shared" si="3"/>
        <v>7842817</v>
      </c>
      <c r="F30" s="140">
        <v>0</v>
      </c>
      <c r="G30" s="47">
        <v>0</v>
      </c>
      <c r="H30" s="141">
        <f t="shared" si="4"/>
        <v>37072.5</v>
      </c>
      <c r="I30" s="47">
        <v>0</v>
      </c>
      <c r="J30" s="465">
        <f t="shared" si="5"/>
        <v>5000000</v>
      </c>
      <c r="K30" s="140">
        <f t="shared" si="6"/>
        <v>2842817</v>
      </c>
      <c r="L30" s="140">
        <f t="shared" si="1"/>
        <v>2842817</v>
      </c>
      <c r="M30" s="605"/>
    </row>
    <row r="31" spans="1:13" ht="24" customHeight="1">
      <c r="A31" s="446">
        <v>41091</v>
      </c>
      <c r="B31" s="47">
        <v>0</v>
      </c>
      <c r="C31" s="47">
        <v>0</v>
      </c>
      <c r="D31" s="447">
        <f t="shared" si="2"/>
        <v>28787.5</v>
      </c>
      <c r="E31" s="592">
        <f t="shared" si="3"/>
        <v>7842817</v>
      </c>
      <c r="F31" s="140">
        <v>0</v>
      </c>
      <c r="G31" s="47">
        <v>0</v>
      </c>
      <c r="H31" s="141">
        <f t="shared" si="4"/>
        <v>0</v>
      </c>
      <c r="I31" s="47">
        <v>0</v>
      </c>
      <c r="J31" s="465">
        <f t="shared" si="5"/>
        <v>5000000</v>
      </c>
      <c r="K31" s="140">
        <f t="shared" si="6"/>
        <v>2842817</v>
      </c>
      <c r="L31" s="140">
        <f t="shared" si="1"/>
        <v>2842817</v>
      </c>
      <c r="M31" s="605"/>
    </row>
    <row r="32" spans="1:13" ht="24" customHeight="1">
      <c r="A32" s="446">
        <v>41122</v>
      </c>
      <c r="B32" s="47">
        <v>28</v>
      </c>
      <c r="C32" s="47">
        <v>7900</v>
      </c>
      <c r="D32" s="447">
        <f t="shared" si="2"/>
        <v>28815.5</v>
      </c>
      <c r="E32" s="592">
        <f t="shared" si="3"/>
        <v>7850717</v>
      </c>
      <c r="F32" s="140">
        <v>0</v>
      </c>
      <c r="G32" s="47">
        <v>0</v>
      </c>
      <c r="H32" s="141">
        <f t="shared" si="4"/>
        <v>0</v>
      </c>
      <c r="I32" s="47">
        <v>0</v>
      </c>
      <c r="J32" s="465">
        <f t="shared" si="5"/>
        <v>5000000</v>
      </c>
      <c r="K32" s="140">
        <f t="shared" si="6"/>
        <v>2842817</v>
      </c>
      <c r="L32" s="140">
        <f t="shared" si="1"/>
        <v>2850717</v>
      </c>
      <c r="M32" s="605"/>
    </row>
    <row r="33" spans="1:13" ht="24" customHeight="1">
      <c r="A33" s="446">
        <v>41153</v>
      </c>
      <c r="B33" s="47">
        <v>590</v>
      </c>
      <c r="C33" s="47">
        <v>168150</v>
      </c>
      <c r="D33" s="447">
        <f t="shared" si="2"/>
        <v>29405.5</v>
      </c>
      <c r="E33" s="592">
        <f t="shared" si="3"/>
        <v>8018867</v>
      </c>
      <c r="F33" s="140">
        <v>0</v>
      </c>
      <c r="G33" s="47">
        <v>0</v>
      </c>
      <c r="H33" s="141">
        <f t="shared" si="4"/>
        <v>7900</v>
      </c>
      <c r="I33" s="47">
        <v>0</v>
      </c>
      <c r="J33" s="465">
        <f t="shared" si="5"/>
        <v>5000000</v>
      </c>
      <c r="K33" s="140">
        <f t="shared" si="6"/>
        <v>2850717</v>
      </c>
      <c r="L33" s="140">
        <f t="shared" si="1"/>
        <v>3018867</v>
      </c>
      <c r="M33" s="605"/>
    </row>
    <row r="34" spans="1:13" ht="24" customHeight="1">
      <c r="A34" s="446">
        <v>41183</v>
      </c>
      <c r="B34" s="47">
        <v>1860</v>
      </c>
      <c r="C34" s="47">
        <v>542320</v>
      </c>
      <c r="D34" s="447">
        <f t="shared" si="2"/>
        <v>31265.5</v>
      </c>
      <c r="E34" s="592">
        <f t="shared" si="3"/>
        <v>8561187</v>
      </c>
      <c r="F34" s="140">
        <v>0</v>
      </c>
      <c r="G34" s="47">
        <v>0</v>
      </c>
      <c r="H34" s="141">
        <f t="shared" si="4"/>
        <v>168150</v>
      </c>
      <c r="I34" s="47">
        <v>0</v>
      </c>
      <c r="J34" s="465">
        <f t="shared" si="5"/>
        <v>5000000</v>
      </c>
      <c r="K34" s="140">
        <f t="shared" si="6"/>
        <v>3018867</v>
      </c>
      <c r="L34" s="140">
        <f t="shared" si="1"/>
        <v>3561187</v>
      </c>
      <c r="M34" s="605"/>
    </row>
    <row r="35" spans="1:13" ht="24" customHeight="1">
      <c r="A35" s="446">
        <v>41214</v>
      </c>
      <c r="B35" s="47">
        <v>550</v>
      </c>
      <c r="C35" s="47">
        <v>166110</v>
      </c>
      <c r="D35" s="447">
        <f t="shared" si="2"/>
        <v>31815.5</v>
      </c>
      <c r="E35" s="592">
        <f t="shared" si="3"/>
        <v>8727297</v>
      </c>
      <c r="F35" s="140">
        <v>0</v>
      </c>
      <c r="G35" s="47">
        <v>0</v>
      </c>
      <c r="H35" s="141">
        <f t="shared" si="4"/>
        <v>542320</v>
      </c>
      <c r="I35" s="47">
        <v>1000000</v>
      </c>
      <c r="J35" s="465">
        <f t="shared" si="5"/>
        <v>6000000</v>
      </c>
      <c r="K35" s="140">
        <f t="shared" si="6"/>
        <v>2561187</v>
      </c>
      <c r="L35" s="140">
        <f t="shared" si="1"/>
        <v>2727297</v>
      </c>
      <c r="M35" s="605" t="s">
        <v>3851</v>
      </c>
    </row>
    <row r="36" spans="1:13" ht="24" customHeight="1">
      <c r="A36" s="446">
        <v>41244</v>
      </c>
      <c r="B36" s="47">
        <v>124</v>
      </c>
      <c r="C36" s="47">
        <v>35100</v>
      </c>
      <c r="D36" s="447">
        <f t="shared" si="2"/>
        <v>31939.5</v>
      </c>
      <c r="E36" s="592">
        <f t="shared" si="3"/>
        <v>8762397</v>
      </c>
      <c r="F36" s="140">
        <v>0</v>
      </c>
      <c r="G36" s="47">
        <v>0</v>
      </c>
      <c r="H36" s="141">
        <f t="shared" si="4"/>
        <v>166110</v>
      </c>
      <c r="I36" s="47">
        <v>0</v>
      </c>
      <c r="J36" s="465">
        <f t="shared" si="5"/>
        <v>6000000</v>
      </c>
      <c r="K36" s="140">
        <f t="shared" si="6"/>
        <v>2727297</v>
      </c>
      <c r="L36" s="140">
        <f t="shared" si="1"/>
        <v>2762397</v>
      </c>
      <c r="M36" s="605"/>
    </row>
    <row r="37" spans="1:13" ht="24" customHeight="1">
      <c r="A37" s="446">
        <v>41275</v>
      </c>
      <c r="B37" s="47">
        <v>538</v>
      </c>
      <c r="C37" s="47">
        <v>163730</v>
      </c>
      <c r="D37" s="447">
        <f t="shared" si="2"/>
        <v>32477.5</v>
      </c>
      <c r="E37" s="592">
        <f t="shared" si="3"/>
        <v>8926127</v>
      </c>
      <c r="F37" s="140">
        <v>0</v>
      </c>
      <c r="G37" s="47">
        <v>0</v>
      </c>
      <c r="H37" s="141">
        <f t="shared" si="4"/>
        <v>35100</v>
      </c>
      <c r="I37" s="47">
        <v>0</v>
      </c>
      <c r="J37" s="465">
        <f t="shared" si="5"/>
        <v>6000000</v>
      </c>
      <c r="K37" s="140">
        <f t="shared" si="6"/>
        <v>2762397</v>
      </c>
      <c r="L37" s="140">
        <f t="shared" si="1"/>
        <v>2926127</v>
      </c>
      <c r="M37" s="605"/>
    </row>
    <row r="38" spans="1:13" ht="24" customHeight="1">
      <c r="A38" s="446">
        <v>41306</v>
      </c>
      <c r="B38" s="47">
        <v>0</v>
      </c>
      <c r="C38" s="47">
        <v>0</v>
      </c>
      <c r="D38" s="447">
        <f t="shared" si="2"/>
        <v>32477.5</v>
      </c>
      <c r="E38" s="592">
        <f t="shared" si="3"/>
        <v>8926127</v>
      </c>
      <c r="F38" s="140">
        <v>0</v>
      </c>
      <c r="G38" s="47">
        <v>0</v>
      </c>
      <c r="H38" s="141">
        <f t="shared" si="4"/>
        <v>163730</v>
      </c>
      <c r="I38" s="47">
        <v>0</v>
      </c>
      <c r="J38" s="465">
        <f t="shared" si="5"/>
        <v>6000000</v>
      </c>
      <c r="K38" s="140">
        <f t="shared" si="6"/>
        <v>2926127</v>
      </c>
      <c r="L38" s="140">
        <f t="shared" si="1"/>
        <v>2926127</v>
      </c>
      <c r="M38" s="605"/>
    </row>
    <row r="39" spans="1:13" ht="24" customHeight="1">
      <c r="A39" s="446">
        <v>41334</v>
      </c>
      <c r="B39" s="47">
        <v>16</v>
      </c>
      <c r="C39" s="47">
        <v>4650</v>
      </c>
      <c r="D39" s="447">
        <f t="shared" si="2"/>
        <v>32493.5</v>
      </c>
      <c r="E39" s="592">
        <f t="shared" si="3"/>
        <v>8930777</v>
      </c>
      <c r="F39" s="140">
        <v>0</v>
      </c>
      <c r="G39" s="47">
        <v>0</v>
      </c>
      <c r="H39" s="141">
        <f t="shared" si="4"/>
        <v>0</v>
      </c>
      <c r="I39" s="47">
        <v>0</v>
      </c>
      <c r="J39" s="465">
        <f t="shared" si="5"/>
        <v>6000000</v>
      </c>
      <c r="K39" s="140">
        <f t="shared" si="6"/>
        <v>2926127</v>
      </c>
      <c r="L39" s="140">
        <f t="shared" si="1"/>
        <v>2930777</v>
      </c>
      <c r="M39" s="606" t="s">
        <v>3852</v>
      </c>
    </row>
    <row r="40" spans="1:13" ht="24" customHeight="1">
      <c r="A40" s="446">
        <v>41365</v>
      </c>
      <c r="B40" s="47">
        <v>31</v>
      </c>
      <c r="C40" s="47">
        <v>8225</v>
      </c>
      <c r="D40" s="447">
        <f t="shared" si="2"/>
        <v>32524.5</v>
      </c>
      <c r="E40" s="592">
        <f t="shared" si="3"/>
        <v>8939002</v>
      </c>
      <c r="F40" s="140">
        <v>0</v>
      </c>
      <c r="G40" s="47">
        <v>0</v>
      </c>
      <c r="H40" s="141">
        <f t="shared" si="4"/>
        <v>4650</v>
      </c>
      <c r="I40" s="47">
        <v>0</v>
      </c>
      <c r="J40" s="465">
        <f t="shared" si="5"/>
        <v>6000000</v>
      </c>
      <c r="K40" s="140">
        <f t="shared" si="6"/>
        <v>2930777</v>
      </c>
      <c r="L40" s="140">
        <f t="shared" si="1"/>
        <v>2939002</v>
      </c>
      <c r="M40" s="605"/>
    </row>
    <row r="41" spans="1:13" ht="24" customHeight="1">
      <c r="A41" s="446">
        <v>41395</v>
      </c>
      <c r="B41" s="47">
        <v>0</v>
      </c>
      <c r="C41" s="47">
        <v>0</v>
      </c>
      <c r="D41" s="447">
        <f t="shared" si="2"/>
        <v>32524.5</v>
      </c>
      <c r="E41" s="592">
        <f t="shared" si="3"/>
        <v>8939002</v>
      </c>
      <c r="F41" s="140">
        <v>0</v>
      </c>
      <c r="G41" s="47">
        <v>0</v>
      </c>
      <c r="H41" s="141">
        <f t="shared" si="4"/>
        <v>8225</v>
      </c>
      <c r="I41" s="47">
        <v>0</v>
      </c>
      <c r="J41" s="465">
        <f t="shared" si="5"/>
        <v>6000000</v>
      </c>
      <c r="K41" s="140">
        <f t="shared" si="6"/>
        <v>2939002</v>
      </c>
      <c r="L41" s="140">
        <f t="shared" si="1"/>
        <v>2939002</v>
      </c>
      <c r="M41" s="605"/>
    </row>
    <row r="42" spans="1:13" ht="24" customHeight="1">
      <c r="A42" s="593">
        <v>41487</v>
      </c>
      <c r="B42" s="163">
        <v>59</v>
      </c>
      <c r="C42" s="163">
        <v>16605</v>
      </c>
      <c r="D42" s="447">
        <f t="shared" si="2"/>
        <v>32583.5</v>
      </c>
      <c r="E42" s="592">
        <f t="shared" si="3"/>
        <v>8955607</v>
      </c>
      <c r="F42" s="140">
        <v>0</v>
      </c>
      <c r="G42" s="47">
        <v>0</v>
      </c>
      <c r="H42" s="141">
        <f t="shared" si="4"/>
        <v>0</v>
      </c>
      <c r="I42" s="47">
        <v>0</v>
      </c>
      <c r="J42" s="465">
        <f t="shared" si="5"/>
        <v>6000000</v>
      </c>
      <c r="K42" s="140">
        <f t="shared" si="6"/>
        <v>2939002</v>
      </c>
      <c r="L42" s="140">
        <f t="shared" si="1"/>
        <v>2955607</v>
      </c>
      <c r="M42" s="607"/>
    </row>
    <row r="43" spans="1:13" ht="24" customHeight="1">
      <c r="A43" s="593">
        <v>41518</v>
      </c>
      <c r="B43" s="163">
        <v>341.5</v>
      </c>
      <c r="C43" s="163">
        <v>100472.5</v>
      </c>
      <c r="D43" s="447">
        <f t="shared" si="2"/>
        <v>32925</v>
      </c>
      <c r="E43" s="592">
        <f t="shared" si="3"/>
        <v>9056079.5</v>
      </c>
      <c r="F43" s="140">
        <v>0</v>
      </c>
      <c r="G43" s="47">
        <v>0</v>
      </c>
      <c r="H43" s="141">
        <f t="shared" si="4"/>
        <v>16605</v>
      </c>
      <c r="I43" s="163">
        <v>500000</v>
      </c>
      <c r="J43" s="465">
        <f t="shared" si="5"/>
        <v>6500000</v>
      </c>
      <c r="K43" s="140">
        <f t="shared" si="6"/>
        <v>2455607</v>
      </c>
      <c r="L43" s="140">
        <f t="shared" si="1"/>
        <v>2556079.5</v>
      </c>
      <c r="M43" s="607"/>
    </row>
    <row r="44" spans="1:13" ht="24" customHeight="1">
      <c r="A44" s="593">
        <v>41548</v>
      </c>
      <c r="B44" s="163">
        <v>625</v>
      </c>
      <c r="C44" s="594">
        <v>212035</v>
      </c>
      <c r="D44" s="447">
        <f t="shared" si="2"/>
        <v>33550</v>
      </c>
      <c r="E44" s="592">
        <f t="shared" si="3"/>
        <v>9268114.5</v>
      </c>
      <c r="F44" s="140">
        <v>0</v>
      </c>
      <c r="G44" s="47">
        <v>0</v>
      </c>
      <c r="H44" s="141">
        <f t="shared" si="4"/>
        <v>100472.5</v>
      </c>
      <c r="I44" s="163">
        <v>500000</v>
      </c>
      <c r="J44" s="465">
        <f t="shared" si="5"/>
        <v>7000000</v>
      </c>
      <c r="K44" s="140">
        <f t="shared" si="6"/>
        <v>2056079.5</v>
      </c>
      <c r="L44" s="140">
        <f t="shared" si="1"/>
        <v>2268114.5</v>
      </c>
      <c r="M44" s="607" t="s">
        <v>3853</v>
      </c>
    </row>
    <row r="45" spans="1:13" ht="24" customHeight="1">
      <c r="A45" s="593">
        <v>41579</v>
      </c>
      <c r="B45" s="163">
        <v>66</v>
      </c>
      <c r="C45" s="163">
        <v>22245</v>
      </c>
      <c r="D45" s="447">
        <f t="shared" si="2"/>
        <v>33616</v>
      </c>
      <c r="E45" s="592">
        <f t="shared" si="3"/>
        <v>9290359.5</v>
      </c>
      <c r="F45" s="140">
        <v>0</v>
      </c>
      <c r="G45" s="47">
        <v>0</v>
      </c>
      <c r="H45" s="141">
        <f t="shared" si="4"/>
        <v>212035</v>
      </c>
      <c r="I45" s="47">
        <v>500000</v>
      </c>
      <c r="J45" s="465">
        <f t="shared" si="5"/>
        <v>7500000</v>
      </c>
      <c r="K45" s="140">
        <f t="shared" si="6"/>
        <v>1768114.5</v>
      </c>
      <c r="L45" s="140">
        <f t="shared" si="1"/>
        <v>1790359.5</v>
      </c>
      <c r="M45" s="607" t="s">
        <v>3854</v>
      </c>
    </row>
    <row r="46" spans="1:13" ht="24" customHeight="1">
      <c r="A46" s="593">
        <v>41609</v>
      </c>
      <c r="B46" s="163">
        <v>1012.5</v>
      </c>
      <c r="C46" s="163">
        <v>348912.5</v>
      </c>
      <c r="D46" s="447">
        <f t="shared" si="2"/>
        <v>34628.5</v>
      </c>
      <c r="E46" s="592">
        <f t="shared" si="3"/>
        <v>9639272</v>
      </c>
      <c r="F46" s="140">
        <v>0</v>
      </c>
      <c r="G46" s="47">
        <v>0</v>
      </c>
      <c r="H46" s="141">
        <f t="shared" si="4"/>
        <v>22245</v>
      </c>
      <c r="I46" s="47">
        <v>500000</v>
      </c>
      <c r="J46" s="465">
        <f t="shared" si="5"/>
        <v>8000000</v>
      </c>
      <c r="K46" s="140">
        <f t="shared" si="6"/>
        <v>1290359.5</v>
      </c>
      <c r="L46" s="140">
        <f t="shared" si="1"/>
        <v>1639272</v>
      </c>
      <c r="M46" s="607" t="s">
        <v>3855</v>
      </c>
    </row>
    <row r="47" spans="1:13" ht="24" customHeight="1">
      <c r="A47" s="593">
        <v>41640</v>
      </c>
      <c r="B47" s="163">
        <v>52</v>
      </c>
      <c r="C47" s="163">
        <v>17480</v>
      </c>
      <c r="D47" s="447">
        <f t="shared" si="2"/>
        <v>34680.5</v>
      </c>
      <c r="E47" s="592">
        <f t="shared" si="3"/>
        <v>9656752</v>
      </c>
      <c r="F47" s="140">
        <v>0</v>
      </c>
      <c r="G47" s="47">
        <v>0</v>
      </c>
      <c r="H47" s="141">
        <f t="shared" si="4"/>
        <v>348912.5</v>
      </c>
      <c r="I47" s="47">
        <v>500000</v>
      </c>
      <c r="J47" s="465">
        <f t="shared" si="5"/>
        <v>8500000</v>
      </c>
      <c r="K47" s="140">
        <f t="shared" si="6"/>
        <v>1139272</v>
      </c>
      <c r="L47" s="140">
        <f t="shared" si="1"/>
        <v>1156752</v>
      </c>
      <c r="M47" s="608" t="s">
        <v>3856</v>
      </c>
    </row>
    <row r="48" spans="1:13" ht="24" customHeight="1">
      <c r="A48" s="595">
        <v>42583</v>
      </c>
      <c r="B48" s="129">
        <v>0</v>
      </c>
      <c r="C48" s="129">
        <v>0</v>
      </c>
      <c r="D48" s="596">
        <f t="shared" si="2"/>
        <v>34680.5</v>
      </c>
      <c r="E48" s="597">
        <f t="shared" si="3"/>
        <v>9656752</v>
      </c>
      <c r="F48" s="598">
        <v>0</v>
      </c>
      <c r="G48" s="599">
        <v>0</v>
      </c>
      <c r="H48" s="600">
        <f t="shared" si="4"/>
        <v>17480</v>
      </c>
      <c r="I48" s="47">
        <v>500000</v>
      </c>
      <c r="J48" s="609">
        <f t="shared" si="5"/>
        <v>9000000</v>
      </c>
      <c r="K48" s="598">
        <f t="shared" si="6"/>
        <v>656752</v>
      </c>
      <c r="L48" s="598">
        <f t="shared" si="1"/>
        <v>656752</v>
      </c>
      <c r="M48" s="610" t="s">
        <v>3857</v>
      </c>
    </row>
    <row r="49" spans="1:13" ht="24" customHeight="1">
      <c r="A49" s="601"/>
      <c r="B49" s="129"/>
      <c r="C49" s="129"/>
      <c r="D49" s="596"/>
      <c r="E49" s="597"/>
      <c r="F49" s="598"/>
      <c r="G49" s="599"/>
      <c r="H49" s="600"/>
      <c r="I49" s="129"/>
      <c r="J49" s="609"/>
      <c r="K49" s="598"/>
      <c r="L49" s="598"/>
      <c r="M49" s="610" t="s">
        <v>3858</v>
      </c>
    </row>
    <row r="50" spans="1:13" ht="24" customHeight="1">
      <c r="A50" s="602"/>
      <c r="B50" s="47"/>
      <c r="C50" s="47"/>
      <c r="D50" s="447"/>
      <c r="E50" s="592"/>
      <c r="F50" s="140"/>
      <c r="G50" s="47"/>
      <c r="H50" s="141"/>
      <c r="I50" s="47"/>
      <c r="J50" s="465"/>
      <c r="K50" s="140"/>
      <c r="L50" s="140"/>
      <c r="M50" s="611"/>
    </row>
  </sheetData>
  <mergeCells count="9">
    <mergeCell ref="B4:G4"/>
    <mergeCell ref="H4:J4"/>
    <mergeCell ref="K4:M4"/>
    <mergeCell ref="A1:B1"/>
    <mergeCell ref="F1:H1"/>
    <mergeCell ref="J1:L1"/>
    <mergeCell ref="B2:C2"/>
    <mergeCell ref="E2:H2"/>
    <mergeCell ref="B3:C3"/>
  </mergeCells>
  <phoneticPr fontId="84" type="noConversion"/>
  <pageMargins left="0.75" right="0.75" top="1" bottom="1" header="0.51" footer="0.51"/>
  <legacyDrawing r:id="rId1"/>
</worksheet>
</file>

<file path=xl/worksheets/sheet1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5"/>
  <sheetViews>
    <sheetView topLeftCell="A76" zoomScaleSheetLayoutView="100" workbookViewId="0">
      <selection activeCell="F88" sqref="F88"/>
    </sheetView>
  </sheetViews>
  <sheetFormatPr defaultColWidth="9" defaultRowHeight="14.25"/>
  <cols>
    <col min="1" max="1" width="15.125" customWidth="1"/>
    <col min="2" max="2" width="12.875" customWidth="1"/>
    <col min="3" max="3" width="14.75" customWidth="1"/>
    <col min="4" max="4" width="13" customWidth="1"/>
    <col min="5" max="5" width="15.75" customWidth="1"/>
    <col min="6" max="6" width="14.25" customWidth="1"/>
    <col min="7" max="7" width="14.5" customWidth="1"/>
    <col min="8" max="9" width="15.375" customWidth="1"/>
    <col min="10" max="10" width="16.625" customWidth="1"/>
    <col min="11" max="11" width="13.125" customWidth="1"/>
    <col min="12" max="12" width="15.5" customWidth="1"/>
    <col min="13" max="13" width="24.25" customWidth="1"/>
  </cols>
  <sheetData>
    <row r="1" spans="1:13" ht="84.95" customHeight="1">
      <c r="A1" s="558" t="s">
        <v>556</v>
      </c>
      <c r="B1" s="559"/>
      <c r="C1" s="559"/>
      <c r="D1" s="38" t="s">
        <v>236</v>
      </c>
      <c r="E1" s="2174" t="s">
        <v>3859</v>
      </c>
      <c r="F1" s="2174"/>
      <c r="G1" s="2174"/>
      <c r="H1" s="2173" t="s">
        <v>237</v>
      </c>
      <c r="I1" s="2175" t="s">
        <v>3860</v>
      </c>
      <c r="J1" s="2175"/>
      <c r="K1" s="2175"/>
      <c r="L1" s="2175"/>
      <c r="M1" s="2176"/>
    </row>
    <row r="2" spans="1:13" ht="45" customHeight="1">
      <c r="A2" s="39" t="s">
        <v>240</v>
      </c>
      <c r="B2" s="1788" t="s">
        <v>3861</v>
      </c>
      <c r="C2" s="1788"/>
      <c r="D2" s="41" t="s">
        <v>242</v>
      </c>
      <c r="E2" s="1638" t="s">
        <v>3861</v>
      </c>
      <c r="F2" s="1638"/>
      <c r="G2" s="1638"/>
      <c r="H2" s="1638"/>
      <c r="I2" s="1665" t="s">
        <v>3862</v>
      </c>
      <c r="J2" s="1665"/>
      <c r="K2" s="1665"/>
      <c r="L2" s="1665"/>
      <c r="M2" s="1792"/>
    </row>
    <row r="3" spans="1:13" ht="36" customHeight="1">
      <c r="A3" s="39" t="s">
        <v>247</v>
      </c>
      <c r="B3" s="1788" t="s">
        <v>3863</v>
      </c>
      <c r="C3" s="1788"/>
      <c r="D3" s="41" t="s">
        <v>249</v>
      </c>
      <c r="E3" s="41" t="s">
        <v>3864</v>
      </c>
      <c r="F3" s="41" t="s">
        <v>251</v>
      </c>
      <c r="G3" s="41"/>
      <c r="H3" s="41" t="s">
        <v>252</v>
      </c>
      <c r="I3" s="40"/>
      <c r="J3" s="90" t="s">
        <v>253</v>
      </c>
      <c r="K3" s="40" t="s">
        <v>3865</v>
      </c>
      <c r="L3" s="90" t="s">
        <v>255</v>
      </c>
      <c r="M3" s="461" t="s">
        <v>3866</v>
      </c>
    </row>
    <row r="4" spans="1:13" ht="57.95" customHeight="1">
      <c r="A4" s="39" t="s">
        <v>260</v>
      </c>
      <c r="B4" s="1746" t="s">
        <v>3867</v>
      </c>
      <c r="C4" s="1746"/>
      <c r="D4" s="1746"/>
      <c r="E4" s="1746"/>
      <c r="F4" s="1746"/>
      <c r="G4" s="1746"/>
      <c r="H4" s="1746"/>
      <c r="I4" s="1746" t="s">
        <v>2368</v>
      </c>
      <c r="J4" s="1746"/>
      <c r="K4" s="1746"/>
      <c r="L4" s="1746"/>
      <c r="M4" s="2172"/>
    </row>
    <row r="5" spans="1:13" ht="36" customHeight="1">
      <c r="A5" s="560" t="s">
        <v>266</v>
      </c>
      <c r="B5" s="20" t="s">
        <v>267</v>
      </c>
      <c r="C5" s="20" t="s">
        <v>268</v>
      </c>
      <c r="D5" s="20" t="s">
        <v>269</v>
      </c>
      <c r="E5" s="20" t="s">
        <v>270</v>
      </c>
      <c r="F5" s="20" t="s">
        <v>271</v>
      </c>
      <c r="G5" s="20" t="s">
        <v>763</v>
      </c>
      <c r="H5" s="20" t="s">
        <v>273</v>
      </c>
      <c r="I5" s="20" t="s">
        <v>274</v>
      </c>
      <c r="J5" s="70" t="s">
        <v>275</v>
      </c>
      <c r="K5" s="70" t="s">
        <v>276</v>
      </c>
      <c r="L5" s="20" t="s">
        <v>277</v>
      </c>
      <c r="M5" s="568" t="s">
        <v>278</v>
      </c>
    </row>
    <row r="6" spans="1:13" ht="27" customHeight="1">
      <c r="A6" s="561">
        <v>39661</v>
      </c>
      <c r="B6" s="562">
        <v>229</v>
      </c>
      <c r="C6" s="562">
        <f>45517-60</f>
        <v>45457</v>
      </c>
      <c r="D6" s="562">
        <f>B6</f>
        <v>229</v>
      </c>
      <c r="E6" s="562">
        <f>C6</f>
        <v>45457</v>
      </c>
      <c r="F6" s="562">
        <v>0</v>
      </c>
      <c r="G6" s="563">
        <v>0</v>
      </c>
      <c r="H6" s="562">
        <v>0</v>
      </c>
      <c r="I6" s="562">
        <v>0</v>
      </c>
      <c r="J6" s="569">
        <v>0</v>
      </c>
      <c r="K6" s="562">
        <v>0</v>
      </c>
      <c r="L6" s="562">
        <v>45517</v>
      </c>
      <c r="M6" s="570" t="s">
        <v>3868</v>
      </c>
    </row>
    <row r="7" spans="1:13" ht="27" customHeight="1">
      <c r="A7" s="561">
        <v>39693</v>
      </c>
      <c r="B7" s="562">
        <v>528.5</v>
      </c>
      <c r="C7" s="562">
        <v>105625.5</v>
      </c>
      <c r="D7" s="562">
        <f t="shared" ref="D7:D70" si="0">D6+B7</f>
        <v>757.5</v>
      </c>
      <c r="E7" s="562">
        <f t="shared" ref="E7:E70" si="1">E6+C7</f>
        <v>151082.5</v>
      </c>
      <c r="F7" s="562">
        <v>0</v>
      </c>
      <c r="G7" s="563">
        <v>0</v>
      </c>
      <c r="H7" s="562">
        <f t="shared" ref="H7:H30" si="2">C6</f>
        <v>45457</v>
      </c>
      <c r="I7" s="562">
        <v>0</v>
      </c>
      <c r="J7" s="569">
        <v>0</v>
      </c>
      <c r="K7" s="562">
        <f t="shared" ref="K7:K70" si="3">K6+H7-I7</f>
        <v>45457</v>
      </c>
      <c r="L7" s="562">
        <f t="shared" ref="L7:L70" si="4">E7-J7</f>
        <v>151082.5</v>
      </c>
      <c r="M7" s="571"/>
    </row>
    <row r="8" spans="1:13" ht="27" customHeight="1">
      <c r="A8" s="561" t="s">
        <v>3869</v>
      </c>
      <c r="B8" s="562"/>
      <c r="C8" s="562">
        <v>56933.75</v>
      </c>
      <c r="D8" s="562">
        <f t="shared" si="0"/>
        <v>757.5</v>
      </c>
      <c r="E8" s="562">
        <f t="shared" si="1"/>
        <v>208016.25</v>
      </c>
      <c r="F8" s="562">
        <v>0</v>
      </c>
      <c r="G8" s="563">
        <v>0</v>
      </c>
      <c r="H8" s="562">
        <f t="shared" si="2"/>
        <v>105625.5</v>
      </c>
      <c r="I8" s="562">
        <v>0</v>
      </c>
      <c r="J8" s="569">
        <v>0</v>
      </c>
      <c r="K8" s="562">
        <f t="shared" si="3"/>
        <v>151082.5</v>
      </c>
      <c r="L8" s="562">
        <f t="shared" si="4"/>
        <v>208016.25</v>
      </c>
      <c r="M8" s="571"/>
    </row>
    <row r="9" spans="1:13" ht="27" customHeight="1">
      <c r="A9" s="561">
        <v>39725</v>
      </c>
      <c r="B9" s="562">
        <v>618.5</v>
      </c>
      <c r="C9" s="562">
        <v>123265.5</v>
      </c>
      <c r="D9" s="562">
        <f t="shared" si="0"/>
        <v>1376</v>
      </c>
      <c r="E9" s="562">
        <f t="shared" si="1"/>
        <v>331281.75</v>
      </c>
      <c r="F9" s="562">
        <v>0</v>
      </c>
      <c r="G9" s="563">
        <v>0</v>
      </c>
      <c r="H9" s="562">
        <f t="shared" si="2"/>
        <v>56933.75</v>
      </c>
      <c r="I9" s="572">
        <v>45457</v>
      </c>
      <c r="J9" s="569">
        <f>I9</f>
        <v>45457</v>
      </c>
      <c r="K9" s="562">
        <f t="shared" si="3"/>
        <v>162559.25</v>
      </c>
      <c r="L9" s="562">
        <f t="shared" si="4"/>
        <v>285824.75</v>
      </c>
      <c r="M9" s="573" t="s">
        <v>3870</v>
      </c>
    </row>
    <row r="10" spans="1:13" ht="27" customHeight="1">
      <c r="A10" s="561">
        <v>39757</v>
      </c>
      <c r="B10" s="562">
        <v>668</v>
      </c>
      <c r="C10" s="562">
        <v>129824</v>
      </c>
      <c r="D10" s="562">
        <f t="shared" si="0"/>
        <v>2044</v>
      </c>
      <c r="E10" s="562">
        <f t="shared" si="1"/>
        <v>461105.75</v>
      </c>
      <c r="F10" s="562">
        <v>0</v>
      </c>
      <c r="G10" s="563">
        <v>0</v>
      </c>
      <c r="H10" s="562">
        <f t="shared" si="2"/>
        <v>123265.5</v>
      </c>
      <c r="I10" s="572">
        <f>105625.5+180199.25</f>
        <v>285824.75</v>
      </c>
      <c r="J10" s="569">
        <f t="shared" ref="J10:J73" si="5">J9+I10</f>
        <v>331281.75</v>
      </c>
      <c r="K10" s="562">
        <f t="shared" si="3"/>
        <v>0</v>
      </c>
      <c r="L10" s="562">
        <f t="shared" si="4"/>
        <v>129824</v>
      </c>
      <c r="M10" s="571" t="s">
        <v>3871</v>
      </c>
    </row>
    <row r="11" spans="1:13" ht="27" customHeight="1">
      <c r="A11" s="561">
        <v>39783</v>
      </c>
      <c r="B11" s="562">
        <v>505.5</v>
      </c>
      <c r="C11" s="562">
        <v>110865</v>
      </c>
      <c r="D11" s="562">
        <f t="shared" si="0"/>
        <v>2549.5</v>
      </c>
      <c r="E11" s="562">
        <f t="shared" si="1"/>
        <v>571970.75</v>
      </c>
      <c r="F11" s="562">
        <v>0</v>
      </c>
      <c r="G11" s="563">
        <v>0</v>
      </c>
      <c r="H11" s="562">
        <f t="shared" si="2"/>
        <v>129824</v>
      </c>
      <c r="I11" s="572">
        <v>129824</v>
      </c>
      <c r="J11" s="569">
        <f t="shared" si="5"/>
        <v>461105.75</v>
      </c>
      <c r="K11" s="562">
        <f t="shared" si="3"/>
        <v>0</v>
      </c>
      <c r="L11" s="562">
        <f t="shared" si="4"/>
        <v>110865</v>
      </c>
      <c r="M11" s="571" t="s">
        <v>3872</v>
      </c>
    </row>
    <row r="12" spans="1:13" ht="27" customHeight="1">
      <c r="A12" s="561">
        <v>39814</v>
      </c>
      <c r="B12" s="562">
        <v>184</v>
      </c>
      <c r="C12" s="562">
        <v>39140</v>
      </c>
      <c r="D12" s="562">
        <f t="shared" si="0"/>
        <v>2733.5</v>
      </c>
      <c r="E12" s="562">
        <f t="shared" si="1"/>
        <v>611110.75</v>
      </c>
      <c r="F12" s="562">
        <v>0</v>
      </c>
      <c r="G12" s="563">
        <v>0</v>
      </c>
      <c r="H12" s="562">
        <f t="shared" si="2"/>
        <v>110865</v>
      </c>
      <c r="I12" s="572">
        <v>110865</v>
      </c>
      <c r="J12" s="569">
        <f t="shared" si="5"/>
        <v>571970.75</v>
      </c>
      <c r="K12" s="562">
        <f t="shared" si="3"/>
        <v>0</v>
      </c>
      <c r="L12" s="562">
        <f t="shared" si="4"/>
        <v>39140</v>
      </c>
      <c r="M12" s="571"/>
    </row>
    <row r="13" spans="1:13" ht="27" customHeight="1">
      <c r="A13" s="561" t="s">
        <v>3873</v>
      </c>
      <c r="B13" s="562"/>
      <c r="C13" s="562">
        <v>73535</v>
      </c>
      <c r="D13" s="562">
        <f t="shared" si="0"/>
        <v>2733.5</v>
      </c>
      <c r="E13" s="562">
        <f t="shared" si="1"/>
        <v>684645.75</v>
      </c>
      <c r="F13" s="562">
        <v>0</v>
      </c>
      <c r="G13" s="563">
        <v>0</v>
      </c>
      <c r="H13" s="562">
        <f t="shared" si="2"/>
        <v>39140</v>
      </c>
      <c r="I13" s="574">
        <v>0</v>
      </c>
      <c r="J13" s="569">
        <f t="shared" si="5"/>
        <v>571970.75</v>
      </c>
      <c r="K13" s="562">
        <f t="shared" si="3"/>
        <v>39140</v>
      </c>
      <c r="L13" s="562">
        <f t="shared" si="4"/>
        <v>112675</v>
      </c>
      <c r="M13" s="571" t="s">
        <v>3874</v>
      </c>
    </row>
    <row r="14" spans="1:13" ht="27" customHeight="1">
      <c r="A14" s="561">
        <v>39845</v>
      </c>
      <c r="B14" s="562">
        <v>63.5</v>
      </c>
      <c r="C14" s="562">
        <v>14605</v>
      </c>
      <c r="D14" s="562">
        <f t="shared" si="0"/>
        <v>2797</v>
      </c>
      <c r="E14" s="562">
        <f t="shared" si="1"/>
        <v>699250.75</v>
      </c>
      <c r="F14" s="562">
        <v>0</v>
      </c>
      <c r="G14" s="563">
        <v>0</v>
      </c>
      <c r="H14" s="562">
        <f t="shared" si="2"/>
        <v>73535</v>
      </c>
      <c r="I14" s="572">
        <v>112675</v>
      </c>
      <c r="J14" s="569">
        <f t="shared" si="5"/>
        <v>684645.75</v>
      </c>
      <c r="K14" s="562">
        <f t="shared" si="3"/>
        <v>0</v>
      </c>
      <c r="L14" s="562">
        <f t="shared" si="4"/>
        <v>14605</v>
      </c>
      <c r="M14" s="571"/>
    </row>
    <row r="15" spans="1:13" ht="27" customHeight="1">
      <c r="A15" s="561">
        <v>39873</v>
      </c>
      <c r="B15" s="562">
        <v>562.5</v>
      </c>
      <c r="C15" s="562">
        <v>128055</v>
      </c>
      <c r="D15" s="562">
        <f t="shared" si="0"/>
        <v>3359.5</v>
      </c>
      <c r="E15" s="562">
        <f t="shared" si="1"/>
        <v>827305.75</v>
      </c>
      <c r="F15" s="562">
        <v>0</v>
      </c>
      <c r="G15" s="563">
        <v>0</v>
      </c>
      <c r="H15" s="562">
        <f t="shared" si="2"/>
        <v>14605</v>
      </c>
      <c r="I15" s="574">
        <v>0</v>
      </c>
      <c r="J15" s="569">
        <f t="shared" si="5"/>
        <v>684645.75</v>
      </c>
      <c r="K15" s="562">
        <f t="shared" si="3"/>
        <v>14605</v>
      </c>
      <c r="L15" s="562">
        <f t="shared" si="4"/>
        <v>142660</v>
      </c>
      <c r="M15" s="571" t="s">
        <v>3875</v>
      </c>
    </row>
    <row r="16" spans="1:13" ht="27" customHeight="1">
      <c r="A16" s="561">
        <v>39904</v>
      </c>
      <c r="B16" s="562">
        <v>842</v>
      </c>
      <c r="C16" s="562">
        <v>189855</v>
      </c>
      <c r="D16" s="562">
        <f t="shared" si="0"/>
        <v>4201.5</v>
      </c>
      <c r="E16" s="562">
        <f t="shared" si="1"/>
        <v>1017160.75</v>
      </c>
      <c r="F16" s="562">
        <v>0</v>
      </c>
      <c r="G16" s="563">
        <v>0</v>
      </c>
      <c r="H16" s="562">
        <f t="shared" si="2"/>
        <v>128055</v>
      </c>
      <c r="I16" s="572">
        <v>142660</v>
      </c>
      <c r="J16" s="569">
        <f t="shared" si="5"/>
        <v>827305.75</v>
      </c>
      <c r="K16" s="562">
        <f t="shared" si="3"/>
        <v>0</v>
      </c>
      <c r="L16" s="562">
        <f t="shared" si="4"/>
        <v>189855</v>
      </c>
      <c r="M16" s="571"/>
    </row>
    <row r="17" spans="1:13" ht="27" customHeight="1">
      <c r="A17" s="561">
        <v>39934</v>
      </c>
      <c r="B17" s="562">
        <v>1039.5</v>
      </c>
      <c r="C17" s="562">
        <v>220565</v>
      </c>
      <c r="D17" s="562">
        <f t="shared" si="0"/>
        <v>5241</v>
      </c>
      <c r="E17" s="562">
        <f t="shared" si="1"/>
        <v>1237725.75</v>
      </c>
      <c r="F17" s="562">
        <v>0</v>
      </c>
      <c r="G17" s="563">
        <v>0</v>
      </c>
      <c r="H17" s="562">
        <f t="shared" si="2"/>
        <v>189855</v>
      </c>
      <c r="I17" s="572">
        <v>0</v>
      </c>
      <c r="J17" s="569">
        <f t="shared" si="5"/>
        <v>827305.75</v>
      </c>
      <c r="K17" s="562">
        <f t="shared" si="3"/>
        <v>189855</v>
      </c>
      <c r="L17" s="562">
        <f t="shared" si="4"/>
        <v>410420</v>
      </c>
      <c r="M17" s="571" t="s">
        <v>3876</v>
      </c>
    </row>
    <row r="18" spans="1:13" ht="27" customHeight="1">
      <c r="A18" s="561">
        <v>39965</v>
      </c>
      <c r="B18" s="562">
        <v>1039</v>
      </c>
      <c r="C18" s="562">
        <v>227190</v>
      </c>
      <c r="D18" s="562">
        <f t="shared" si="0"/>
        <v>6280</v>
      </c>
      <c r="E18" s="562">
        <f t="shared" si="1"/>
        <v>1464915.75</v>
      </c>
      <c r="F18" s="562">
        <v>0</v>
      </c>
      <c r="G18" s="563">
        <v>0</v>
      </c>
      <c r="H18" s="562">
        <f t="shared" si="2"/>
        <v>220565</v>
      </c>
      <c r="I18" s="572">
        <v>189855</v>
      </c>
      <c r="J18" s="569">
        <f t="shared" si="5"/>
        <v>1017160.75</v>
      </c>
      <c r="K18" s="562">
        <f t="shared" si="3"/>
        <v>220565</v>
      </c>
      <c r="L18" s="562">
        <f t="shared" si="4"/>
        <v>447755</v>
      </c>
      <c r="M18" s="573" t="s">
        <v>3877</v>
      </c>
    </row>
    <row r="19" spans="1:13" ht="27" customHeight="1">
      <c r="A19" s="561">
        <v>39995</v>
      </c>
      <c r="B19" s="562">
        <v>1316</v>
      </c>
      <c r="C19" s="562">
        <v>282740</v>
      </c>
      <c r="D19" s="562">
        <f t="shared" si="0"/>
        <v>7596</v>
      </c>
      <c r="E19" s="562">
        <f t="shared" si="1"/>
        <v>1747655.75</v>
      </c>
      <c r="F19" s="562">
        <v>0</v>
      </c>
      <c r="G19" s="563">
        <v>0</v>
      </c>
      <c r="H19" s="562">
        <f t="shared" si="2"/>
        <v>227190</v>
      </c>
      <c r="I19" s="572">
        <f>220565+227190</f>
        <v>447755</v>
      </c>
      <c r="J19" s="569">
        <f t="shared" si="5"/>
        <v>1464915.75</v>
      </c>
      <c r="K19" s="562">
        <f t="shared" si="3"/>
        <v>0</v>
      </c>
      <c r="L19" s="562">
        <f t="shared" si="4"/>
        <v>282740</v>
      </c>
      <c r="M19" s="571" t="s">
        <v>3878</v>
      </c>
    </row>
    <row r="20" spans="1:13" ht="27" customHeight="1">
      <c r="A20" s="561">
        <v>40026</v>
      </c>
      <c r="B20" s="562">
        <v>1501.5</v>
      </c>
      <c r="C20" s="562">
        <v>327930</v>
      </c>
      <c r="D20" s="562">
        <f t="shared" si="0"/>
        <v>9097.5</v>
      </c>
      <c r="E20" s="562">
        <f t="shared" si="1"/>
        <v>2075585.75</v>
      </c>
      <c r="F20" s="562">
        <v>0</v>
      </c>
      <c r="G20" s="563">
        <v>0</v>
      </c>
      <c r="H20" s="562">
        <f t="shared" si="2"/>
        <v>282740</v>
      </c>
      <c r="I20" s="562">
        <v>0</v>
      </c>
      <c r="J20" s="569">
        <f t="shared" si="5"/>
        <v>1464915.75</v>
      </c>
      <c r="K20" s="562">
        <f t="shared" si="3"/>
        <v>282740</v>
      </c>
      <c r="L20" s="562">
        <f t="shared" si="4"/>
        <v>610670</v>
      </c>
      <c r="M20" s="571"/>
    </row>
    <row r="21" spans="1:13" ht="27" customHeight="1">
      <c r="A21" s="561">
        <v>40057</v>
      </c>
      <c r="B21" s="562">
        <v>2615.5</v>
      </c>
      <c r="C21" s="562">
        <v>583825</v>
      </c>
      <c r="D21" s="562">
        <f t="shared" si="0"/>
        <v>11713</v>
      </c>
      <c r="E21" s="562">
        <f t="shared" si="1"/>
        <v>2659410.75</v>
      </c>
      <c r="F21" s="562">
        <v>0</v>
      </c>
      <c r="G21" s="563">
        <v>0</v>
      </c>
      <c r="H21" s="562">
        <f t="shared" si="2"/>
        <v>327930</v>
      </c>
      <c r="I21" s="564">
        <v>282540</v>
      </c>
      <c r="J21" s="569">
        <f t="shared" si="5"/>
        <v>1747455.75</v>
      </c>
      <c r="K21" s="562">
        <f t="shared" si="3"/>
        <v>328130</v>
      </c>
      <c r="L21" s="562">
        <f t="shared" si="4"/>
        <v>911955</v>
      </c>
      <c r="M21" s="571" t="s">
        <v>3879</v>
      </c>
    </row>
    <row r="22" spans="1:13" ht="27" customHeight="1">
      <c r="A22" s="561">
        <v>40087</v>
      </c>
      <c r="B22" s="562">
        <v>2534</v>
      </c>
      <c r="C22" s="562">
        <v>602790</v>
      </c>
      <c r="D22" s="562">
        <f t="shared" si="0"/>
        <v>14247</v>
      </c>
      <c r="E22" s="562">
        <f t="shared" si="1"/>
        <v>3262200.75</v>
      </c>
      <c r="F22" s="562">
        <v>0</v>
      </c>
      <c r="G22" s="563">
        <v>0</v>
      </c>
      <c r="H22" s="562">
        <f t="shared" si="2"/>
        <v>583825</v>
      </c>
      <c r="I22" s="564">
        <v>327930</v>
      </c>
      <c r="J22" s="569">
        <f t="shared" si="5"/>
        <v>2075385.75</v>
      </c>
      <c r="K22" s="562">
        <f t="shared" si="3"/>
        <v>584025</v>
      </c>
      <c r="L22" s="562">
        <f t="shared" si="4"/>
        <v>1186815</v>
      </c>
      <c r="M22" s="571" t="s">
        <v>3880</v>
      </c>
    </row>
    <row r="23" spans="1:13" ht="27" customHeight="1">
      <c r="A23" s="561">
        <v>40118</v>
      </c>
      <c r="B23" s="562">
        <v>3582</v>
      </c>
      <c r="C23" s="562">
        <v>903995</v>
      </c>
      <c r="D23" s="562">
        <f t="shared" si="0"/>
        <v>17829</v>
      </c>
      <c r="E23" s="562">
        <f t="shared" si="1"/>
        <v>4166195.75</v>
      </c>
      <c r="F23" s="562">
        <v>0</v>
      </c>
      <c r="G23" s="563">
        <v>0</v>
      </c>
      <c r="H23" s="562">
        <f t="shared" si="2"/>
        <v>602790</v>
      </c>
      <c r="I23" s="564">
        <v>583825</v>
      </c>
      <c r="J23" s="569">
        <f t="shared" si="5"/>
        <v>2659210.75</v>
      </c>
      <c r="K23" s="562">
        <f t="shared" si="3"/>
        <v>602990</v>
      </c>
      <c r="L23" s="562">
        <f t="shared" si="4"/>
        <v>1506985</v>
      </c>
      <c r="M23" s="571" t="s">
        <v>3881</v>
      </c>
    </row>
    <row r="24" spans="1:13" ht="26.1" customHeight="1">
      <c r="A24" s="561">
        <v>40148</v>
      </c>
      <c r="B24" s="562">
        <v>3669.5</v>
      </c>
      <c r="C24" s="562">
        <v>1064890</v>
      </c>
      <c r="D24" s="562">
        <f t="shared" si="0"/>
        <v>21498.5</v>
      </c>
      <c r="E24" s="562">
        <f t="shared" si="1"/>
        <v>5231085.75</v>
      </c>
      <c r="F24" s="562">
        <v>0</v>
      </c>
      <c r="G24" s="563">
        <v>0</v>
      </c>
      <c r="H24" s="562">
        <f t="shared" si="2"/>
        <v>903995</v>
      </c>
      <c r="I24" s="564">
        <v>1506020</v>
      </c>
      <c r="J24" s="569">
        <f t="shared" si="5"/>
        <v>4165230.75</v>
      </c>
      <c r="K24" s="562">
        <f t="shared" si="3"/>
        <v>965</v>
      </c>
      <c r="L24" s="562">
        <f t="shared" si="4"/>
        <v>1065855</v>
      </c>
      <c r="M24" s="571" t="s">
        <v>3882</v>
      </c>
    </row>
    <row r="25" spans="1:13" ht="26.1" customHeight="1">
      <c r="A25" s="561">
        <v>40179</v>
      </c>
      <c r="B25" s="562">
        <v>7564</v>
      </c>
      <c r="C25" s="562">
        <v>2198270</v>
      </c>
      <c r="D25" s="562">
        <f t="shared" si="0"/>
        <v>29062.5</v>
      </c>
      <c r="E25" s="562">
        <f t="shared" si="1"/>
        <v>7429355.75</v>
      </c>
      <c r="F25" s="562">
        <v>0</v>
      </c>
      <c r="G25" s="563">
        <v>0</v>
      </c>
      <c r="H25" s="562">
        <f t="shared" si="2"/>
        <v>1064890</v>
      </c>
      <c r="I25" s="562">
        <v>0</v>
      </c>
      <c r="J25" s="569">
        <f t="shared" si="5"/>
        <v>4165230.75</v>
      </c>
      <c r="K25" s="562">
        <f t="shared" si="3"/>
        <v>1065855</v>
      </c>
      <c r="L25" s="562">
        <f t="shared" si="4"/>
        <v>3264125</v>
      </c>
      <c r="M25" s="571" t="s">
        <v>3883</v>
      </c>
    </row>
    <row r="26" spans="1:13" ht="26.1" customHeight="1">
      <c r="A26" s="561">
        <v>40210</v>
      </c>
      <c r="B26" s="562">
        <v>1859</v>
      </c>
      <c r="C26" s="562">
        <v>548940</v>
      </c>
      <c r="D26" s="562">
        <f t="shared" si="0"/>
        <v>30921.5</v>
      </c>
      <c r="E26" s="562">
        <f t="shared" si="1"/>
        <v>7978295.75</v>
      </c>
      <c r="F26" s="562">
        <v>0</v>
      </c>
      <c r="G26" s="563">
        <v>0</v>
      </c>
      <c r="H26" s="562">
        <f t="shared" si="2"/>
        <v>2198270</v>
      </c>
      <c r="I26" s="564">
        <f>1064890+2198270</f>
        <v>3263160</v>
      </c>
      <c r="J26" s="569">
        <f t="shared" si="5"/>
        <v>7428390.75</v>
      </c>
      <c r="K26" s="562">
        <f t="shared" si="3"/>
        <v>965</v>
      </c>
      <c r="L26" s="562">
        <f t="shared" si="4"/>
        <v>549905</v>
      </c>
      <c r="M26" s="571"/>
    </row>
    <row r="27" spans="1:13" ht="26.1" customHeight="1">
      <c r="A27" s="561">
        <v>40238</v>
      </c>
      <c r="B27" s="562">
        <v>3225.5</v>
      </c>
      <c r="C27" s="562">
        <v>869232.5</v>
      </c>
      <c r="D27" s="562">
        <f t="shared" si="0"/>
        <v>34147</v>
      </c>
      <c r="E27" s="562">
        <f t="shared" si="1"/>
        <v>8847528.25</v>
      </c>
      <c r="F27" s="562">
        <v>0</v>
      </c>
      <c r="G27" s="563">
        <v>0</v>
      </c>
      <c r="H27" s="562">
        <f t="shared" si="2"/>
        <v>548940</v>
      </c>
      <c r="I27" s="562">
        <v>0</v>
      </c>
      <c r="J27" s="569">
        <f t="shared" si="5"/>
        <v>7428390.75</v>
      </c>
      <c r="K27" s="562">
        <f t="shared" si="3"/>
        <v>549905</v>
      </c>
      <c r="L27" s="562">
        <f t="shared" si="4"/>
        <v>1419137.5</v>
      </c>
      <c r="M27" s="571" t="s">
        <v>3884</v>
      </c>
    </row>
    <row r="28" spans="1:13" ht="26.1" customHeight="1">
      <c r="A28" s="561">
        <v>40269</v>
      </c>
      <c r="B28" s="562">
        <f>5451.5+26</f>
        <v>5477.5</v>
      </c>
      <c r="C28" s="562">
        <f>1492622.5+5635</f>
        <v>1498257.5</v>
      </c>
      <c r="D28" s="562">
        <f t="shared" si="0"/>
        <v>39624.5</v>
      </c>
      <c r="E28" s="562">
        <f t="shared" si="1"/>
        <v>10345785.75</v>
      </c>
      <c r="F28" s="562">
        <v>0</v>
      </c>
      <c r="G28" s="563">
        <v>0</v>
      </c>
      <c r="H28" s="562">
        <f t="shared" si="2"/>
        <v>869232.5</v>
      </c>
      <c r="I28" s="564">
        <v>548940</v>
      </c>
      <c r="J28" s="569">
        <f t="shared" si="5"/>
        <v>7977330.75</v>
      </c>
      <c r="K28" s="562">
        <f t="shared" si="3"/>
        <v>870197.5</v>
      </c>
      <c r="L28" s="562">
        <f t="shared" si="4"/>
        <v>2368455</v>
      </c>
      <c r="M28" s="571" t="s">
        <v>3885</v>
      </c>
    </row>
    <row r="29" spans="1:13" ht="26.1" customHeight="1">
      <c r="A29" s="561">
        <v>40299</v>
      </c>
      <c r="B29" s="562">
        <f>4993.5+229</f>
        <v>5222.5</v>
      </c>
      <c r="C29" s="562">
        <v>1343260</v>
      </c>
      <c r="D29" s="562">
        <f t="shared" si="0"/>
        <v>44847</v>
      </c>
      <c r="E29" s="562">
        <f t="shared" si="1"/>
        <v>11689045.75</v>
      </c>
      <c r="F29" s="562">
        <v>0</v>
      </c>
      <c r="G29" s="563">
        <v>0</v>
      </c>
      <c r="H29" s="562">
        <f t="shared" si="2"/>
        <v>1498257.5</v>
      </c>
      <c r="I29" s="564">
        <v>869232.5</v>
      </c>
      <c r="J29" s="569">
        <f t="shared" si="5"/>
        <v>8846563.25</v>
      </c>
      <c r="K29" s="562">
        <f t="shared" si="3"/>
        <v>1499222.5</v>
      </c>
      <c r="L29" s="562">
        <f t="shared" si="4"/>
        <v>2842482.5</v>
      </c>
      <c r="M29" s="571" t="s">
        <v>3886</v>
      </c>
    </row>
    <row r="30" spans="1:13" ht="26.1" customHeight="1">
      <c r="A30" s="561">
        <v>40330</v>
      </c>
      <c r="B30" s="562">
        <v>4109</v>
      </c>
      <c r="C30" s="562">
        <v>1077812.5</v>
      </c>
      <c r="D30" s="562">
        <f t="shared" si="0"/>
        <v>48956</v>
      </c>
      <c r="E30" s="562">
        <f t="shared" si="1"/>
        <v>12766858.25</v>
      </c>
      <c r="F30" s="562">
        <v>0</v>
      </c>
      <c r="G30" s="563">
        <v>0</v>
      </c>
      <c r="H30" s="562">
        <f t="shared" si="2"/>
        <v>1343260</v>
      </c>
      <c r="I30" s="564">
        <v>1498032.5</v>
      </c>
      <c r="J30" s="569">
        <f t="shared" si="5"/>
        <v>10344595.75</v>
      </c>
      <c r="K30" s="562">
        <f t="shared" si="3"/>
        <v>1344450</v>
      </c>
      <c r="L30" s="562">
        <f t="shared" si="4"/>
        <v>2422262.5</v>
      </c>
      <c r="M30" s="571" t="s">
        <v>3887</v>
      </c>
    </row>
    <row r="31" spans="1:13" ht="26.1" customHeight="1">
      <c r="A31" s="561" t="s">
        <v>3888</v>
      </c>
      <c r="B31" s="562"/>
      <c r="C31" s="562">
        <v>169475.08</v>
      </c>
      <c r="D31" s="562">
        <f t="shared" si="0"/>
        <v>48956</v>
      </c>
      <c r="E31" s="562">
        <f t="shared" si="1"/>
        <v>12936333.33</v>
      </c>
      <c r="F31" s="562">
        <v>0</v>
      </c>
      <c r="G31" s="563">
        <v>0</v>
      </c>
      <c r="H31" s="562">
        <v>0</v>
      </c>
      <c r="I31" s="564">
        <v>44570</v>
      </c>
      <c r="J31" s="569">
        <f t="shared" si="5"/>
        <v>10389165.75</v>
      </c>
      <c r="K31" s="562">
        <f t="shared" si="3"/>
        <v>1299880</v>
      </c>
      <c r="L31" s="562">
        <f t="shared" si="4"/>
        <v>2547167.58</v>
      </c>
      <c r="M31" s="571" t="s">
        <v>3889</v>
      </c>
    </row>
    <row r="32" spans="1:13" ht="26.1" customHeight="1">
      <c r="A32" s="561">
        <v>40360</v>
      </c>
      <c r="B32" s="562">
        <f>3088+37.5</f>
        <v>3125.5</v>
      </c>
      <c r="C32" s="562">
        <f>754277.5+8340</f>
        <v>762617.5</v>
      </c>
      <c r="D32" s="562">
        <f t="shared" si="0"/>
        <v>52081.5</v>
      </c>
      <c r="E32" s="562">
        <f t="shared" si="1"/>
        <v>13698950.83</v>
      </c>
      <c r="F32" s="562">
        <v>0</v>
      </c>
      <c r="G32" s="563">
        <v>0</v>
      </c>
      <c r="H32" s="562">
        <f>C30+C31</f>
        <v>1247287.58</v>
      </c>
      <c r="I32" s="564">
        <v>2590547.59</v>
      </c>
      <c r="J32" s="569">
        <f t="shared" si="5"/>
        <v>12979713.34</v>
      </c>
      <c r="K32" s="562">
        <f t="shared" si="3"/>
        <v>-43380.009999999776</v>
      </c>
      <c r="L32" s="562">
        <f t="shared" si="4"/>
        <v>719237.49000000022</v>
      </c>
      <c r="M32" s="571"/>
    </row>
    <row r="33" spans="1:13" ht="26.1" customHeight="1">
      <c r="A33" s="561">
        <v>40391</v>
      </c>
      <c r="B33" s="562">
        <f>133+1733.5</f>
        <v>1866.5</v>
      </c>
      <c r="C33" s="562">
        <f>32315+427200</f>
        <v>459515</v>
      </c>
      <c r="D33" s="562">
        <f t="shared" si="0"/>
        <v>53948</v>
      </c>
      <c r="E33" s="562">
        <f t="shared" si="1"/>
        <v>14158465.83</v>
      </c>
      <c r="F33" s="562">
        <v>0</v>
      </c>
      <c r="G33" s="563">
        <v>0</v>
      </c>
      <c r="H33" s="562">
        <f t="shared" ref="H33:H85" si="6">C32</f>
        <v>762617.5</v>
      </c>
      <c r="I33" s="564">
        <v>0</v>
      </c>
      <c r="J33" s="569">
        <f t="shared" si="5"/>
        <v>12979713.34</v>
      </c>
      <c r="K33" s="562">
        <f t="shared" si="3"/>
        <v>719237.49000000022</v>
      </c>
      <c r="L33" s="562">
        <f t="shared" si="4"/>
        <v>1178752.4900000002</v>
      </c>
      <c r="M33" s="571" t="s">
        <v>3890</v>
      </c>
    </row>
    <row r="34" spans="1:13" ht="26.1" customHeight="1">
      <c r="A34" s="561">
        <v>40422</v>
      </c>
      <c r="B34" s="562">
        <f>60.5+784</f>
        <v>844.5</v>
      </c>
      <c r="C34" s="562">
        <f>13070+185890</f>
        <v>198960</v>
      </c>
      <c r="D34" s="562">
        <f t="shared" si="0"/>
        <v>54792.5</v>
      </c>
      <c r="E34" s="562">
        <f t="shared" si="1"/>
        <v>14357425.83</v>
      </c>
      <c r="F34" s="562">
        <v>0</v>
      </c>
      <c r="G34" s="563">
        <v>0</v>
      </c>
      <c r="H34" s="562">
        <f t="shared" si="6"/>
        <v>459515</v>
      </c>
      <c r="I34" s="564">
        <v>762617.5</v>
      </c>
      <c r="J34" s="569">
        <f t="shared" si="5"/>
        <v>13742330.84</v>
      </c>
      <c r="K34" s="562">
        <f t="shared" si="3"/>
        <v>416134.99000000022</v>
      </c>
      <c r="L34" s="562">
        <f t="shared" si="4"/>
        <v>615094.99000000022</v>
      </c>
      <c r="M34" s="571" t="s">
        <v>3891</v>
      </c>
    </row>
    <row r="35" spans="1:13" ht="26.1" customHeight="1">
      <c r="A35" s="561">
        <v>40452</v>
      </c>
      <c r="B35" s="562">
        <v>61</v>
      </c>
      <c r="C35" s="562">
        <v>13830</v>
      </c>
      <c r="D35" s="562">
        <f t="shared" si="0"/>
        <v>54853.5</v>
      </c>
      <c r="E35" s="562">
        <f t="shared" si="1"/>
        <v>14371255.83</v>
      </c>
      <c r="F35" s="562">
        <v>0</v>
      </c>
      <c r="G35" s="563">
        <v>0</v>
      </c>
      <c r="H35" s="562">
        <f t="shared" si="6"/>
        <v>198960</v>
      </c>
      <c r="I35" s="564">
        <f>459515+212790</f>
        <v>672305</v>
      </c>
      <c r="J35" s="569">
        <f t="shared" si="5"/>
        <v>14414635.84</v>
      </c>
      <c r="K35" s="562">
        <f t="shared" si="3"/>
        <v>-57210.009999999776</v>
      </c>
      <c r="L35" s="562">
        <f t="shared" si="4"/>
        <v>-43380.009999999776</v>
      </c>
      <c r="M35" s="571" t="s">
        <v>3892</v>
      </c>
    </row>
    <row r="36" spans="1:13" ht="26.1" customHeight="1">
      <c r="A36" s="561">
        <v>40483</v>
      </c>
      <c r="B36" s="562">
        <v>0</v>
      </c>
      <c r="C36" s="562">
        <v>0</v>
      </c>
      <c r="D36" s="562">
        <f t="shared" si="0"/>
        <v>54853.5</v>
      </c>
      <c r="E36" s="562">
        <f t="shared" si="1"/>
        <v>14371255.83</v>
      </c>
      <c r="F36" s="562">
        <v>0</v>
      </c>
      <c r="G36" s="563">
        <v>0</v>
      </c>
      <c r="H36" s="562">
        <f t="shared" si="6"/>
        <v>13830</v>
      </c>
      <c r="I36" s="562">
        <v>0</v>
      </c>
      <c r="J36" s="569">
        <f t="shared" si="5"/>
        <v>14414635.84</v>
      </c>
      <c r="K36" s="562">
        <f t="shared" si="3"/>
        <v>-43380.009999999776</v>
      </c>
      <c r="L36" s="562">
        <f t="shared" si="4"/>
        <v>-43380.009999999776</v>
      </c>
      <c r="M36" s="571"/>
    </row>
    <row r="37" spans="1:13" ht="26.1" customHeight="1">
      <c r="A37" s="561">
        <v>40513</v>
      </c>
      <c r="B37" s="562">
        <v>385</v>
      </c>
      <c r="C37" s="562">
        <v>95800</v>
      </c>
      <c r="D37" s="562">
        <f t="shared" si="0"/>
        <v>55238.5</v>
      </c>
      <c r="E37" s="562">
        <f t="shared" si="1"/>
        <v>14467055.83</v>
      </c>
      <c r="F37" s="562">
        <v>0</v>
      </c>
      <c r="G37" s="563">
        <v>0</v>
      </c>
      <c r="H37" s="562">
        <f t="shared" si="6"/>
        <v>0</v>
      </c>
      <c r="I37" s="562">
        <v>0</v>
      </c>
      <c r="J37" s="569">
        <f t="shared" si="5"/>
        <v>14414635.84</v>
      </c>
      <c r="K37" s="562">
        <f t="shared" si="3"/>
        <v>-43380.009999999776</v>
      </c>
      <c r="L37" s="562">
        <f t="shared" si="4"/>
        <v>52419.990000000224</v>
      </c>
      <c r="M37" s="571"/>
    </row>
    <row r="38" spans="1:13" ht="26.1" customHeight="1">
      <c r="A38" s="561">
        <v>40179</v>
      </c>
      <c r="B38" s="562">
        <v>208.5</v>
      </c>
      <c r="C38" s="562">
        <v>51150</v>
      </c>
      <c r="D38" s="562">
        <f t="shared" si="0"/>
        <v>55447</v>
      </c>
      <c r="E38" s="562">
        <f t="shared" si="1"/>
        <v>14518205.83</v>
      </c>
      <c r="F38" s="562">
        <v>0</v>
      </c>
      <c r="G38" s="563">
        <v>0</v>
      </c>
      <c r="H38" s="562">
        <f t="shared" si="6"/>
        <v>95800</v>
      </c>
      <c r="I38" s="562">
        <v>0</v>
      </c>
      <c r="J38" s="569">
        <f t="shared" si="5"/>
        <v>14414635.84</v>
      </c>
      <c r="K38" s="562">
        <f t="shared" si="3"/>
        <v>52419.990000000224</v>
      </c>
      <c r="L38" s="562">
        <f t="shared" si="4"/>
        <v>103569.99000000022</v>
      </c>
      <c r="M38" s="571" t="s">
        <v>3893</v>
      </c>
    </row>
    <row r="39" spans="1:13" ht="26.1" customHeight="1">
      <c r="A39" s="561">
        <v>40210</v>
      </c>
      <c r="B39" s="562">
        <v>15</v>
      </c>
      <c r="C39" s="562">
        <v>3600</v>
      </c>
      <c r="D39" s="562">
        <f t="shared" si="0"/>
        <v>55462</v>
      </c>
      <c r="E39" s="562">
        <f t="shared" si="1"/>
        <v>14521805.83</v>
      </c>
      <c r="F39" s="562">
        <v>0</v>
      </c>
      <c r="G39" s="563">
        <v>0</v>
      </c>
      <c r="H39" s="562">
        <f t="shared" si="6"/>
        <v>51150</v>
      </c>
      <c r="I39" s="564">
        <v>146950</v>
      </c>
      <c r="J39" s="569">
        <f t="shared" si="5"/>
        <v>14561585.84</v>
      </c>
      <c r="K39" s="562">
        <f t="shared" si="3"/>
        <v>-43380.009999999776</v>
      </c>
      <c r="L39" s="562">
        <f t="shared" si="4"/>
        <v>-39780.009999999776</v>
      </c>
      <c r="M39" s="571"/>
    </row>
    <row r="40" spans="1:13" ht="26.1" customHeight="1">
      <c r="A40" s="561">
        <v>40603</v>
      </c>
      <c r="B40" s="562">
        <f>692+8</f>
        <v>700</v>
      </c>
      <c r="C40" s="562">
        <f>171507.5+1920</f>
        <v>173427.5</v>
      </c>
      <c r="D40" s="562">
        <f t="shared" si="0"/>
        <v>56162</v>
      </c>
      <c r="E40" s="562">
        <f t="shared" si="1"/>
        <v>14695233.33</v>
      </c>
      <c r="F40" s="562">
        <v>0</v>
      </c>
      <c r="G40" s="563">
        <v>0</v>
      </c>
      <c r="H40" s="562">
        <f t="shared" si="6"/>
        <v>3600</v>
      </c>
      <c r="I40" s="575">
        <v>0</v>
      </c>
      <c r="J40" s="569">
        <f t="shared" si="5"/>
        <v>14561585.84</v>
      </c>
      <c r="K40" s="562">
        <f t="shared" si="3"/>
        <v>-39780.009999999776</v>
      </c>
      <c r="L40" s="562">
        <f t="shared" si="4"/>
        <v>133647.49000000022</v>
      </c>
      <c r="M40" s="576" t="s">
        <v>3894</v>
      </c>
    </row>
    <row r="41" spans="1:13" ht="26.1" customHeight="1">
      <c r="A41" s="561">
        <v>40634</v>
      </c>
      <c r="B41" s="562">
        <f>23.5+493+24.5</f>
        <v>541</v>
      </c>
      <c r="C41" s="562">
        <f>5510+122355+6370</f>
        <v>134235</v>
      </c>
      <c r="D41" s="562">
        <f t="shared" si="0"/>
        <v>56703</v>
      </c>
      <c r="E41" s="562">
        <f t="shared" si="1"/>
        <v>14829468.33</v>
      </c>
      <c r="F41" s="562">
        <v>0</v>
      </c>
      <c r="G41" s="563">
        <v>0</v>
      </c>
      <c r="H41" s="562">
        <f t="shared" si="6"/>
        <v>173427.5</v>
      </c>
      <c r="I41" s="572">
        <v>132457.5</v>
      </c>
      <c r="J41" s="569">
        <f t="shared" si="5"/>
        <v>14694043.34</v>
      </c>
      <c r="K41" s="562">
        <f t="shared" si="3"/>
        <v>1189.9900000002235</v>
      </c>
      <c r="L41" s="562">
        <f t="shared" si="4"/>
        <v>135424.99000000022</v>
      </c>
      <c r="M41" s="571" t="s">
        <v>3895</v>
      </c>
    </row>
    <row r="42" spans="1:13" ht="26.1" customHeight="1">
      <c r="A42" s="561">
        <v>40664</v>
      </c>
      <c r="B42" s="562">
        <f>776+34.5</f>
        <v>810.5</v>
      </c>
      <c r="C42" s="562">
        <v>210712.5</v>
      </c>
      <c r="D42" s="562">
        <f t="shared" si="0"/>
        <v>57513.5</v>
      </c>
      <c r="E42" s="562">
        <f t="shared" si="1"/>
        <v>15040180.83</v>
      </c>
      <c r="F42" s="562">
        <v>0</v>
      </c>
      <c r="G42" s="563">
        <v>0</v>
      </c>
      <c r="H42" s="562">
        <f t="shared" si="6"/>
        <v>134235</v>
      </c>
      <c r="I42" s="564">
        <v>0</v>
      </c>
      <c r="J42" s="569">
        <f t="shared" si="5"/>
        <v>14694043.34</v>
      </c>
      <c r="K42" s="562">
        <f t="shared" si="3"/>
        <v>135424.99000000022</v>
      </c>
      <c r="L42" s="562">
        <f t="shared" si="4"/>
        <v>346137.49000000022</v>
      </c>
      <c r="M42" s="571"/>
    </row>
    <row r="43" spans="1:13" ht="26.1" customHeight="1">
      <c r="A43" s="561">
        <v>40695</v>
      </c>
      <c r="B43" s="562">
        <f>1400.5+158.5</f>
        <v>1559</v>
      </c>
      <c r="C43" s="562">
        <v>413935</v>
      </c>
      <c r="D43" s="562">
        <f t="shared" si="0"/>
        <v>59072.5</v>
      </c>
      <c r="E43" s="562">
        <f t="shared" si="1"/>
        <v>15454115.83</v>
      </c>
      <c r="F43" s="562">
        <v>0</v>
      </c>
      <c r="G43" s="563">
        <v>0</v>
      </c>
      <c r="H43" s="562">
        <f t="shared" si="6"/>
        <v>210712.5</v>
      </c>
      <c r="I43" s="564">
        <v>134235</v>
      </c>
      <c r="J43" s="569">
        <f t="shared" si="5"/>
        <v>14828278.34</v>
      </c>
      <c r="K43" s="562">
        <f t="shared" si="3"/>
        <v>211902.49000000022</v>
      </c>
      <c r="L43" s="562">
        <f t="shared" si="4"/>
        <v>625837.49000000022</v>
      </c>
      <c r="M43" s="571" t="s">
        <v>3896</v>
      </c>
    </row>
    <row r="44" spans="1:13" ht="26.1" customHeight="1">
      <c r="A44" s="561">
        <v>40725</v>
      </c>
      <c r="B44" s="562">
        <v>444</v>
      </c>
      <c r="C44" s="562">
        <v>117047.5</v>
      </c>
      <c r="D44" s="562">
        <f t="shared" si="0"/>
        <v>59516.5</v>
      </c>
      <c r="E44" s="562">
        <f t="shared" si="1"/>
        <v>15571163.33</v>
      </c>
      <c r="F44" s="562">
        <v>0</v>
      </c>
      <c r="G44" s="563">
        <v>0</v>
      </c>
      <c r="H44" s="562">
        <f t="shared" si="6"/>
        <v>413935</v>
      </c>
      <c r="I44" s="564">
        <v>210712.5</v>
      </c>
      <c r="J44" s="569">
        <f t="shared" si="5"/>
        <v>15038990.84</v>
      </c>
      <c r="K44" s="562">
        <f t="shared" si="3"/>
        <v>415124.99000000022</v>
      </c>
      <c r="L44" s="562">
        <f t="shared" si="4"/>
        <v>532172.49000000022</v>
      </c>
      <c r="M44" s="571" t="s">
        <v>3897</v>
      </c>
    </row>
    <row r="45" spans="1:13" ht="26.1" customHeight="1">
      <c r="A45" s="561">
        <v>40756</v>
      </c>
      <c r="B45" s="562">
        <v>772</v>
      </c>
      <c r="C45" s="562">
        <v>202527.5</v>
      </c>
      <c r="D45" s="562">
        <f t="shared" si="0"/>
        <v>60288.5</v>
      </c>
      <c r="E45" s="562">
        <f t="shared" si="1"/>
        <v>15773690.83</v>
      </c>
      <c r="F45" s="562">
        <v>0</v>
      </c>
      <c r="G45" s="563">
        <v>0</v>
      </c>
      <c r="H45" s="562">
        <f t="shared" si="6"/>
        <v>117047.5</v>
      </c>
      <c r="I45" s="564">
        <v>530982.5</v>
      </c>
      <c r="J45" s="569">
        <f t="shared" si="5"/>
        <v>15569973.34</v>
      </c>
      <c r="K45" s="562">
        <f t="shared" si="3"/>
        <v>1189.9900000002235</v>
      </c>
      <c r="L45" s="562">
        <f t="shared" si="4"/>
        <v>203717.49000000022</v>
      </c>
      <c r="M45" s="571"/>
    </row>
    <row r="46" spans="1:13" ht="26.1" customHeight="1">
      <c r="A46" s="561">
        <v>40787</v>
      </c>
      <c r="B46" s="562">
        <f>703+28+49</f>
        <v>780</v>
      </c>
      <c r="C46" s="562">
        <f>187687.5+7000+12920</f>
        <v>207607.5</v>
      </c>
      <c r="D46" s="562">
        <f t="shared" si="0"/>
        <v>61068.5</v>
      </c>
      <c r="E46" s="562">
        <f t="shared" si="1"/>
        <v>15981298.33</v>
      </c>
      <c r="F46" s="562">
        <v>0</v>
      </c>
      <c r="G46" s="563">
        <v>0</v>
      </c>
      <c r="H46" s="562">
        <f t="shared" si="6"/>
        <v>202527.5</v>
      </c>
      <c r="I46" s="575">
        <v>0</v>
      </c>
      <c r="J46" s="569">
        <f t="shared" si="5"/>
        <v>15569973.34</v>
      </c>
      <c r="K46" s="562">
        <f t="shared" si="3"/>
        <v>203717.49000000022</v>
      </c>
      <c r="L46" s="562">
        <f t="shared" si="4"/>
        <v>411324.99000000022</v>
      </c>
      <c r="M46" s="571" t="s">
        <v>3898</v>
      </c>
    </row>
    <row r="47" spans="1:13" ht="26.1" customHeight="1">
      <c r="A47" s="561">
        <v>40817</v>
      </c>
      <c r="B47" s="562">
        <f>197+314+173</f>
        <v>684</v>
      </c>
      <c r="C47" s="562">
        <v>181815</v>
      </c>
      <c r="D47" s="562">
        <f t="shared" si="0"/>
        <v>61752.5</v>
      </c>
      <c r="E47" s="562">
        <f t="shared" si="1"/>
        <v>16163113.33</v>
      </c>
      <c r="F47" s="562">
        <v>0</v>
      </c>
      <c r="G47" s="563">
        <v>0</v>
      </c>
      <c r="H47" s="562">
        <f t="shared" si="6"/>
        <v>207607.5</v>
      </c>
      <c r="I47" s="564">
        <f>181737.74+20789.76</f>
        <v>202527.5</v>
      </c>
      <c r="J47" s="569">
        <f t="shared" si="5"/>
        <v>15772500.84</v>
      </c>
      <c r="K47" s="562">
        <f t="shared" si="3"/>
        <v>208797.49000000022</v>
      </c>
      <c r="L47" s="562">
        <f t="shared" si="4"/>
        <v>390612.49000000022</v>
      </c>
      <c r="M47" s="571" t="s">
        <v>3899</v>
      </c>
    </row>
    <row r="48" spans="1:13" ht="26.1" customHeight="1">
      <c r="A48" s="561">
        <v>40848</v>
      </c>
      <c r="B48" s="562">
        <f>2834+675.5</f>
        <v>3509.5</v>
      </c>
      <c r="C48" s="562">
        <f>752190+182937.5</f>
        <v>935127.5</v>
      </c>
      <c r="D48" s="562">
        <f t="shared" si="0"/>
        <v>65262</v>
      </c>
      <c r="E48" s="562">
        <f t="shared" si="1"/>
        <v>17098240.829999998</v>
      </c>
      <c r="F48" s="562">
        <v>0</v>
      </c>
      <c r="G48" s="563">
        <v>0</v>
      </c>
      <c r="H48" s="562">
        <f t="shared" si="6"/>
        <v>181815</v>
      </c>
      <c r="I48" s="564">
        <v>207607.5</v>
      </c>
      <c r="J48" s="569">
        <f t="shared" si="5"/>
        <v>15980108.34</v>
      </c>
      <c r="K48" s="562">
        <f t="shared" si="3"/>
        <v>183004.99000000022</v>
      </c>
      <c r="L48" s="562">
        <f t="shared" si="4"/>
        <v>1118132.4899999984</v>
      </c>
      <c r="M48" s="571" t="s">
        <v>3900</v>
      </c>
    </row>
    <row r="49" spans="1:13" ht="26.1" customHeight="1">
      <c r="A49" s="561">
        <v>40878</v>
      </c>
      <c r="B49" s="562">
        <v>611.5</v>
      </c>
      <c r="C49" s="562">
        <v>156392.5</v>
      </c>
      <c r="D49" s="562">
        <f t="shared" si="0"/>
        <v>65873.5</v>
      </c>
      <c r="E49" s="562">
        <f t="shared" si="1"/>
        <v>17254633.329999998</v>
      </c>
      <c r="F49" s="562">
        <v>0</v>
      </c>
      <c r="G49" s="563">
        <v>0</v>
      </c>
      <c r="H49" s="562">
        <f t="shared" si="6"/>
        <v>935127.5</v>
      </c>
      <c r="I49" s="564">
        <v>181815</v>
      </c>
      <c r="J49" s="569">
        <f t="shared" si="5"/>
        <v>16161923.34</v>
      </c>
      <c r="K49" s="562">
        <f t="shared" si="3"/>
        <v>936317.49000000022</v>
      </c>
      <c r="L49" s="562">
        <f t="shared" si="4"/>
        <v>1092709.9899999984</v>
      </c>
      <c r="M49" s="571" t="s">
        <v>3901</v>
      </c>
    </row>
    <row r="50" spans="1:13" ht="26.1" customHeight="1">
      <c r="A50" s="561">
        <v>40909</v>
      </c>
      <c r="B50" s="562">
        <f>52+901</f>
        <v>953</v>
      </c>
      <c r="C50" s="562">
        <v>244295</v>
      </c>
      <c r="D50" s="562">
        <f t="shared" si="0"/>
        <v>66826.5</v>
      </c>
      <c r="E50" s="562">
        <f t="shared" si="1"/>
        <v>17498928.329999998</v>
      </c>
      <c r="F50" s="562">
        <v>0</v>
      </c>
      <c r="G50" s="563">
        <v>0</v>
      </c>
      <c r="H50" s="562">
        <f t="shared" si="6"/>
        <v>156392.5</v>
      </c>
      <c r="I50" s="564">
        <f>747872.5+343647.51</f>
        <v>1091520.01</v>
      </c>
      <c r="J50" s="569">
        <f t="shared" si="5"/>
        <v>17253443.350000001</v>
      </c>
      <c r="K50" s="562">
        <f t="shared" si="3"/>
        <v>1189.9800000002142</v>
      </c>
      <c r="L50" s="562">
        <f t="shared" si="4"/>
        <v>245484.97999999672</v>
      </c>
      <c r="M50" s="571"/>
    </row>
    <row r="51" spans="1:13" ht="26.1" customHeight="1">
      <c r="A51" s="561">
        <v>40940</v>
      </c>
      <c r="B51" s="562">
        <f>25+285</f>
        <v>310</v>
      </c>
      <c r="C51" s="562">
        <f>6500+67595</f>
        <v>74095</v>
      </c>
      <c r="D51" s="562">
        <f t="shared" si="0"/>
        <v>67136.5</v>
      </c>
      <c r="E51" s="562">
        <f t="shared" si="1"/>
        <v>17573023.329999998</v>
      </c>
      <c r="F51" s="562">
        <v>0</v>
      </c>
      <c r="G51" s="563">
        <v>0</v>
      </c>
      <c r="H51" s="562">
        <f t="shared" si="6"/>
        <v>244295</v>
      </c>
      <c r="I51" s="564">
        <v>0</v>
      </c>
      <c r="J51" s="569">
        <f t="shared" si="5"/>
        <v>17253443.350000001</v>
      </c>
      <c r="K51" s="562">
        <f t="shared" si="3"/>
        <v>245484.98000000021</v>
      </c>
      <c r="L51" s="562">
        <f t="shared" si="4"/>
        <v>319579.97999999672</v>
      </c>
      <c r="M51" s="571"/>
    </row>
    <row r="52" spans="1:13" ht="26.1" customHeight="1">
      <c r="A52" s="561">
        <v>40969</v>
      </c>
      <c r="B52" s="562">
        <f>530.5+443</f>
        <v>973.5</v>
      </c>
      <c r="C52" s="564">
        <f>138395+121730</f>
        <v>260125</v>
      </c>
      <c r="D52" s="562">
        <f t="shared" si="0"/>
        <v>68110</v>
      </c>
      <c r="E52" s="562">
        <f t="shared" si="1"/>
        <v>17833148.329999998</v>
      </c>
      <c r="F52" s="562">
        <v>0</v>
      </c>
      <c r="G52" s="563">
        <v>0</v>
      </c>
      <c r="H52" s="562">
        <f t="shared" si="6"/>
        <v>74095</v>
      </c>
      <c r="I52" s="564">
        <v>0</v>
      </c>
      <c r="J52" s="569">
        <f t="shared" si="5"/>
        <v>17253443.350000001</v>
      </c>
      <c r="K52" s="562">
        <f t="shared" si="3"/>
        <v>319579.98000000021</v>
      </c>
      <c r="L52" s="562">
        <f t="shared" si="4"/>
        <v>579704.97999999672</v>
      </c>
      <c r="M52" s="571" t="s">
        <v>3902</v>
      </c>
    </row>
    <row r="53" spans="1:13" ht="29.1" customHeight="1">
      <c r="A53" s="561">
        <v>41000</v>
      </c>
      <c r="B53" s="562">
        <f>214.5+791</f>
        <v>1005.5</v>
      </c>
      <c r="C53" s="564">
        <f>56520+220080</f>
        <v>276600</v>
      </c>
      <c r="D53" s="562">
        <f t="shared" si="0"/>
        <v>69115.5</v>
      </c>
      <c r="E53" s="562">
        <f t="shared" si="1"/>
        <v>18109748.329999998</v>
      </c>
      <c r="F53" s="562">
        <v>0</v>
      </c>
      <c r="G53" s="563">
        <v>0</v>
      </c>
      <c r="H53" s="562">
        <f t="shared" si="6"/>
        <v>260125</v>
      </c>
      <c r="I53" s="564">
        <v>318390</v>
      </c>
      <c r="J53" s="569">
        <f t="shared" si="5"/>
        <v>17571833.350000001</v>
      </c>
      <c r="K53" s="562">
        <f t="shared" si="3"/>
        <v>261314.98000000021</v>
      </c>
      <c r="L53" s="562">
        <f t="shared" si="4"/>
        <v>537914.97999999672</v>
      </c>
      <c r="M53" s="577" t="s">
        <v>3903</v>
      </c>
    </row>
    <row r="54" spans="1:13" ht="29.1" customHeight="1">
      <c r="A54" s="561">
        <v>41030</v>
      </c>
      <c r="B54" s="562">
        <f>776+1140.5</f>
        <v>1916.5</v>
      </c>
      <c r="C54" s="564">
        <f>209080+322355</f>
        <v>531435</v>
      </c>
      <c r="D54" s="562">
        <f t="shared" si="0"/>
        <v>71032</v>
      </c>
      <c r="E54" s="562">
        <f t="shared" si="1"/>
        <v>18641183.329999998</v>
      </c>
      <c r="F54" s="562">
        <v>0</v>
      </c>
      <c r="G54" s="563">
        <v>0</v>
      </c>
      <c r="H54" s="562">
        <f t="shared" si="6"/>
        <v>276600</v>
      </c>
      <c r="I54" s="572">
        <v>260125</v>
      </c>
      <c r="J54" s="569">
        <f t="shared" si="5"/>
        <v>17831958.350000001</v>
      </c>
      <c r="K54" s="562">
        <f t="shared" si="3"/>
        <v>277789.98000000021</v>
      </c>
      <c r="L54" s="562">
        <f t="shared" si="4"/>
        <v>809224.97999999672</v>
      </c>
      <c r="M54" s="578" t="s">
        <v>3904</v>
      </c>
    </row>
    <row r="55" spans="1:13" ht="29.1" customHeight="1">
      <c r="A55" s="561">
        <v>41061</v>
      </c>
      <c r="B55" s="562">
        <f>454.5+1231</f>
        <v>1685.5</v>
      </c>
      <c r="C55" s="564">
        <f>124795+343850</f>
        <v>468645</v>
      </c>
      <c r="D55" s="562">
        <f t="shared" si="0"/>
        <v>72717.5</v>
      </c>
      <c r="E55" s="562">
        <f t="shared" si="1"/>
        <v>19109828.329999998</v>
      </c>
      <c r="F55" s="562">
        <v>0</v>
      </c>
      <c r="G55" s="563">
        <v>0</v>
      </c>
      <c r="H55" s="562">
        <f t="shared" si="6"/>
        <v>531435</v>
      </c>
      <c r="I55" s="564">
        <v>276600</v>
      </c>
      <c r="J55" s="569">
        <f t="shared" si="5"/>
        <v>18108558.350000001</v>
      </c>
      <c r="K55" s="562">
        <f t="shared" si="3"/>
        <v>532624.98000000021</v>
      </c>
      <c r="L55" s="562">
        <f t="shared" si="4"/>
        <v>1001269.9799999967</v>
      </c>
      <c r="M55" s="578" t="s">
        <v>3905</v>
      </c>
    </row>
    <row r="56" spans="1:13" ht="29.1" customHeight="1">
      <c r="A56" s="561">
        <v>41091</v>
      </c>
      <c r="B56" s="562">
        <f>590+774</f>
        <v>1364</v>
      </c>
      <c r="C56" s="564">
        <f>151465+211297.5</f>
        <v>362762.5</v>
      </c>
      <c r="D56" s="562">
        <f t="shared" si="0"/>
        <v>74081.5</v>
      </c>
      <c r="E56" s="562">
        <f t="shared" si="1"/>
        <v>19472590.829999998</v>
      </c>
      <c r="F56" s="562">
        <v>0</v>
      </c>
      <c r="G56" s="563">
        <v>0</v>
      </c>
      <c r="H56" s="562">
        <f t="shared" si="6"/>
        <v>468645</v>
      </c>
      <c r="I56" s="564">
        <v>531435</v>
      </c>
      <c r="J56" s="569">
        <f t="shared" si="5"/>
        <v>18639993.350000001</v>
      </c>
      <c r="K56" s="562">
        <f t="shared" si="3"/>
        <v>469834.98000000021</v>
      </c>
      <c r="L56" s="562">
        <f t="shared" si="4"/>
        <v>832597.47999999672</v>
      </c>
      <c r="M56" s="578" t="s">
        <v>3906</v>
      </c>
    </row>
    <row r="57" spans="1:13" ht="29.1" customHeight="1">
      <c r="A57" s="561">
        <v>41122</v>
      </c>
      <c r="B57" s="562">
        <f>786.5+710</f>
        <v>1496.5</v>
      </c>
      <c r="C57" s="564">
        <f>199117.5+177485</f>
        <v>376602.5</v>
      </c>
      <c r="D57" s="562">
        <f t="shared" si="0"/>
        <v>75578</v>
      </c>
      <c r="E57" s="562">
        <f t="shared" si="1"/>
        <v>19849193.329999998</v>
      </c>
      <c r="F57" s="562">
        <v>0</v>
      </c>
      <c r="G57" s="563">
        <v>0</v>
      </c>
      <c r="H57" s="562">
        <f t="shared" si="6"/>
        <v>362762.5</v>
      </c>
      <c r="I57" s="564">
        <f>455860+13825</f>
        <v>469685</v>
      </c>
      <c r="J57" s="569">
        <f t="shared" si="5"/>
        <v>19109678.350000001</v>
      </c>
      <c r="K57" s="562">
        <f t="shared" si="3"/>
        <v>362912.48000000021</v>
      </c>
      <c r="L57" s="562">
        <f t="shared" si="4"/>
        <v>739514.97999999672</v>
      </c>
      <c r="M57" s="578" t="s">
        <v>3907</v>
      </c>
    </row>
    <row r="58" spans="1:13" ht="29.1" customHeight="1">
      <c r="A58" s="561">
        <v>41153</v>
      </c>
      <c r="B58" s="562">
        <f>733+700.5</f>
        <v>1433.5</v>
      </c>
      <c r="C58" s="564">
        <f>180735+173660</f>
        <v>354395</v>
      </c>
      <c r="D58" s="562">
        <f t="shared" si="0"/>
        <v>77011.5</v>
      </c>
      <c r="E58" s="562">
        <f t="shared" si="1"/>
        <v>20203588.329999998</v>
      </c>
      <c r="F58" s="562">
        <v>0</v>
      </c>
      <c r="G58" s="563">
        <v>0</v>
      </c>
      <c r="H58" s="562">
        <f t="shared" si="6"/>
        <v>376602.5</v>
      </c>
      <c r="I58" s="572">
        <v>317093</v>
      </c>
      <c r="J58" s="569">
        <f t="shared" si="5"/>
        <v>19426771.350000001</v>
      </c>
      <c r="K58" s="562">
        <f t="shared" si="3"/>
        <v>422421.98000000021</v>
      </c>
      <c r="L58" s="562">
        <f t="shared" si="4"/>
        <v>776816.97999999672</v>
      </c>
      <c r="M58" s="577" t="s">
        <v>3908</v>
      </c>
    </row>
    <row r="59" spans="1:13" ht="29.1" customHeight="1">
      <c r="A59" s="561">
        <v>41183</v>
      </c>
      <c r="B59" s="562">
        <f>752.5+782</f>
        <v>1534.5</v>
      </c>
      <c r="C59" s="564">
        <f>201005+199395</f>
        <v>400400</v>
      </c>
      <c r="D59" s="562">
        <f t="shared" si="0"/>
        <v>78546</v>
      </c>
      <c r="E59" s="562">
        <f t="shared" si="1"/>
        <v>20603988.329999998</v>
      </c>
      <c r="F59" s="562">
        <v>0</v>
      </c>
      <c r="G59" s="563">
        <v>0</v>
      </c>
      <c r="H59" s="562">
        <f t="shared" si="6"/>
        <v>354395</v>
      </c>
      <c r="I59" s="564">
        <v>368737.5</v>
      </c>
      <c r="J59" s="569">
        <f t="shared" si="5"/>
        <v>19795508.850000001</v>
      </c>
      <c r="K59" s="562">
        <f t="shared" si="3"/>
        <v>408079.48000000021</v>
      </c>
      <c r="L59" s="562">
        <f t="shared" si="4"/>
        <v>808479.47999999672</v>
      </c>
      <c r="M59" s="578" t="s">
        <v>3909</v>
      </c>
    </row>
    <row r="60" spans="1:13" ht="29.1" customHeight="1">
      <c r="A60" s="561">
        <v>41214</v>
      </c>
      <c r="B60" s="562">
        <f>534+184</f>
        <v>718</v>
      </c>
      <c r="C60" s="564">
        <f>139525+45827.5</f>
        <v>185352.5</v>
      </c>
      <c r="D60" s="562">
        <f t="shared" si="0"/>
        <v>79264</v>
      </c>
      <c r="E60" s="562">
        <f t="shared" si="1"/>
        <v>20789340.829999998</v>
      </c>
      <c r="F60" s="562">
        <v>0</v>
      </c>
      <c r="G60" s="563">
        <v>0</v>
      </c>
      <c r="H60" s="562">
        <f t="shared" si="6"/>
        <v>400400</v>
      </c>
      <c r="I60" s="564">
        <f>13625+348635</f>
        <v>362260</v>
      </c>
      <c r="J60" s="569">
        <f t="shared" si="5"/>
        <v>20157768.850000001</v>
      </c>
      <c r="K60" s="562">
        <f t="shared" si="3"/>
        <v>446219.48000000021</v>
      </c>
      <c r="L60" s="562">
        <f t="shared" si="4"/>
        <v>631571.97999999672</v>
      </c>
      <c r="M60" s="578" t="s">
        <v>3910</v>
      </c>
    </row>
    <row r="61" spans="1:13" ht="29.1" customHeight="1">
      <c r="A61" s="561">
        <v>41244</v>
      </c>
      <c r="B61" s="562">
        <f>133.5+238.5</f>
        <v>372</v>
      </c>
      <c r="C61" s="564">
        <f>35102.5+59067.5</f>
        <v>94170</v>
      </c>
      <c r="D61" s="562">
        <f t="shared" si="0"/>
        <v>79636</v>
      </c>
      <c r="E61" s="562">
        <f t="shared" si="1"/>
        <v>20883510.829999998</v>
      </c>
      <c r="F61" s="562">
        <v>0</v>
      </c>
      <c r="G61" s="563">
        <v>0</v>
      </c>
      <c r="H61" s="562">
        <f t="shared" si="6"/>
        <v>185352.5</v>
      </c>
      <c r="I61" s="564">
        <v>377990</v>
      </c>
      <c r="J61" s="569">
        <f t="shared" si="5"/>
        <v>20535758.850000001</v>
      </c>
      <c r="K61" s="562">
        <f t="shared" si="3"/>
        <v>253581.98000000021</v>
      </c>
      <c r="L61" s="562">
        <f t="shared" si="4"/>
        <v>347751.97999999672</v>
      </c>
      <c r="M61" s="578" t="s">
        <v>3911</v>
      </c>
    </row>
    <row r="62" spans="1:13" ht="29.1" customHeight="1">
      <c r="A62" s="561">
        <v>41275</v>
      </c>
      <c r="B62" s="562">
        <f>774+329</f>
        <v>1103</v>
      </c>
      <c r="C62" s="564">
        <f>206375+80095</f>
        <v>286470</v>
      </c>
      <c r="D62" s="562">
        <f t="shared" si="0"/>
        <v>80739</v>
      </c>
      <c r="E62" s="562">
        <f t="shared" si="1"/>
        <v>21169980.829999998</v>
      </c>
      <c r="F62" s="562">
        <v>0</v>
      </c>
      <c r="G62" s="563">
        <v>0</v>
      </c>
      <c r="H62" s="562">
        <f t="shared" si="6"/>
        <v>94170</v>
      </c>
      <c r="I62" s="564">
        <f>36102.5+19790+74380+171515</f>
        <v>301787.5</v>
      </c>
      <c r="J62" s="569">
        <f t="shared" si="5"/>
        <v>20837546.350000001</v>
      </c>
      <c r="K62" s="562">
        <f t="shared" si="3"/>
        <v>45964.480000000214</v>
      </c>
      <c r="L62" s="562">
        <f t="shared" si="4"/>
        <v>332434.47999999672</v>
      </c>
      <c r="M62" s="578" t="s">
        <v>3912</v>
      </c>
    </row>
    <row r="63" spans="1:13" ht="29.1" customHeight="1">
      <c r="A63" s="561">
        <v>41306</v>
      </c>
      <c r="B63" s="562">
        <v>4</v>
      </c>
      <c r="C63" s="564">
        <v>920</v>
      </c>
      <c r="D63" s="562">
        <f t="shared" si="0"/>
        <v>80743</v>
      </c>
      <c r="E63" s="562">
        <f t="shared" si="1"/>
        <v>21170900.829999998</v>
      </c>
      <c r="F63" s="562">
        <v>0</v>
      </c>
      <c r="G63" s="563">
        <v>0</v>
      </c>
      <c r="H63" s="562">
        <f t="shared" si="6"/>
        <v>286470</v>
      </c>
      <c r="I63" s="575">
        <v>0</v>
      </c>
      <c r="J63" s="569">
        <f t="shared" si="5"/>
        <v>20837546.350000001</v>
      </c>
      <c r="K63" s="562">
        <f t="shared" si="3"/>
        <v>332434.48000000021</v>
      </c>
      <c r="L63" s="562">
        <f t="shared" si="4"/>
        <v>333354.47999999672</v>
      </c>
      <c r="M63" s="578"/>
    </row>
    <row r="64" spans="1:13" ht="29.1" customHeight="1">
      <c r="A64" s="565">
        <v>41334</v>
      </c>
      <c r="B64" s="566">
        <f>153.5+163.5</f>
        <v>317</v>
      </c>
      <c r="C64" s="566">
        <f>39330+34667.5+5510</f>
        <v>79507.5</v>
      </c>
      <c r="D64" s="562">
        <f t="shared" si="0"/>
        <v>81060</v>
      </c>
      <c r="E64" s="562">
        <f t="shared" si="1"/>
        <v>21250408.329999998</v>
      </c>
      <c r="F64" s="562">
        <v>0</v>
      </c>
      <c r="G64" s="563">
        <v>0</v>
      </c>
      <c r="H64" s="562">
        <f t="shared" si="6"/>
        <v>920</v>
      </c>
      <c r="I64" s="575">
        <v>0</v>
      </c>
      <c r="J64" s="569">
        <f t="shared" si="5"/>
        <v>20837546.350000001</v>
      </c>
      <c r="K64" s="562">
        <f t="shared" si="3"/>
        <v>333354.48000000021</v>
      </c>
      <c r="L64" s="562">
        <f t="shared" si="4"/>
        <v>412861.97999999672</v>
      </c>
      <c r="M64" s="578" t="s">
        <v>3913</v>
      </c>
    </row>
    <row r="65" spans="1:13" ht="29.1" customHeight="1">
      <c r="A65" s="579">
        <v>41365</v>
      </c>
      <c r="B65" s="574">
        <f>99+20+70</f>
        <v>189</v>
      </c>
      <c r="C65" s="574">
        <f>26887.5+4900+17150</f>
        <v>48937.5</v>
      </c>
      <c r="D65" s="562">
        <f t="shared" si="0"/>
        <v>81249</v>
      </c>
      <c r="E65" s="562">
        <f t="shared" si="1"/>
        <v>21299345.829999998</v>
      </c>
      <c r="F65" s="562">
        <v>0</v>
      </c>
      <c r="G65" s="563">
        <v>0</v>
      </c>
      <c r="H65" s="562">
        <f t="shared" si="6"/>
        <v>79507.5</v>
      </c>
      <c r="I65" s="564">
        <v>285920</v>
      </c>
      <c r="J65" s="569">
        <f t="shared" si="5"/>
        <v>21123466.350000001</v>
      </c>
      <c r="K65" s="562">
        <f t="shared" si="3"/>
        <v>126941.98000000021</v>
      </c>
      <c r="L65" s="562">
        <f t="shared" si="4"/>
        <v>175879.47999999672</v>
      </c>
      <c r="M65" s="571" t="s">
        <v>3914</v>
      </c>
    </row>
    <row r="66" spans="1:13" ht="29.1" customHeight="1">
      <c r="A66" s="561">
        <v>41395</v>
      </c>
      <c r="B66" s="562">
        <f>67.5+57</f>
        <v>124.5</v>
      </c>
      <c r="C66" s="562">
        <f>15872.5+14430</f>
        <v>30302.5</v>
      </c>
      <c r="D66" s="562">
        <f t="shared" si="0"/>
        <v>81373.5</v>
      </c>
      <c r="E66" s="562">
        <f t="shared" si="1"/>
        <v>21329648.329999998</v>
      </c>
      <c r="F66" s="562">
        <v>0</v>
      </c>
      <c r="G66" s="563">
        <v>0</v>
      </c>
      <c r="H66" s="562">
        <f t="shared" si="6"/>
        <v>48937.5</v>
      </c>
      <c r="I66" s="564">
        <v>70565</v>
      </c>
      <c r="J66" s="569">
        <f t="shared" si="5"/>
        <v>21194031.350000001</v>
      </c>
      <c r="K66" s="562">
        <f t="shared" si="3"/>
        <v>105314.48000000021</v>
      </c>
      <c r="L66" s="562">
        <f t="shared" si="4"/>
        <v>135616.97999999672</v>
      </c>
      <c r="M66" s="571" t="s">
        <v>3915</v>
      </c>
    </row>
    <row r="67" spans="1:13" ht="29.1" customHeight="1">
      <c r="A67" s="561">
        <v>41426</v>
      </c>
      <c r="B67" s="562">
        <v>54</v>
      </c>
      <c r="C67" s="562">
        <v>13500</v>
      </c>
      <c r="D67" s="562">
        <f t="shared" si="0"/>
        <v>81427.5</v>
      </c>
      <c r="E67" s="562">
        <f t="shared" si="1"/>
        <v>21343148.329999998</v>
      </c>
      <c r="F67" s="562">
        <v>0</v>
      </c>
      <c r="G67" s="563">
        <v>0</v>
      </c>
      <c r="H67" s="562">
        <f t="shared" si="6"/>
        <v>30302.5</v>
      </c>
      <c r="I67" s="564">
        <v>31787.5</v>
      </c>
      <c r="J67" s="569">
        <f t="shared" si="5"/>
        <v>21225818.850000001</v>
      </c>
      <c r="K67" s="562">
        <f t="shared" si="3"/>
        <v>103829.48000000021</v>
      </c>
      <c r="L67" s="562">
        <f t="shared" si="4"/>
        <v>117329.47999999672</v>
      </c>
      <c r="M67" s="571" t="s">
        <v>3916</v>
      </c>
    </row>
    <row r="68" spans="1:13" ht="29.1" customHeight="1">
      <c r="A68" s="561">
        <v>41456</v>
      </c>
      <c r="B68" s="562">
        <f>10.5+36</f>
        <v>46.5</v>
      </c>
      <c r="C68" s="562">
        <f>2542.5+9120</f>
        <v>11662.5</v>
      </c>
      <c r="D68" s="562">
        <f t="shared" si="0"/>
        <v>81474</v>
      </c>
      <c r="E68" s="562">
        <f t="shared" si="1"/>
        <v>21354810.829999998</v>
      </c>
      <c r="F68" s="562">
        <v>0</v>
      </c>
      <c r="G68" s="563">
        <v>0</v>
      </c>
      <c r="H68" s="562">
        <f t="shared" si="6"/>
        <v>13500</v>
      </c>
      <c r="I68" s="564">
        <f>27562.5+30302.5+13500</f>
        <v>71365</v>
      </c>
      <c r="J68" s="569">
        <f t="shared" si="5"/>
        <v>21297183.850000001</v>
      </c>
      <c r="K68" s="562">
        <f t="shared" si="3"/>
        <v>45964.480000000214</v>
      </c>
      <c r="L68" s="562">
        <f t="shared" si="4"/>
        <v>57626.979999996722</v>
      </c>
      <c r="M68" s="571" t="s">
        <v>3917</v>
      </c>
    </row>
    <row r="69" spans="1:13" ht="29.1" customHeight="1">
      <c r="A69" s="561">
        <v>41487</v>
      </c>
      <c r="B69" s="562">
        <v>0</v>
      </c>
      <c r="C69" s="562">
        <v>0</v>
      </c>
      <c r="D69" s="562">
        <f t="shared" si="0"/>
        <v>81474</v>
      </c>
      <c r="E69" s="562">
        <f t="shared" si="1"/>
        <v>21354810.829999998</v>
      </c>
      <c r="F69" s="562">
        <v>0</v>
      </c>
      <c r="G69" s="563">
        <v>0</v>
      </c>
      <c r="H69" s="562">
        <f t="shared" si="6"/>
        <v>11662.5</v>
      </c>
      <c r="I69" s="562">
        <v>0</v>
      </c>
      <c r="J69" s="569">
        <f t="shared" si="5"/>
        <v>21297183.850000001</v>
      </c>
      <c r="K69" s="562">
        <f t="shared" si="3"/>
        <v>57626.980000000214</v>
      </c>
      <c r="L69" s="562">
        <f t="shared" si="4"/>
        <v>57626.979999996722</v>
      </c>
      <c r="M69" s="571"/>
    </row>
    <row r="70" spans="1:13" ht="29.1" customHeight="1">
      <c r="A70" s="561">
        <v>41518</v>
      </c>
      <c r="B70" s="562">
        <v>0</v>
      </c>
      <c r="C70" s="562">
        <v>0</v>
      </c>
      <c r="D70" s="562">
        <f t="shared" si="0"/>
        <v>81474</v>
      </c>
      <c r="E70" s="562">
        <f t="shared" si="1"/>
        <v>21354810.829999998</v>
      </c>
      <c r="F70" s="562">
        <v>0</v>
      </c>
      <c r="G70" s="562">
        <v>0</v>
      </c>
      <c r="H70" s="562">
        <f t="shared" si="6"/>
        <v>0</v>
      </c>
      <c r="I70" s="562">
        <v>0</v>
      </c>
      <c r="J70" s="569">
        <f t="shared" si="5"/>
        <v>21297183.850000001</v>
      </c>
      <c r="K70" s="562">
        <f t="shared" si="3"/>
        <v>57626.980000000214</v>
      </c>
      <c r="L70" s="562">
        <f t="shared" si="4"/>
        <v>57626.979999996722</v>
      </c>
      <c r="M70" s="571" t="s">
        <v>3918</v>
      </c>
    </row>
    <row r="71" spans="1:13" ht="29.1" customHeight="1">
      <c r="A71" s="561">
        <v>41548</v>
      </c>
      <c r="B71" s="562">
        <v>0</v>
      </c>
      <c r="C71" s="562">
        <v>0</v>
      </c>
      <c r="D71" s="562">
        <f t="shared" ref="D71:D85" si="7">D70+B71</f>
        <v>81474</v>
      </c>
      <c r="E71" s="562">
        <f t="shared" ref="E71:E85" si="8">E70+C71</f>
        <v>21354810.829999998</v>
      </c>
      <c r="F71" s="562">
        <v>0</v>
      </c>
      <c r="G71" s="562">
        <v>0</v>
      </c>
      <c r="H71" s="562">
        <f t="shared" si="6"/>
        <v>0</v>
      </c>
      <c r="I71" s="564">
        <v>11662.5</v>
      </c>
      <c r="J71" s="569">
        <f t="shared" si="5"/>
        <v>21308846.350000001</v>
      </c>
      <c r="K71" s="562">
        <f t="shared" ref="K71:K85" si="9">K70+H71-I71</f>
        <v>45964.480000000214</v>
      </c>
      <c r="L71" s="562">
        <f t="shared" ref="L71:L85" si="10">E71-J71</f>
        <v>45964.479999996722</v>
      </c>
      <c r="M71" s="571"/>
    </row>
    <row r="72" spans="1:13" ht="29.1" customHeight="1">
      <c r="A72" s="561">
        <v>41579</v>
      </c>
      <c r="B72" s="562">
        <v>0</v>
      </c>
      <c r="C72" s="562">
        <v>0</v>
      </c>
      <c r="D72" s="562">
        <f t="shared" si="7"/>
        <v>81474</v>
      </c>
      <c r="E72" s="562">
        <f t="shared" si="8"/>
        <v>21354810.829999998</v>
      </c>
      <c r="F72" s="562">
        <v>0</v>
      </c>
      <c r="G72" s="562">
        <v>0</v>
      </c>
      <c r="H72" s="562">
        <f t="shared" si="6"/>
        <v>0</v>
      </c>
      <c r="I72" s="562">
        <v>0</v>
      </c>
      <c r="J72" s="569">
        <f t="shared" si="5"/>
        <v>21308846.350000001</v>
      </c>
      <c r="K72" s="562">
        <f t="shared" si="9"/>
        <v>45964.480000000214</v>
      </c>
      <c r="L72" s="562">
        <f t="shared" si="10"/>
        <v>45964.479999996722</v>
      </c>
      <c r="M72" s="571"/>
    </row>
    <row r="73" spans="1:13" ht="29.1" customHeight="1">
      <c r="A73" s="561">
        <v>41609</v>
      </c>
      <c r="B73" s="562">
        <v>10</v>
      </c>
      <c r="C73" s="562">
        <v>3000</v>
      </c>
      <c r="D73" s="562">
        <f t="shared" si="7"/>
        <v>81484</v>
      </c>
      <c r="E73" s="562">
        <f t="shared" si="8"/>
        <v>21357810.829999998</v>
      </c>
      <c r="F73" s="562">
        <v>0</v>
      </c>
      <c r="G73" s="562">
        <v>0</v>
      </c>
      <c r="H73" s="562">
        <f t="shared" si="6"/>
        <v>0</v>
      </c>
      <c r="I73" s="562">
        <v>0</v>
      </c>
      <c r="J73" s="569">
        <f t="shared" si="5"/>
        <v>21308846.350000001</v>
      </c>
      <c r="K73" s="562">
        <f t="shared" si="9"/>
        <v>45964.480000000214</v>
      </c>
      <c r="L73" s="562">
        <f t="shared" si="10"/>
        <v>48964.479999996722</v>
      </c>
      <c r="M73" s="571" t="s">
        <v>3919</v>
      </c>
    </row>
    <row r="74" spans="1:13" ht="29.1" customHeight="1">
      <c r="A74" s="561">
        <v>41640</v>
      </c>
      <c r="B74" s="562">
        <v>376</v>
      </c>
      <c r="C74" s="562">
        <v>121370</v>
      </c>
      <c r="D74" s="562">
        <f t="shared" si="7"/>
        <v>81860</v>
      </c>
      <c r="E74" s="562">
        <f t="shared" si="8"/>
        <v>21479180.829999998</v>
      </c>
      <c r="F74" s="562">
        <v>0</v>
      </c>
      <c r="G74" s="562">
        <v>0</v>
      </c>
      <c r="H74" s="562">
        <f t="shared" si="6"/>
        <v>3000</v>
      </c>
      <c r="I74" s="562">
        <v>3000</v>
      </c>
      <c r="J74" s="569">
        <f t="shared" ref="J74:J79" si="11">J73+I74</f>
        <v>21311846.350000001</v>
      </c>
      <c r="K74" s="562">
        <f t="shared" si="9"/>
        <v>45964.480000000214</v>
      </c>
      <c r="L74" s="562">
        <f t="shared" si="10"/>
        <v>167334.47999999672</v>
      </c>
      <c r="M74" s="571"/>
    </row>
    <row r="75" spans="1:13" ht="29.1" customHeight="1">
      <c r="A75" s="561">
        <v>41671</v>
      </c>
      <c r="B75" s="562">
        <v>0</v>
      </c>
      <c r="C75" s="562">
        <v>0</v>
      </c>
      <c r="D75" s="562">
        <f t="shared" si="7"/>
        <v>81860</v>
      </c>
      <c r="E75" s="562">
        <f t="shared" si="8"/>
        <v>21479180.829999998</v>
      </c>
      <c r="F75" s="562">
        <v>0</v>
      </c>
      <c r="G75" s="562">
        <v>0</v>
      </c>
      <c r="H75" s="562">
        <f t="shared" si="6"/>
        <v>121370</v>
      </c>
      <c r="I75" s="562"/>
      <c r="J75" s="569">
        <f t="shared" si="11"/>
        <v>21311846.350000001</v>
      </c>
      <c r="K75" s="562">
        <f t="shared" si="9"/>
        <v>167334.48000000021</v>
      </c>
      <c r="L75" s="562">
        <f t="shared" si="10"/>
        <v>167334.47999999672</v>
      </c>
      <c r="M75" s="571"/>
    </row>
    <row r="76" spans="1:13" ht="29.1" customHeight="1">
      <c r="A76" s="561">
        <v>41699</v>
      </c>
      <c r="B76" s="562">
        <f>2+104</f>
        <v>106</v>
      </c>
      <c r="C76" s="562">
        <f>640+32020</f>
        <v>32660</v>
      </c>
      <c r="D76" s="562">
        <f t="shared" si="7"/>
        <v>81966</v>
      </c>
      <c r="E76" s="562">
        <f t="shared" si="8"/>
        <v>21511840.829999998</v>
      </c>
      <c r="F76" s="562">
        <v>0</v>
      </c>
      <c r="G76" s="562">
        <v>0</v>
      </c>
      <c r="H76" s="562">
        <f t="shared" si="6"/>
        <v>0</v>
      </c>
      <c r="I76" s="562"/>
      <c r="J76" s="569">
        <f t="shared" si="11"/>
        <v>21311846.350000001</v>
      </c>
      <c r="K76" s="562">
        <f t="shared" si="9"/>
        <v>167334.48000000021</v>
      </c>
      <c r="L76" s="562">
        <f t="shared" si="10"/>
        <v>199994.47999999672</v>
      </c>
      <c r="M76" s="571" t="s">
        <v>3920</v>
      </c>
    </row>
    <row r="77" spans="1:13" ht="29.1" customHeight="1">
      <c r="A77" s="580">
        <v>41730</v>
      </c>
      <c r="B77" s="581">
        <v>118.5</v>
      </c>
      <c r="C77" s="581">
        <v>36527.5</v>
      </c>
      <c r="D77" s="581">
        <f t="shared" si="7"/>
        <v>82084.5</v>
      </c>
      <c r="E77" s="581">
        <f t="shared" si="8"/>
        <v>21548368.329999998</v>
      </c>
      <c r="F77" s="581">
        <v>0</v>
      </c>
      <c r="G77" s="581">
        <v>0</v>
      </c>
      <c r="H77" s="581">
        <f t="shared" si="6"/>
        <v>32660</v>
      </c>
      <c r="I77" s="581">
        <v>3000</v>
      </c>
      <c r="J77" s="586">
        <f t="shared" si="11"/>
        <v>21314846.350000001</v>
      </c>
      <c r="K77" s="581">
        <f t="shared" si="9"/>
        <v>196994.48000000021</v>
      </c>
      <c r="L77" s="581">
        <f t="shared" si="10"/>
        <v>233521.97999999672</v>
      </c>
      <c r="M77" s="587"/>
    </row>
    <row r="78" spans="1:13" ht="29.1" customHeight="1">
      <c r="A78" s="582">
        <v>41760</v>
      </c>
      <c r="B78" s="581">
        <v>140.5</v>
      </c>
      <c r="C78" s="581">
        <v>43562.5</v>
      </c>
      <c r="D78" s="581">
        <f t="shared" si="7"/>
        <v>82225</v>
      </c>
      <c r="E78" s="581">
        <f t="shared" si="8"/>
        <v>21591930.829999998</v>
      </c>
      <c r="F78" s="581">
        <v>0</v>
      </c>
      <c r="G78" s="581">
        <v>0</v>
      </c>
      <c r="H78" s="581">
        <f t="shared" si="6"/>
        <v>36527.5</v>
      </c>
      <c r="I78" s="581">
        <f>32660+121370+31372.5</f>
        <v>185402.5</v>
      </c>
      <c r="J78" s="586">
        <f t="shared" si="11"/>
        <v>21500248.850000001</v>
      </c>
      <c r="K78" s="581">
        <f t="shared" si="9"/>
        <v>48119.480000000214</v>
      </c>
      <c r="L78" s="581">
        <f t="shared" si="10"/>
        <v>91681.979999996722</v>
      </c>
      <c r="M78" s="588" t="s">
        <v>3921</v>
      </c>
    </row>
    <row r="79" spans="1:13" ht="29.1" customHeight="1">
      <c r="A79" s="582">
        <v>41791</v>
      </c>
      <c r="B79" s="581">
        <f>25+37</f>
        <v>62</v>
      </c>
      <c r="C79" s="581">
        <f>8000+11825</f>
        <v>19825</v>
      </c>
      <c r="D79" s="581">
        <f t="shared" si="7"/>
        <v>82287</v>
      </c>
      <c r="E79" s="581">
        <f t="shared" si="8"/>
        <v>21611755.829999998</v>
      </c>
      <c r="F79" s="581"/>
      <c r="G79" s="583"/>
      <c r="H79" s="581">
        <f t="shared" si="6"/>
        <v>43562.5</v>
      </c>
      <c r="I79" s="581"/>
      <c r="J79" s="586">
        <f t="shared" si="11"/>
        <v>21500248.850000001</v>
      </c>
      <c r="K79" s="581">
        <f t="shared" si="9"/>
        <v>91681.980000000214</v>
      </c>
      <c r="L79" s="581">
        <f t="shared" si="10"/>
        <v>111506.97999999672</v>
      </c>
      <c r="M79" s="589" t="s">
        <v>3922</v>
      </c>
    </row>
    <row r="80" spans="1:13" ht="29.1" customHeight="1">
      <c r="A80" s="582">
        <v>41821</v>
      </c>
      <c r="B80" s="581">
        <v>0</v>
      </c>
      <c r="C80" s="581">
        <v>0</v>
      </c>
      <c r="D80" s="581">
        <f t="shared" si="7"/>
        <v>82287</v>
      </c>
      <c r="E80" s="581">
        <f t="shared" si="8"/>
        <v>21611755.829999998</v>
      </c>
      <c r="F80" s="581"/>
      <c r="G80" s="583"/>
      <c r="H80" s="581">
        <f t="shared" si="6"/>
        <v>19825</v>
      </c>
      <c r="I80" s="581"/>
      <c r="J80" s="586">
        <f t="shared" ref="J80:J85" si="12">J79+I80</f>
        <v>21500248.850000001</v>
      </c>
      <c r="K80" s="581">
        <f t="shared" si="9"/>
        <v>111506.98000000021</v>
      </c>
      <c r="L80" s="581">
        <f t="shared" si="10"/>
        <v>111506.97999999672</v>
      </c>
      <c r="M80" s="589"/>
    </row>
    <row r="81" spans="1:13" ht="29.1" customHeight="1">
      <c r="A81" s="582">
        <v>41852</v>
      </c>
      <c r="B81" s="584">
        <v>0</v>
      </c>
      <c r="C81" s="584">
        <v>0</v>
      </c>
      <c r="D81" s="581">
        <f t="shared" si="7"/>
        <v>82287</v>
      </c>
      <c r="E81" s="581">
        <f t="shared" si="8"/>
        <v>21611755.829999998</v>
      </c>
      <c r="F81" s="584"/>
      <c r="G81" s="585"/>
      <c r="H81" s="581">
        <f t="shared" si="6"/>
        <v>0</v>
      </c>
      <c r="I81" s="584">
        <v>111716</v>
      </c>
      <c r="J81" s="586">
        <f t="shared" si="12"/>
        <v>21611964.850000001</v>
      </c>
      <c r="K81" s="581">
        <f t="shared" si="9"/>
        <v>-209.0199999997858</v>
      </c>
      <c r="L81" s="581">
        <f t="shared" si="10"/>
        <v>-209.02000000327826</v>
      </c>
      <c r="M81" s="590" t="s">
        <v>3923</v>
      </c>
    </row>
    <row r="82" spans="1:13" ht="29.1" customHeight="1">
      <c r="A82" s="582">
        <v>41883</v>
      </c>
      <c r="B82" s="584">
        <v>6</v>
      </c>
      <c r="C82" s="584">
        <v>1890</v>
      </c>
      <c r="D82" s="581">
        <f t="shared" si="7"/>
        <v>82293</v>
      </c>
      <c r="E82" s="581">
        <f t="shared" si="8"/>
        <v>21613645.829999998</v>
      </c>
      <c r="F82" s="584"/>
      <c r="G82" s="585"/>
      <c r="H82" s="581">
        <f t="shared" si="6"/>
        <v>0</v>
      </c>
      <c r="I82" s="584"/>
      <c r="J82" s="586">
        <f t="shared" si="12"/>
        <v>21611964.850000001</v>
      </c>
      <c r="K82" s="581">
        <f t="shared" si="9"/>
        <v>-209.0199999997858</v>
      </c>
      <c r="L82" s="581">
        <f t="shared" si="10"/>
        <v>1680.9799999967217</v>
      </c>
      <c r="M82" s="590"/>
    </row>
    <row r="83" spans="1:13" ht="29.1" customHeight="1">
      <c r="A83" s="582">
        <v>41913</v>
      </c>
      <c r="B83" s="584">
        <v>0</v>
      </c>
      <c r="C83" s="584">
        <v>0</v>
      </c>
      <c r="D83" s="581">
        <f t="shared" si="7"/>
        <v>82293</v>
      </c>
      <c r="E83" s="581">
        <f t="shared" si="8"/>
        <v>21613645.829999998</v>
      </c>
      <c r="F83" s="584"/>
      <c r="G83" s="585"/>
      <c r="H83" s="581">
        <f t="shared" si="6"/>
        <v>1890</v>
      </c>
      <c r="I83" s="584"/>
      <c r="J83" s="586">
        <f t="shared" si="12"/>
        <v>21611964.850000001</v>
      </c>
      <c r="K83" s="581">
        <f t="shared" si="9"/>
        <v>1680.9800000002142</v>
      </c>
      <c r="L83" s="581">
        <f t="shared" si="10"/>
        <v>1680.9799999967217</v>
      </c>
      <c r="M83" s="590"/>
    </row>
    <row r="84" spans="1:13" ht="29.1" customHeight="1">
      <c r="A84" s="582">
        <v>41944</v>
      </c>
      <c r="B84" s="584">
        <v>0</v>
      </c>
      <c r="C84" s="584">
        <v>0</v>
      </c>
      <c r="D84" s="581">
        <f t="shared" si="7"/>
        <v>82293</v>
      </c>
      <c r="E84" s="581">
        <f t="shared" si="8"/>
        <v>21613645.829999998</v>
      </c>
      <c r="F84" s="584"/>
      <c r="G84" s="585"/>
      <c r="H84" s="581">
        <f t="shared" si="6"/>
        <v>0</v>
      </c>
      <c r="I84" s="584"/>
      <c r="J84" s="586">
        <f t="shared" si="12"/>
        <v>21611964.850000001</v>
      </c>
      <c r="K84" s="581">
        <f t="shared" si="9"/>
        <v>1680.9800000002142</v>
      </c>
      <c r="L84" s="581">
        <f t="shared" si="10"/>
        <v>1680.9799999967217</v>
      </c>
      <c r="M84" s="590"/>
    </row>
    <row r="85" spans="1:13" ht="30" customHeight="1">
      <c r="A85" s="582">
        <v>41974</v>
      </c>
      <c r="B85" s="584"/>
      <c r="C85" s="584"/>
      <c r="D85" s="581">
        <f t="shared" si="7"/>
        <v>82293</v>
      </c>
      <c r="E85" s="581">
        <f t="shared" si="8"/>
        <v>21613645.829999998</v>
      </c>
      <c r="F85" s="584"/>
      <c r="G85" s="585"/>
      <c r="H85" s="581">
        <f t="shared" si="6"/>
        <v>0</v>
      </c>
      <c r="I85" s="584">
        <v>5240</v>
      </c>
      <c r="J85" s="586">
        <f t="shared" si="12"/>
        <v>21617204.850000001</v>
      </c>
      <c r="K85" s="581">
        <f t="shared" si="9"/>
        <v>-3559.0199999997858</v>
      </c>
      <c r="L85" s="581">
        <f t="shared" si="10"/>
        <v>-3559.0200000032783</v>
      </c>
      <c r="M85" s="590" t="s">
        <v>3924</v>
      </c>
    </row>
  </sheetData>
  <mergeCells count="9">
    <mergeCell ref="B4:H4"/>
    <mergeCell ref="I4:M4"/>
    <mergeCell ref="H1:H2"/>
    <mergeCell ref="E1:G1"/>
    <mergeCell ref="I1:M1"/>
    <mergeCell ref="B2:C2"/>
    <mergeCell ref="E2:G2"/>
    <mergeCell ref="I2:M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4"/>
  <sheetViews>
    <sheetView topLeftCell="A7" zoomScale="85" zoomScaleNormal="85" zoomScaleSheetLayoutView="100" workbookViewId="0">
      <selection activeCell="C1" sqref="C1"/>
    </sheetView>
  </sheetViews>
  <sheetFormatPr defaultColWidth="9" defaultRowHeight="14.25"/>
  <cols>
    <col min="1" max="1" width="14.375" customWidth="1"/>
    <col min="2" max="2" width="12.25" customWidth="1"/>
    <col min="3" max="3" width="14.5" customWidth="1"/>
    <col min="4" max="4" width="13.125" customWidth="1"/>
    <col min="5" max="5" width="14.875" customWidth="1"/>
    <col min="6" max="6" width="12.75" customWidth="1"/>
    <col min="7" max="7" width="14.25" customWidth="1"/>
    <col min="8" max="8" width="15.375" customWidth="1"/>
    <col min="9" max="9" width="15.125" customWidth="1"/>
    <col min="10" max="10" width="14.75" customWidth="1"/>
    <col min="11" max="11" width="15.75" customWidth="1"/>
    <col min="12" max="12" width="15.25" customWidth="1"/>
    <col min="13" max="13" width="27.375" customWidth="1"/>
  </cols>
  <sheetData>
    <row r="1" spans="1:13" ht="92.1" customHeight="1">
      <c r="A1" s="2177" t="s">
        <v>3781</v>
      </c>
      <c r="B1" s="2178"/>
      <c r="C1" s="450" t="s">
        <v>3782</v>
      </c>
      <c r="D1" s="514"/>
      <c r="E1" s="515" t="s">
        <v>236</v>
      </c>
      <c r="F1" s="2179" t="s">
        <v>3783</v>
      </c>
      <c r="G1" s="2180"/>
      <c r="H1" s="2180"/>
      <c r="I1" s="2180"/>
      <c r="J1" s="57" t="s">
        <v>237</v>
      </c>
      <c r="K1" s="1635" t="s">
        <v>3784</v>
      </c>
      <c r="L1" s="1635"/>
      <c r="M1" s="460" t="s">
        <v>3785</v>
      </c>
    </row>
    <row r="2" spans="1:13" ht="48" customHeight="1">
      <c r="A2" s="39" t="s">
        <v>240</v>
      </c>
      <c r="B2" s="1637" t="s">
        <v>3786</v>
      </c>
      <c r="C2" s="1637"/>
      <c r="D2" s="41" t="s">
        <v>242</v>
      </c>
      <c r="E2" s="1746" t="s">
        <v>3787</v>
      </c>
      <c r="F2" s="1746"/>
      <c r="G2" s="1746"/>
      <c r="H2" s="1746"/>
      <c r="I2" s="1746"/>
      <c r="J2" s="41" t="s">
        <v>243</v>
      </c>
      <c r="K2" s="59"/>
      <c r="L2" s="41" t="s">
        <v>245</v>
      </c>
      <c r="M2" s="461" t="s">
        <v>3788</v>
      </c>
    </row>
    <row r="3" spans="1:13" ht="45" customHeight="1">
      <c r="A3" s="39" t="s">
        <v>247</v>
      </c>
      <c r="B3" s="1637" t="s">
        <v>3789</v>
      </c>
      <c r="C3" s="1637"/>
      <c r="D3" s="41" t="s">
        <v>249</v>
      </c>
      <c r="E3" s="43"/>
      <c r="F3" s="41" t="s">
        <v>251</v>
      </c>
      <c r="G3" s="41" t="s">
        <v>3790</v>
      </c>
      <c r="H3" s="41" t="s">
        <v>252</v>
      </c>
      <c r="I3" s="41">
        <v>13728051508</v>
      </c>
      <c r="J3" s="41" t="s">
        <v>565</v>
      </c>
      <c r="K3" s="40" t="s">
        <v>3791</v>
      </c>
      <c r="L3" s="41" t="s">
        <v>255</v>
      </c>
      <c r="M3" s="105" t="s">
        <v>3790</v>
      </c>
    </row>
    <row r="4" spans="1:13" ht="62.1" customHeight="1">
      <c r="A4" s="39" t="s">
        <v>260</v>
      </c>
      <c r="B4" s="2132" t="s">
        <v>3792</v>
      </c>
      <c r="C4" s="2132"/>
      <c r="D4" s="2132"/>
      <c r="E4" s="2132"/>
      <c r="F4" s="2132"/>
      <c r="G4" s="2132"/>
      <c r="H4" s="2132"/>
      <c r="I4" s="2132" t="s">
        <v>3354</v>
      </c>
      <c r="J4" s="2132"/>
      <c r="K4" s="2132"/>
      <c r="L4" s="2156"/>
      <c r="M4" s="2181"/>
    </row>
    <row r="5" spans="1:13" ht="27" customHeight="1">
      <c r="A5" s="39" t="s">
        <v>3793</v>
      </c>
      <c r="B5" s="2182" t="s">
        <v>3794</v>
      </c>
      <c r="C5" s="2140"/>
      <c r="D5" s="2140"/>
      <c r="E5" s="2140"/>
      <c r="F5" s="2140"/>
      <c r="G5" s="2140"/>
      <c r="H5" s="2141"/>
      <c r="I5" s="2136"/>
      <c r="J5" s="2137"/>
      <c r="K5" s="2138"/>
      <c r="L5" s="2136"/>
      <c r="M5" s="2183"/>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6.1" customHeight="1">
      <c r="A7" s="452" t="s">
        <v>3795</v>
      </c>
      <c r="B7" s="47">
        <v>3399</v>
      </c>
      <c r="C7" s="47">
        <v>974015</v>
      </c>
      <c r="D7" s="447">
        <f>B7</f>
        <v>3399</v>
      </c>
      <c r="E7" s="447">
        <f>C7</f>
        <v>974015</v>
      </c>
      <c r="F7" s="140"/>
      <c r="G7" s="47">
        <f>C7</f>
        <v>974015</v>
      </c>
      <c r="H7" s="47"/>
      <c r="I7" s="47"/>
      <c r="J7" s="465"/>
      <c r="K7" s="47"/>
      <c r="L7" s="140">
        <f t="shared" ref="L7:L16" si="0">E7-J7</f>
        <v>974015</v>
      </c>
      <c r="M7" s="470"/>
    </row>
    <row r="8" spans="1:13" ht="26.1" customHeight="1">
      <c r="A8" s="452">
        <v>41214</v>
      </c>
      <c r="B8" s="47">
        <v>3076</v>
      </c>
      <c r="C8" s="47">
        <v>903327.5</v>
      </c>
      <c r="D8" s="447">
        <f t="shared" ref="D8:D16" si="1">D7+B8</f>
        <v>6475</v>
      </c>
      <c r="E8" s="447">
        <f t="shared" ref="E8:E16" si="2">E7+C8</f>
        <v>1877342.5</v>
      </c>
      <c r="F8" s="140"/>
      <c r="G8" s="47">
        <f>C8+C7*0.3</f>
        <v>1195532</v>
      </c>
      <c r="H8" s="47">
        <v>0</v>
      </c>
      <c r="I8" s="47"/>
      <c r="J8" s="465"/>
      <c r="K8" s="47">
        <f t="shared" ref="K8:K16" si="3">K7+H8-I8</f>
        <v>0</v>
      </c>
      <c r="L8" s="140">
        <f t="shared" si="0"/>
        <v>1877342.5</v>
      </c>
      <c r="M8" s="470"/>
    </row>
    <row r="9" spans="1:13" ht="26.1" customHeight="1">
      <c r="A9" s="452">
        <v>41244</v>
      </c>
      <c r="B9" s="47">
        <v>819</v>
      </c>
      <c r="C9" s="47">
        <v>224405</v>
      </c>
      <c r="D9" s="447">
        <f t="shared" si="1"/>
        <v>7294</v>
      </c>
      <c r="E9" s="447">
        <f t="shared" si="2"/>
        <v>2101747.5</v>
      </c>
      <c r="F9" s="140"/>
      <c r="G9" s="47">
        <f>C9+E8*0.3</f>
        <v>787607.75</v>
      </c>
      <c r="H9" s="47">
        <f>C7*0.7</f>
        <v>681810.5</v>
      </c>
      <c r="I9" s="47"/>
      <c r="J9" s="465"/>
      <c r="K9" s="47">
        <f t="shared" si="3"/>
        <v>681810.5</v>
      </c>
      <c r="L9" s="140">
        <f t="shared" si="0"/>
        <v>2101747.5</v>
      </c>
      <c r="M9" s="470" t="s">
        <v>3796</v>
      </c>
    </row>
    <row r="10" spans="1:13" ht="26.1" customHeight="1">
      <c r="A10" s="452">
        <v>41275</v>
      </c>
      <c r="B10" s="47">
        <v>2634</v>
      </c>
      <c r="C10" s="47">
        <v>646620</v>
      </c>
      <c r="D10" s="447">
        <f t="shared" si="1"/>
        <v>9928</v>
      </c>
      <c r="E10" s="447">
        <f t="shared" si="2"/>
        <v>2748367.5</v>
      </c>
      <c r="F10" s="140"/>
      <c r="G10" s="47">
        <f>C10+E9*0.3</f>
        <v>1277144.25</v>
      </c>
      <c r="H10" s="47">
        <f>C8*0.7</f>
        <v>632329.25</v>
      </c>
      <c r="I10" s="47">
        <v>1000000</v>
      </c>
      <c r="J10" s="465">
        <f t="shared" ref="J10:J16" si="4">J9+I10</f>
        <v>1000000</v>
      </c>
      <c r="K10" s="47">
        <f t="shared" si="3"/>
        <v>314139.75</v>
      </c>
      <c r="L10" s="140">
        <f t="shared" si="0"/>
        <v>1748367.5</v>
      </c>
      <c r="M10" s="470"/>
    </row>
    <row r="11" spans="1:13" ht="26.1" customHeight="1">
      <c r="A11" s="452">
        <v>41306</v>
      </c>
      <c r="B11" s="47">
        <v>2931</v>
      </c>
      <c r="C11" s="47">
        <v>836165</v>
      </c>
      <c r="D11" s="447">
        <f t="shared" si="1"/>
        <v>12859</v>
      </c>
      <c r="E11" s="447">
        <f t="shared" si="2"/>
        <v>3584532.5</v>
      </c>
      <c r="F11" s="140"/>
      <c r="G11" s="47">
        <f>C11+E10*0.3</f>
        <v>1660675.25</v>
      </c>
      <c r="H11" s="47">
        <f>C9*0.7</f>
        <v>157083.5</v>
      </c>
      <c r="I11" s="47">
        <v>0</v>
      </c>
      <c r="J11" s="47">
        <f t="shared" si="4"/>
        <v>1000000</v>
      </c>
      <c r="K11" s="47">
        <f t="shared" si="3"/>
        <v>471223.25</v>
      </c>
      <c r="L11" s="140">
        <f t="shared" si="0"/>
        <v>2584532.5</v>
      </c>
      <c r="M11" s="470" t="s">
        <v>3797</v>
      </c>
    </row>
    <row r="12" spans="1:13" ht="26.1" customHeight="1">
      <c r="A12" s="452" t="s">
        <v>3798</v>
      </c>
      <c r="B12" s="47">
        <v>9487.5</v>
      </c>
      <c r="C12" s="47">
        <v>2654700</v>
      </c>
      <c r="D12" s="447">
        <f t="shared" si="1"/>
        <v>22346.5</v>
      </c>
      <c r="E12" s="447">
        <f t="shared" si="2"/>
        <v>6239232.5</v>
      </c>
      <c r="F12" s="140"/>
      <c r="G12" s="47">
        <f>C12+E11*0.3</f>
        <v>3730059.75</v>
      </c>
      <c r="H12" s="47">
        <f>C10*0.7</f>
        <v>452634</v>
      </c>
      <c r="I12" s="47">
        <v>1000000</v>
      </c>
      <c r="J12" s="47">
        <f t="shared" si="4"/>
        <v>2000000</v>
      </c>
      <c r="K12" s="47">
        <f t="shared" si="3"/>
        <v>-76142.75</v>
      </c>
      <c r="L12" s="140">
        <f t="shared" si="0"/>
        <v>4239232.5</v>
      </c>
      <c r="M12" s="470" t="s">
        <v>3799</v>
      </c>
    </row>
    <row r="13" spans="1:13" ht="26.1" customHeight="1">
      <c r="A13" s="452">
        <v>41365</v>
      </c>
      <c r="B13" s="47">
        <v>0</v>
      </c>
      <c r="C13" s="47">
        <v>0</v>
      </c>
      <c r="D13" s="447">
        <f t="shared" si="1"/>
        <v>22346.5</v>
      </c>
      <c r="E13" s="447">
        <f t="shared" si="2"/>
        <v>6239232.5</v>
      </c>
      <c r="F13" s="140"/>
      <c r="G13" s="47">
        <v>0</v>
      </c>
      <c r="H13" s="47">
        <f>C11*0.7+E11*0.3/3</f>
        <v>943768.75</v>
      </c>
      <c r="I13" s="47">
        <v>1500000</v>
      </c>
      <c r="J13" s="47">
        <f t="shared" si="4"/>
        <v>3500000</v>
      </c>
      <c r="K13" s="47">
        <f t="shared" si="3"/>
        <v>-632374</v>
      </c>
      <c r="L13" s="140">
        <f t="shared" si="0"/>
        <v>2739232.5</v>
      </c>
      <c r="M13" s="470" t="s">
        <v>3800</v>
      </c>
    </row>
    <row r="14" spans="1:13" ht="26.1" customHeight="1">
      <c r="A14" s="452">
        <v>41395</v>
      </c>
      <c r="B14" s="47">
        <v>0</v>
      </c>
      <c r="C14" s="47">
        <v>0</v>
      </c>
      <c r="D14" s="447">
        <f t="shared" si="1"/>
        <v>22346.5</v>
      </c>
      <c r="E14" s="447">
        <f t="shared" si="2"/>
        <v>6239232.5</v>
      </c>
      <c r="F14" s="140"/>
      <c r="G14" s="47">
        <v>0</v>
      </c>
      <c r="H14" s="47">
        <f>C12+E11*0.3/3</f>
        <v>3013153.25</v>
      </c>
      <c r="I14" s="47">
        <v>1500000</v>
      </c>
      <c r="J14" s="47">
        <f t="shared" si="4"/>
        <v>5000000</v>
      </c>
      <c r="K14" s="47">
        <f t="shared" si="3"/>
        <v>880779.25</v>
      </c>
      <c r="L14" s="140">
        <f t="shared" si="0"/>
        <v>1239232.5</v>
      </c>
      <c r="M14" s="470"/>
    </row>
    <row r="15" spans="1:13" ht="26.1" customHeight="1">
      <c r="A15" s="452">
        <v>41426</v>
      </c>
      <c r="B15" s="47">
        <v>0</v>
      </c>
      <c r="C15" s="47">
        <v>0</v>
      </c>
      <c r="D15" s="447">
        <f t="shared" si="1"/>
        <v>22346.5</v>
      </c>
      <c r="E15" s="447">
        <f t="shared" si="2"/>
        <v>6239232.5</v>
      </c>
      <c r="F15" s="140"/>
      <c r="G15" s="47">
        <v>0</v>
      </c>
      <c r="H15" s="47">
        <f>E11*0.3/3</f>
        <v>358453.25</v>
      </c>
      <c r="I15" s="47">
        <v>0</v>
      </c>
      <c r="J15" s="47">
        <f t="shared" si="4"/>
        <v>5000000</v>
      </c>
      <c r="K15" s="47">
        <f t="shared" si="3"/>
        <v>1239232.5</v>
      </c>
      <c r="L15" s="140">
        <f t="shared" si="0"/>
        <v>1239232.5</v>
      </c>
      <c r="M15" s="470"/>
    </row>
    <row r="16" spans="1:13" ht="26.1" customHeight="1">
      <c r="A16" s="516">
        <v>41456</v>
      </c>
      <c r="B16" s="47">
        <v>0</v>
      </c>
      <c r="C16" s="47">
        <v>0</v>
      </c>
      <c r="D16" s="447">
        <f t="shared" si="1"/>
        <v>22346.5</v>
      </c>
      <c r="E16" s="447">
        <f t="shared" si="2"/>
        <v>6239232.5</v>
      </c>
      <c r="F16" s="140"/>
      <c r="G16" s="47">
        <v>0</v>
      </c>
      <c r="H16" s="47">
        <v>0</v>
      </c>
      <c r="I16" s="47">
        <v>65962</v>
      </c>
      <c r="J16" s="47">
        <f t="shared" si="4"/>
        <v>5065962</v>
      </c>
      <c r="K16" s="47">
        <f t="shared" si="3"/>
        <v>1173270.5</v>
      </c>
      <c r="L16" s="140">
        <f t="shared" si="0"/>
        <v>1173270.5</v>
      </c>
      <c r="M16" s="527" t="s">
        <v>3925</v>
      </c>
    </row>
    <row r="17" spans="1:13" ht="36" customHeight="1">
      <c r="A17" s="2177" t="s">
        <v>3801</v>
      </c>
      <c r="B17" s="2178"/>
      <c r="C17" s="450" t="s">
        <v>1525</v>
      </c>
      <c r="D17" s="514"/>
      <c r="E17" s="515" t="s">
        <v>236</v>
      </c>
      <c r="F17" s="2179" t="s">
        <v>3783</v>
      </c>
      <c r="G17" s="2180"/>
      <c r="H17" s="2180"/>
      <c r="I17" s="2180"/>
      <c r="J17" s="57" t="s">
        <v>237</v>
      </c>
      <c r="K17" s="1635" t="s">
        <v>3802</v>
      </c>
      <c r="L17" s="1635"/>
      <c r="M17" s="528" t="s">
        <v>3803</v>
      </c>
    </row>
    <row r="18" spans="1:13" ht="32.1" customHeight="1"/>
    <row r="19" spans="1:13" ht="36.950000000000003" customHeight="1"/>
    <row r="20" spans="1:13" ht="57.95" customHeight="1"/>
    <row r="22" spans="1:13" ht="24" customHeight="1"/>
    <row r="23" spans="1:13" ht="24" customHeight="1"/>
    <row r="24" spans="1:13" ht="24" customHeight="1"/>
    <row r="25" spans="1:13" ht="24" customHeight="1"/>
    <row r="26" spans="1:13" ht="24" customHeight="1"/>
    <row r="27" spans="1:13" ht="24" customHeight="1"/>
    <row r="28" spans="1:13" ht="24" customHeight="1"/>
    <row r="29" spans="1:13" ht="24" customHeight="1"/>
    <row r="30" spans="1:13" ht="24" customHeight="1"/>
    <row r="31" spans="1:13" ht="24" customHeight="1"/>
    <row r="32" spans="1:13" ht="24" customHeight="1"/>
    <row r="33" ht="24" customHeight="1"/>
    <row r="34" ht="24" customHeight="1"/>
    <row r="35" ht="24" customHeight="1"/>
    <row r="36" ht="24" customHeight="1"/>
    <row r="37" ht="24" customHeight="1"/>
    <row r="38" ht="24" customHeight="1"/>
    <row r="39" ht="24" customHeight="1"/>
    <row r="40" ht="24" customHeight="1"/>
    <row r="41" ht="24" customHeight="1"/>
    <row r="42" ht="24" customHeight="1"/>
    <row r="43" ht="24" customHeight="1"/>
    <row r="44" ht="24" customHeight="1"/>
    <row r="46" ht="36" customHeight="1"/>
    <row r="47" ht="39" customHeight="1"/>
    <row r="48" ht="32.1" customHeight="1"/>
    <row r="50" ht="33.950000000000003" customHeight="1"/>
    <row r="51" ht="27" customHeight="1"/>
    <row r="52" ht="27" customHeight="1"/>
    <row r="53" ht="27" customHeight="1"/>
    <row r="54" ht="27" customHeight="1"/>
    <row r="55" ht="27" customHeight="1"/>
    <row r="56" ht="27" customHeight="1"/>
    <row r="57" ht="27" customHeight="1"/>
    <row r="58" ht="27" customHeight="1"/>
    <row r="59" ht="27" customHeight="1"/>
    <row r="60" ht="27" customHeight="1"/>
    <row r="61" ht="27" customHeight="1"/>
    <row r="62" s="513" customFormat="1" ht="27" customHeight="1"/>
    <row r="63" s="513" customFormat="1" ht="27" customHeight="1"/>
    <row r="64" s="513" customFormat="1" ht="27" customHeight="1"/>
    <row r="65" spans="8:8" s="513" customFormat="1" ht="27" customHeight="1"/>
    <row r="66" spans="8:8" s="513" customFormat="1" ht="27" customHeight="1"/>
    <row r="67" spans="8:8" s="513" customFormat="1" ht="27" customHeight="1"/>
    <row r="68" spans="8:8" s="513" customFormat="1" ht="27" customHeight="1"/>
    <row r="69" spans="8:8" s="513" customFormat="1" ht="27" customHeight="1"/>
    <row r="70" spans="8:8" s="513" customFormat="1" ht="27" customHeight="1"/>
    <row r="71" spans="8:8" s="513" customFormat="1" ht="27" customHeight="1"/>
    <row r="72" spans="8:8" s="513" customFormat="1" ht="27" customHeight="1"/>
    <row r="73" spans="8:8" s="513" customFormat="1" ht="27" customHeight="1"/>
    <row r="74" spans="8:8">
      <c r="H74" s="181">
        <f>国际金融城!C29</f>
        <v>0</v>
      </c>
    </row>
  </sheetData>
  <mergeCells count="15">
    <mergeCell ref="A17:B17"/>
    <mergeCell ref="F17:I17"/>
    <mergeCell ref="K17:L17"/>
    <mergeCell ref="B4:H4"/>
    <mergeCell ref="I4:K4"/>
    <mergeCell ref="L4:M4"/>
    <mergeCell ref="B5:H5"/>
    <mergeCell ref="I5:K5"/>
    <mergeCell ref="L5:M5"/>
    <mergeCell ref="A1:B1"/>
    <mergeCell ref="F1:I1"/>
    <mergeCell ref="K1:L1"/>
    <mergeCell ref="B2:C2"/>
    <mergeCell ref="E2:I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7"/>
  <sheetViews>
    <sheetView topLeftCell="A13" workbookViewId="0">
      <selection activeCell="B2" sqref="B2:C2"/>
    </sheetView>
  </sheetViews>
  <sheetFormatPr defaultRowHeight="14.25"/>
  <cols>
    <col min="1" max="1" width="26.375" customWidth="1"/>
  </cols>
  <sheetData>
    <row r="1" spans="1:13" ht="28.5">
      <c r="A1" s="39" t="s">
        <v>240</v>
      </c>
      <c r="B1" s="1637" t="s">
        <v>3804</v>
      </c>
      <c r="C1" s="1637"/>
      <c r="D1" s="41" t="s">
        <v>242</v>
      </c>
      <c r="E1" s="1746" t="s">
        <v>3804</v>
      </c>
      <c r="F1" s="1746"/>
      <c r="G1" s="1746"/>
      <c r="H1" s="1746"/>
      <c r="I1" s="1746"/>
      <c r="J1" s="41" t="s">
        <v>243</v>
      </c>
      <c r="K1" s="59" t="s">
        <v>3805</v>
      </c>
      <c r="L1" s="41" t="s">
        <v>245</v>
      </c>
      <c r="M1" s="461" t="s">
        <v>750</v>
      </c>
    </row>
    <row r="2" spans="1:13">
      <c r="A2" s="39" t="s">
        <v>247</v>
      </c>
      <c r="B2" s="1637" t="s">
        <v>5214</v>
      </c>
      <c r="C2" s="1637"/>
      <c r="D2" s="41" t="s">
        <v>249</v>
      </c>
      <c r="E2" s="43">
        <v>40000</v>
      </c>
      <c r="F2" s="41" t="s">
        <v>251</v>
      </c>
      <c r="G2" s="43" t="s">
        <v>800</v>
      </c>
      <c r="H2" s="41" t="s">
        <v>252</v>
      </c>
      <c r="I2" s="41">
        <v>83558216</v>
      </c>
      <c r="J2" s="41" t="s">
        <v>565</v>
      </c>
      <c r="K2" s="40" t="s">
        <v>3806</v>
      </c>
      <c r="L2" s="41" t="s">
        <v>255</v>
      </c>
      <c r="M2" s="105" t="s">
        <v>3807</v>
      </c>
    </row>
    <row r="3" spans="1:13">
      <c r="A3" s="39" t="s">
        <v>260</v>
      </c>
      <c r="B3" s="2132" t="s">
        <v>3808</v>
      </c>
      <c r="C3" s="2132"/>
      <c r="D3" s="2132"/>
      <c r="E3" s="2132"/>
      <c r="F3" s="2132"/>
      <c r="G3" s="2132"/>
      <c r="H3" s="2132"/>
      <c r="I3" s="2132" t="s">
        <v>3809</v>
      </c>
      <c r="J3" s="2132"/>
      <c r="K3" s="2132"/>
      <c r="L3" s="2132" t="s">
        <v>3354</v>
      </c>
      <c r="M3" s="2184"/>
    </row>
    <row r="4" spans="1:13" ht="57">
      <c r="A4" s="19" t="s">
        <v>266</v>
      </c>
      <c r="B4" s="20" t="s">
        <v>267</v>
      </c>
      <c r="C4" s="20" t="s">
        <v>268</v>
      </c>
      <c r="D4" s="20" t="s">
        <v>269</v>
      </c>
      <c r="E4" s="20" t="s">
        <v>270</v>
      </c>
      <c r="F4" s="20" t="s">
        <v>271</v>
      </c>
      <c r="G4" s="21" t="s">
        <v>272</v>
      </c>
      <c r="H4" s="22" t="s">
        <v>273</v>
      </c>
      <c r="I4" s="20" t="s">
        <v>274</v>
      </c>
      <c r="J4" s="70" t="s">
        <v>275</v>
      </c>
      <c r="K4" s="70" t="s">
        <v>276</v>
      </c>
      <c r="L4" s="20" t="s">
        <v>277</v>
      </c>
      <c r="M4" s="71" t="s">
        <v>278</v>
      </c>
    </row>
    <row r="5" spans="1:13">
      <c r="A5" s="452" t="s">
        <v>3810</v>
      </c>
      <c r="B5" s="47">
        <v>3818.5</v>
      </c>
      <c r="C5" s="47">
        <v>1101730</v>
      </c>
      <c r="D5" s="447">
        <f>B5</f>
        <v>3818.5</v>
      </c>
      <c r="E5" s="447">
        <f>C5</f>
        <v>1101730</v>
      </c>
      <c r="F5" s="140">
        <f>40000-D5</f>
        <v>36181.5</v>
      </c>
      <c r="G5" s="47">
        <f>C5</f>
        <v>1101730</v>
      </c>
      <c r="H5" s="47"/>
      <c r="I5" s="47"/>
      <c r="J5" s="465"/>
      <c r="K5" s="47"/>
      <c r="L5" s="140">
        <f t="shared" ref="L5:L27" si="0">E5-J5</f>
        <v>1101730</v>
      </c>
      <c r="M5" s="470"/>
    </row>
    <row r="6" spans="1:13">
      <c r="A6" s="452">
        <v>41365</v>
      </c>
      <c r="B6" s="47">
        <v>10450.5</v>
      </c>
      <c r="C6" s="47">
        <v>3040332.5</v>
      </c>
      <c r="D6" s="447">
        <f t="shared" ref="D6:D27" si="1">D5+B6</f>
        <v>14269</v>
      </c>
      <c r="E6" s="447">
        <f t="shared" ref="E6:E27" si="2">E5+C6</f>
        <v>4142062.5</v>
      </c>
      <c r="F6" s="140">
        <f>40000-D6</f>
        <v>25731</v>
      </c>
      <c r="G6" s="47">
        <f>C6+C5*0.3</f>
        <v>3370851.5</v>
      </c>
      <c r="H6" s="47">
        <v>0</v>
      </c>
      <c r="I6" s="47"/>
      <c r="J6" s="465"/>
      <c r="K6" s="47">
        <f t="shared" ref="K6:K27" si="3">K5+H6-I6</f>
        <v>0</v>
      </c>
      <c r="L6" s="140">
        <f t="shared" si="0"/>
        <v>4142062.5</v>
      </c>
      <c r="M6" s="470" t="s">
        <v>3811</v>
      </c>
    </row>
    <row r="7" spans="1:13">
      <c r="A7" s="452">
        <v>41395</v>
      </c>
      <c r="B7" s="47">
        <v>21066</v>
      </c>
      <c r="C7" s="47">
        <v>6199195</v>
      </c>
      <c r="D7" s="447">
        <f t="shared" si="1"/>
        <v>35335</v>
      </c>
      <c r="E7" s="447">
        <f t="shared" si="2"/>
        <v>10341257.5</v>
      </c>
      <c r="F7" s="140">
        <f>40000-D7</f>
        <v>4665</v>
      </c>
      <c r="G7" s="47">
        <f>C7+E6*0.3</f>
        <v>7441813.75</v>
      </c>
      <c r="H7" s="47">
        <f>C5*0.7</f>
        <v>771211</v>
      </c>
      <c r="I7" s="47">
        <v>2500000</v>
      </c>
      <c r="J7" s="465">
        <f t="shared" ref="J7:J27" si="4">J6+I7</f>
        <v>2500000</v>
      </c>
      <c r="K7" s="47">
        <f t="shared" si="3"/>
        <v>-1728789</v>
      </c>
      <c r="L7" s="140">
        <f t="shared" si="0"/>
        <v>7841257.5</v>
      </c>
      <c r="M7" s="470" t="s">
        <v>3812</v>
      </c>
    </row>
    <row r="8" spans="1:13">
      <c r="A8" s="452">
        <v>41426</v>
      </c>
      <c r="B8" s="47">
        <v>14144.5</v>
      </c>
      <c r="C8" s="47">
        <v>4139897.5</v>
      </c>
      <c r="D8" s="447">
        <f t="shared" si="1"/>
        <v>49479.5</v>
      </c>
      <c r="E8" s="447">
        <f t="shared" si="2"/>
        <v>14481155</v>
      </c>
      <c r="F8" s="140">
        <v>0</v>
      </c>
      <c r="G8" s="47">
        <f>C8+E7*0.3</f>
        <v>7242274.75</v>
      </c>
      <c r="H8" s="47">
        <f>C6*0.7</f>
        <v>2128232.75</v>
      </c>
      <c r="I8" s="47">
        <v>3000000</v>
      </c>
      <c r="J8" s="465">
        <f t="shared" si="4"/>
        <v>5500000</v>
      </c>
      <c r="K8" s="47">
        <f t="shared" si="3"/>
        <v>-2600556.25</v>
      </c>
      <c r="L8" s="140">
        <f t="shared" si="0"/>
        <v>8981155</v>
      </c>
      <c r="M8" s="470" t="s">
        <v>3813</v>
      </c>
    </row>
    <row r="9" spans="1:13">
      <c r="A9" s="452">
        <v>41456</v>
      </c>
      <c r="B9" s="47">
        <f>8009.5</f>
        <v>8009.5</v>
      </c>
      <c r="C9" s="47">
        <f>2404772.5</f>
        <v>2404772.5</v>
      </c>
      <c r="D9" s="447">
        <f t="shared" si="1"/>
        <v>57489</v>
      </c>
      <c r="E9" s="447">
        <f t="shared" si="2"/>
        <v>16885927.5</v>
      </c>
      <c r="F9" s="140">
        <v>0</v>
      </c>
      <c r="G9" s="47">
        <f>C9+E8*0.3*2/3</f>
        <v>5301003.5</v>
      </c>
      <c r="H9" s="47">
        <f>C7*0.7</f>
        <v>4339436.5</v>
      </c>
      <c r="I9" s="47">
        <v>3000000</v>
      </c>
      <c r="J9" s="465">
        <f t="shared" si="4"/>
        <v>8500000</v>
      </c>
      <c r="K9" s="47">
        <f t="shared" si="3"/>
        <v>-1261119.75</v>
      </c>
      <c r="L9" s="140">
        <f t="shared" si="0"/>
        <v>8385927.5</v>
      </c>
      <c r="M9" s="470" t="s">
        <v>3814</v>
      </c>
    </row>
    <row r="10" spans="1:13">
      <c r="A10" s="452">
        <v>41487</v>
      </c>
      <c r="B10" s="47">
        <v>3570</v>
      </c>
      <c r="C10" s="47">
        <v>1033510</v>
      </c>
      <c r="D10" s="447">
        <f t="shared" si="1"/>
        <v>61059</v>
      </c>
      <c r="E10" s="447">
        <f t="shared" si="2"/>
        <v>17919437.5</v>
      </c>
      <c r="F10" s="140">
        <v>0</v>
      </c>
      <c r="G10" s="47">
        <f>C10+E8*0.3*1/3</f>
        <v>2481625.5</v>
      </c>
      <c r="H10" s="47">
        <f>C8*0.7+E8*0.3*1/3</f>
        <v>4346043.75</v>
      </c>
      <c r="I10" s="47">
        <v>2500000</v>
      </c>
      <c r="J10" s="465">
        <f t="shared" si="4"/>
        <v>11000000</v>
      </c>
      <c r="K10" s="47">
        <f t="shared" si="3"/>
        <v>584924</v>
      </c>
      <c r="L10" s="140">
        <f t="shared" si="0"/>
        <v>6919437.5</v>
      </c>
      <c r="M10" s="470"/>
    </row>
    <row r="11" spans="1:13">
      <c r="A11" s="452">
        <v>41518</v>
      </c>
      <c r="B11" s="47">
        <v>2635.5</v>
      </c>
      <c r="C11" s="47">
        <v>730102.5</v>
      </c>
      <c r="D11" s="447">
        <f t="shared" si="1"/>
        <v>63694.5</v>
      </c>
      <c r="E11" s="447">
        <f t="shared" si="2"/>
        <v>18649540</v>
      </c>
      <c r="F11" s="140">
        <v>0</v>
      </c>
      <c r="G11" s="47">
        <v>0</v>
      </c>
      <c r="H11" s="47">
        <f>C9+E8*0.3*1/3</f>
        <v>3852888</v>
      </c>
      <c r="I11" s="47">
        <v>0</v>
      </c>
      <c r="J11" s="465">
        <f t="shared" si="4"/>
        <v>11000000</v>
      </c>
      <c r="K11" s="47">
        <f t="shared" si="3"/>
        <v>4437812</v>
      </c>
      <c r="L11" s="140">
        <f t="shared" si="0"/>
        <v>7649540</v>
      </c>
      <c r="M11" s="529" t="s">
        <v>3815</v>
      </c>
    </row>
    <row r="12" spans="1:13">
      <c r="A12" s="452">
        <v>41548</v>
      </c>
      <c r="B12" s="47">
        <v>2644.5</v>
      </c>
      <c r="C12" s="47">
        <v>718065</v>
      </c>
      <c r="D12" s="447">
        <f t="shared" si="1"/>
        <v>66339</v>
      </c>
      <c r="E12" s="447">
        <f t="shared" si="2"/>
        <v>19367605</v>
      </c>
      <c r="F12" s="140">
        <v>0</v>
      </c>
      <c r="G12" s="47">
        <v>0</v>
      </c>
      <c r="H12" s="47">
        <f>+C10+C11+E8*0.3*1/3</f>
        <v>3211728</v>
      </c>
      <c r="I12" s="47">
        <v>4000000</v>
      </c>
      <c r="J12" s="465">
        <f t="shared" si="4"/>
        <v>15000000</v>
      </c>
      <c r="K12" s="47">
        <f t="shared" si="3"/>
        <v>3649540</v>
      </c>
      <c r="L12" s="140">
        <f t="shared" si="0"/>
        <v>4367605</v>
      </c>
      <c r="M12" s="470" t="s">
        <v>3816</v>
      </c>
    </row>
    <row r="13" spans="1:13">
      <c r="A13" s="452" t="s">
        <v>3817</v>
      </c>
      <c r="B13" s="47">
        <v>350</v>
      </c>
      <c r="C13" s="47">
        <v>95025</v>
      </c>
      <c r="D13" s="447">
        <f t="shared" si="1"/>
        <v>66689</v>
      </c>
      <c r="E13" s="447">
        <f t="shared" si="2"/>
        <v>19462630</v>
      </c>
      <c r="F13" s="140">
        <v>0</v>
      </c>
      <c r="G13" s="47">
        <v>0</v>
      </c>
      <c r="H13" s="47">
        <f t="shared" ref="H13:H24" si="5">C12</f>
        <v>718065</v>
      </c>
      <c r="I13" s="47">
        <f>1500000+1000000</f>
        <v>2500000</v>
      </c>
      <c r="J13" s="465">
        <f t="shared" si="4"/>
        <v>17500000</v>
      </c>
      <c r="K13" s="47">
        <f t="shared" si="3"/>
        <v>1867605</v>
      </c>
      <c r="L13" s="140">
        <f t="shared" si="0"/>
        <v>1962630</v>
      </c>
      <c r="M13" s="470" t="s">
        <v>3818</v>
      </c>
    </row>
    <row r="14" spans="1:13">
      <c r="A14" s="452">
        <v>41609</v>
      </c>
      <c r="B14" s="47">
        <v>0</v>
      </c>
      <c r="C14" s="47">
        <v>0</v>
      </c>
      <c r="D14" s="447">
        <f t="shared" si="1"/>
        <v>66689</v>
      </c>
      <c r="E14" s="447">
        <f t="shared" si="2"/>
        <v>19462630</v>
      </c>
      <c r="F14" s="140">
        <v>0</v>
      </c>
      <c r="G14" s="47">
        <v>0</v>
      </c>
      <c r="H14" s="47">
        <f t="shared" si="5"/>
        <v>95025</v>
      </c>
      <c r="I14" s="47">
        <v>500000</v>
      </c>
      <c r="J14" s="465">
        <f t="shared" si="4"/>
        <v>18000000</v>
      </c>
      <c r="K14" s="47">
        <f t="shared" si="3"/>
        <v>1462630</v>
      </c>
      <c r="L14" s="140">
        <f t="shared" si="0"/>
        <v>1462630</v>
      </c>
      <c r="M14" s="470" t="s">
        <v>3819</v>
      </c>
    </row>
    <row r="15" spans="1:13">
      <c r="A15" s="452">
        <v>41640</v>
      </c>
      <c r="B15" s="47">
        <v>0</v>
      </c>
      <c r="C15" s="47">
        <v>0</v>
      </c>
      <c r="D15" s="447">
        <f t="shared" si="1"/>
        <v>66689</v>
      </c>
      <c r="E15" s="447">
        <f t="shared" si="2"/>
        <v>19462630</v>
      </c>
      <c r="F15" s="140">
        <v>0</v>
      </c>
      <c r="G15" s="47">
        <v>0</v>
      </c>
      <c r="H15" s="47">
        <f t="shared" si="5"/>
        <v>0</v>
      </c>
      <c r="I15" s="47">
        <v>0</v>
      </c>
      <c r="J15" s="465">
        <f t="shared" si="4"/>
        <v>18000000</v>
      </c>
      <c r="K15" s="47">
        <f t="shared" si="3"/>
        <v>1462630</v>
      </c>
      <c r="L15" s="140">
        <f t="shared" si="0"/>
        <v>1462630</v>
      </c>
      <c r="M15" s="470"/>
    </row>
    <row r="16" spans="1:13">
      <c r="A16" s="452">
        <v>41671</v>
      </c>
      <c r="B16" s="47">
        <v>0</v>
      </c>
      <c r="C16" s="47">
        <v>0</v>
      </c>
      <c r="D16" s="447">
        <f t="shared" si="1"/>
        <v>66689</v>
      </c>
      <c r="E16" s="447">
        <f t="shared" si="2"/>
        <v>19462630</v>
      </c>
      <c r="F16" s="140">
        <v>0</v>
      </c>
      <c r="G16" s="47">
        <v>0</v>
      </c>
      <c r="H16" s="47">
        <f t="shared" si="5"/>
        <v>0</v>
      </c>
      <c r="I16" s="47">
        <v>0</v>
      </c>
      <c r="J16" s="465">
        <f t="shared" si="4"/>
        <v>18000000</v>
      </c>
      <c r="K16" s="47">
        <f t="shared" si="3"/>
        <v>1462630</v>
      </c>
      <c r="L16" s="140">
        <f t="shared" si="0"/>
        <v>1462630</v>
      </c>
      <c r="M16" s="470"/>
    </row>
    <row r="17" spans="1:13">
      <c r="A17" s="452">
        <v>41699</v>
      </c>
      <c r="B17" s="47">
        <v>146</v>
      </c>
      <c r="C17" s="47">
        <v>49240</v>
      </c>
      <c r="D17" s="447">
        <f t="shared" si="1"/>
        <v>66835</v>
      </c>
      <c r="E17" s="447">
        <f t="shared" si="2"/>
        <v>19511870</v>
      </c>
      <c r="F17" s="140">
        <v>0</v>
      </c>
      <c r="G17" s="47">
        <v>0</v>
      </c>
      <c r="H17" s="47">
        <f t="shared" si="5"/>
        <v>0</v>
      </c>
      <c r="I17" s="47">
        <v>0</v>
      </c>
      <c r="J17" s="465">
        <f t="shared" si="4"/>
        <v>18000000</v>
      </c>
      <c r="K17" s="47">
        <f t="shared" si="3"/>
        <v>1462630</v>
      </c>
      <c r="L17" s="140">
        <f t="shared" si="0"/>
        <v>1511870</v>
      </c>
      <c r="M17" s="470"/>
    </row>
    <row r="18" spans="1:13">
      <c r="A18" s="453">
        <v>41730</v>
      </c>
      <c r="B18" s="181">
        <v>5.5</v>
      </c>
      <c r="C18" s="181">
        <v>1650</v>
      </c>
      <c r="D18" s="454">
        <f t="shared" si="1"/>
        <v>66840.5</v>
      </c>
      <c r="E18" s="454">
        <f t="shared" si="2"/>
        <v>19513520</v>
      </c>
      <c r="F18" s="200"/>
      <c r="G18" s="181"/>
      <c r="H18" s="181">
        <f t="shared" si="5"/>
        <v>49240</v>
      </c>
      <c r="I18" s="181"/>
      <c r="J18" s="262">
        <f t="shared" si="4"/>
        <v>18000000</v>
      </c>
      <c r="K18" s="181">
        <f t="shared" si="3"/>
        <v>1511870</v>
      </c>
      <c r="L18" s="200">
        <f t="shared" si="0"/>
        <v>1513520</v>
      </c>
      <c r="M18" s="472"/>
    </row>
    <row r="19" spans="1:13">
      <c r="A19" s="455">
        <v>41760</v>
      </c>
      <c r="B19" s="181">
        <v>7</v>
      </c>
      <c r="C19" s="181">
        <v>2100</v>
      </c>
      <c r="D19" s="454">
        <f t="shared" si="1"/>
        <v>66847.5</v>
      </c>
      <c r="E19" s="454">
        <f t="shared" si="2"/>
        <v>19515620</v>
      </c>
      <c r="F19" s="200"/>
      <c r="G19" s="181"/>
      <c r="H19" s="181">
        <f t="shared" si="5"/>
        <v>1650</v>
      </c>
      <c r="I19" s="181">
        <v>300000</v>
      </c>
      <c r="J19" s="262">
        <f t="shared" si="4"/>
        <v>18300000</v>
      </c>
      <c r="K19" s="181">
        <f t="shared" si="3"/>
        <v>1213520</v>
      </c>
      <c r="L19" s="200">
        <f t="shared" si="0"/>
        <v>1215620</v>
      </c>
      <c r="M19" s="472" t="s">
        <v>3820</v>
      </c>
    </row>
    <row r="20" spans="1:13">
      <c r="A20" s="455">
        <v>41791</v>
      </c>
      <c r="B20" s="181">
        <v>13.5</v>
      </c>
      <c r="C20" s="181">
        <v>4050</v>
      </c>
      <c r="D20" s="454">
        <f t="shared" si="1"/>
        <v>66861</v>
      </c>
      <c r="E20" s="454">
        <f t="shared" si="2"/>
        <v>19519670</v>
      </c>
      <c r="F20" s="200"/>
      <c r="G20" s="181"/>
      <c r="H20" s="181">
        <f t="shared" si="5"/>
        <v>2100</v>
      </c>
      <c r="I20" s="181"/>
      <c r="J20" s="262">
        <f t="shared" si="4"/>
        <v>18300000</v>
      </c>
      <c r="K20" s="181">
        <f t="shared" si="3"/>
        <v>1215620</v>
      </c>
      <c r="L20" s="200">
        <f t="shared" si="0"/>
        <v>1219670</v>
      </c>
      <c r="M20" s="472"/>
    </row>
    <row r="21" spans="1:13">
      <c r="A21" s="455">
        <v>41821</v>
      </c>
      <c r="B21" s="181">
        <v>0</v>
      </c>
      <c r="C21" s="181">
        <v>0</v>
      </c>
      <c r="D21" s="454">
        <f t="shared" si="1"/>
        <v>66861</v>
      </c>
      <c r="E21" s="454">
        <f t="shared" si="2"/>
        <v>19519670</v>
      </c>
      <c r="F21" s="200"/>
      <c r="G21" s="181"/>
      <c r="H21" s="181">
        <f t="shared" si="5"/>
        <v>4050</v>
      </c>
      <c r="I21" s="181"/>
      <c r="J21" s="262">
        <f t="shared" si="4"/>
        <v>18300000</v>
      </c>
      <c r="K21" s="181">
        <f t="shared" si="3"/>
        <v>1219670</v>
      </c>
      <c r="L21" s="200">
        <f t="shared" si="0"/>
        <v>1219670</v>
      </c>
      <c r="M21" s="472" t="s">
        <v>179</v>
      </c>
    </row>
    <row r="22" spans="1:13">
      <c r="A22" s="455">
        <v>41852</v>
      </c>
      <c r="B22" s="181">
        <v>0</v>
      </c>
      <c r="C22" s="181">
        <v>0</v>
      </c>
      <c r="D22" s="454">
        <f t="shared" si="1"/>
        <v>66861</v>
      </c>
      <c r="E22" s="454">
        <f t="shared" si="2"/>
        <v>19519670</v>
      </c>
      <c r="F22" s="338"/>
      <c r="G22" s="457"/>
      <c r="H22" s="181">
        <f t="shared" si="5"/>
        <v>0</v>
      </c>
      <c r="I22" s="530">
        <v>167880.5</v>
      </c>
      <c r="J22" s="262">
        <f t="shared" si="4"/>
        <v>18467880.5</v>
      </c>
      <c r="K22" s="181">
        <f t="shared" si="3"/>
        <v>1051789.5</v>
      </c>
      <c r="L22" s="200">
        <f t="shared" si="0"/>
        <v>1051789.5</v>
      </c>
      <c r="M22" s="474"/>
    </row>
    <row r="23" spans="1:13">
      <c r="A23" s="455">
        <v>41883</v>
      </c>
      <c r="B23" s="457">
        <v>0</v>
      </c>
      <c r="C23" s="457">
        <v>0</v>
      </c>
      <c r="D23" s="454">
        <f t="shared" si="1"/>
        <v>66861</v>
      </c>
      <c r="E23" s="454">
        <f t="shared" si="2"/>
        <v>19519670</v>
      </c>
      <c r="F23" s="338"/>
      <c r="G23" s="457"/>
      <c r="H23" s="181">
        <f t="shared" si="5"/>
        <v>0</v>
      </c>
      <c r="I23" s="457"/>
      <c r="J23" s="262">
        <f t="shared" si="4"/>
        <v>18467880.5</v>
      </c>
      <c r="K23" s="181">
        <f t="shared" si="3"/>
        <v>1051789.5</v>
      </c>
      <c r="L23" s="200">
        <f t="shared" si="0"/>
        <v>1051789.5</v>
      </c>
      <c r="M23" s="474" t="s">
        <v>3821</v>
      </c>
    </row>
    <row r="24" spans="1:13">
      <c r="A24" s="455">
        <v>41913</v>
      </c>
      <c r="B24" s="457">
        <v>0</v>
      </c>
      <c r="C24" s="457">
        <v>0</v>
      </c>
      <c r="D24" s="454">
        <f t="shared" si="1"/>
        <v>66861</v>
      </c>
      <c r="E24" s="454">
        <f t="shared" si="2"/>
        <v>19519670</v>
      </c>
      <c r="F24" s="338"/>
      <c r="G24" s="457"/>
      <c r="H24" s="181">
        <f t="shared" si="5"/>
        <v>0</v>
      </c>
      <c r="I24" s="457">
        <v>859627.5</v>
      </c>
      <c r="J24" s="262">
        <f t="shared" si="4"/>
        <v>19327508</v>
      </c>
      <c r="K24" s="181">
        <f t="shared" si="3"/>
        <v>192162</v>
      </c>
      <c r="L24" s="200">
        <f t="shared" si="0"/>
        <v>192162</v>
      </c>
      <c r="M24" s="474" t="s">
        <v>3926</v>
      </c>
    </row>
    <row r="25" spans="1:13">
      <c r="A25" s="459">
        <v>42036</v>
      </c>
      <c r="B25" s="457">
        <v>0</v>
      </c>
      <c r="C25" s="457">
        <v>0</v>
      </c>
      <c r="D25" s="454">
        <f t="shared" si="1"/>
        <v>66861</v>
      </c>
      <c r="E25" s="454">
        <f t="shared" si="2"/>
        <v>19519670</v>
      </c>
      <c r="F25" s="338"/>
      <c r="G25" s="457"/>
      <c r="H25" s="457"/>
      <c r="I25" s="457">
        <f>67880.5+432119.5</f>
        <v>500000</v>
      </c>
      <c r="J25" s="262">
        <f t="shared" si="4"/>
        <v>19827508</v>
      </c>
      <c r="K25" s="181">
        <f t="shared" si="3"/>
        <v>-307838</v>
      </c>
      <c r="L25" s="200">
        <f t="shared" si="0"/>
        <v>-307838</v>
      </c>
      <c r="M25" s="474"/>
    </row>
    <row r="26" spans="1:13">
      <c r="A26" s="459">
        <v>42156</v>
      </c>
      <c r="B26" s="457">
        <v>0</v>
      </c>
      <c r="C26" s="457">
        <v>0</v>
      </c>
      <c r="D26" s="454">
        <f t="shared" si="1"/>
        <v>66861</v>
      </c>
      <c r="E26" s="454">
        <f t="shared" si="2"/>
        <v>19519670</v>
      </c>
      <c r="F26" s="338"/>
      <c r="G26" s="457"/>
      <c r="H26" s="457"/>
      <c r="I26" s="457">
        <v>585432.5</v>
      </c>
      <c r="J26" s="262">
        <f t="shared" si="4"/>
        <v>20412940.5</v>
      </c>
      <c r="K26" s="181">
        <f t="shared" si="3"/>
        <v>-893270.5</v>
      </c>
      <c r="L26" s="200">
        <f t="shared" si="0"/>
        <v>-893270.5</v>
      </c>
      <c r="M26" s="474" t="s">
        <v>3927</v>
      </c>
    </row>
    <row r="27" spans="1:13">
      <c r="A27" s="459">
        <v>42370</v>
      </c>
      <c r="B27" s="457">
        <v>0</v>
      </c>
      <c r="C27" s="457">
        <v>0</v>
      </c>
      <c r="D27" s="454">
        <f t="shared" si="1"/>
        <v>66861</v>
      </c>
      <c r="E27" s="454">
        <f t="shared" si="2"/>
        <v>19519670</v>
      </c>
      <c r="F27" s="338"/>
      <c r="G27" s="457"/>
      <c r="H27" s="457"/>
      <c r="I27" s="457"/>
      <c r="J27" s="262">
        <f t="shared" si="4"/>
        <v>20412940.5</v>
      </c>
      <c r="K27" s="181">
        <f t="shared" si="3"/>
        <v>-893270.5</v>
      </c>
      <c r="L27" s="200">
        <f t="shared" si="0"/>
        <v>-893270.5</v>
      </c>
      <c r="M27" s="474" t="s">
        <v>3928</v>
      </c>
    </row>
  </sheetData>
  <mergeCells count="6">
    <mergeCell ref="B1:C1"/>
    <mergeCell ref="E1:I1"/>
    <mergeCell ref="B2:C2"/>
    <mergeCell ref="B3:H3"/>
    <mergeCell ref="I3:K3"/>
    <mergeCell ref="L3:M3"/>
  </mergeCells>
  <phoneticPr fontId="86" type="noConversion"/>
  <pageMargins left="0.7" right="0.7" top="0.75" bottom="0.75" header="0.3" footer="0.3"/>
  <legacyDrawing r:id="rId1"/>
</worksheet>
</file>

<file path=xl/worksheets/sheet1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0" zoomScale="85" zoomScaleNormal="85" workbookViewId="0">
      <selection activeCell="D1" sqref="D1"/>
    </sheetView>
  </sheetViews>
  <sheetFormatPr defaultRowHeight="14.25"/>
  <cols>
    <col min="1" max="1" width="15.75" customWidth="1"/>
    <col min="2" max="2" width="20.375" customWidth="1"/>
    <col min="13" max="13" width="27.25" customWidth="1"/>
  </cols>
  <sheetData>
    <row r="1" spans="1:13" ht="87" customHeight="1">
      <c r="A1" s="2166" t="s">
        <v>3801</v>
      </c>
      <c r="B1" s="2167"/>
      <c r="C1" s="517" t="s">
        <v>1525</v>
      </c>
      <c r="D1" s="397"/>
      <c r="E1" s="518" t="s">
        <v>236</v>
      </c>
      <c r="F1" s="2168" t="s">
        <v>3783</v>
      </c>
      <c r="G1" s="2185"/>
      <c r="H1" s="2185"/>
      <c r="I1" s="2185"/>
      <c r="J1" s="531" t="s">
        <v>237</v>
      </c>
      <c r="K1" s="1644" t="s">
        <v>3929</v>
      </c>
      <c r="L1" s="1644"/>
      <c r="M1" s="532" t="s">
        <v>3930</v>
      </c>
    </row>
    <row r="2" spans="1:13" ht="28.5">
      <c r="A2" s="39" t="s">
        <v>240</v>
      </c>
      <c r="B2" s="1637" t="s">
        <v>3804</v>
      </c>
      <c r="C2" s="1637"/>
      <c r="D2" s="41" t="s">
        <v>242</v>
      </c>
      <c r="E2" s="1746" t="s">
        <v>3804</v>
      </c>
      <c r="F2" s="1746"/>
      <c r="G2" s="1746"/>
      <c r="H2" s="1746"/>
      <c r="I2" s="1746"/>
      <c r="J2" s="41" t="s">
        <v>243</v>
      </c>
      <c r="K2" s="59" t="s">
        <v>3805</v>
      </c>
      <c r="L2" s="41" t="s">
        <v>245</v>
      </c>
      <c r="M2" s="461" t="s">
        <v>750</v>
      </c>
    </row>
    <row r="3" spans="1:13">
      <c r="A3" s="39" t="s">
        <v>247</v>
      </c>
      <c r="B3" s="1637" t="s">
        <v>5213</v>
      </c>
      <c r="C3" s="1637"/>
      <c r="D3" s="41" t="s">
        <v>249</v>
      </c>
      <c r="E3" s="43">
        <v>40000</v>
      </c>
      <c r="F3" s="41" t="s">
        <v>251</v>
      </c>
      <c r="G3" s="43" t="s">
        <v>800</v>
      </c>
      <c r="H3" s="41" t="s">
        <v>252</v>
      </c>
      <c r="I3" s="41">
        <v>83558216</v>
      </c>
      <c r="J3" s="41" t="s">
        <v>565</v>
      </c>
      <c r="K3" s="40" t="s">
        <v>3806</v>
      </c>
      <c r="L3" s="41" t="s">
        <v>255</v>
      </c>
      <c r="M3" s="105" t="s">
        <v>3807</v>
      </c>
    </row>
    <row r="4" spans="1:13">
      <c r="A4" s="39" t="s">
        <v>260</v>
      </c>
      <c r="B4" s="2132"/>
      <c r="C4" s="2132"/>
      <c r="D4" s="2132"/>
      <c r="E4" s="2132"/>
      <c r="F4" s="2132"/>
      <c r="G4" s="2132"/>
      <c r="H4" s="2132"/>
      <c r="I4" s="2132"/>
      <c r="J4" s="2132"/>
      <c r="K4" s="2132"/>
      <c r="L4" s="2132"/>
      <c r="M4" s="2184"/>
    </row>
    <row r="5" spans="1:13" ht="57">
      <c r="A5" s="19" t="s">
        <v>266</v>
      </c>
      <c r="B5" s="20" t="s">
        <v>267</v>
      </c>
      <c r="C5" s="20" t="s">
        <v>268</v>
      </c>
      <c r="D5" s="20" t="s">
        <v>269</v>
      </c>
      <c r="E5" s="20" t="s">
        <v>270</v>
      </c>
      <c r="F5" s="20" t="s">
        <v>271</v>
      </c>
      <c r="G5" s="21" t="s">
        <v>272</v>
      </c>
      <c r="H5" s="22" t="s">
        <v>273</v>
      </c>
      <c r="I5" s="20" t="s">
        <v>274</v>
      </c>
      <c r="J5" s="70" t="s">
        <v>275</v>
      </c>
      <c r="K5" s="70" t="s">
        <v>276</v>
      </c>
      <c r="L5" s="20" t="s">
        <v>277</v>
      </c>
      <c r="M5" s="71" t="s">
        <v>278</v>
      </c>
    </row>
    <row r="6" spans="1:13">
      <c r="A6" s="452">
        <v>41486</v>
      </c>
      <c r="B6" s="519">
        <v>159.5</v>
      </c>
      <c r="C6" s="519">
        <v>42242.5</v>
      </c>
      <c r="D6" s="519">
        <f>B6</f>
        <v>159.5</v>
      </c>
      <c r="E6" s="519">
        <f>C6</f>
        <v>42242.5</v>
      </c>
      <c r="F6" s="20"/>
      <c r="G6" s="21"/>
      <c r="H6" s="22"/>
      <c r="I6" s="20"/>
      <c r="J6" s="70"/>
      <c r="K6" s="70"/>
      <c r="L6" s="140">
        <f t="shared" ref="L6:L28" si="0">E6-J6</f>
        <v>42242.5</v>
      </c>
      <c r="M6" s="71"/>
    </row>
    <row r="7" spans="1:13">
      <c r="A7" s="452">
        <v>41699</v>
      </c>
      <c r="B7" s="47">
        <v>0</v>
      </c>
      <c r="C7" s="47">
        <v>0</v>
      </c>
      <c r="D7" s="447">
        <f t="shared" ref="D7:D28" si="1">B7+D6</f>
        <v>159.5</v>
      </c>
      <c r="E7" s="447">
        <f t="shared" ref="E7:E28" si="2">C7+E6</f>
        <v>42242.5</v>
      </c>
      <c r="F7" s="140"/>
      <c r="G7" s="47"/>
      <c r="H7" s="47">
        <f t="shared" ref="H7:H29" si="3">C6</f>
        <v>42242.5</v>
      </c>
      <c r="I7" s="47"/>
      <c r="J7" s="465"/>
      <c r="K7" s="47"/>
      <c r="L7" s="140">
        <f t="shared" si="0"/>
        <v>42242.5</v>
      </c>
      <c r="M7" s="470"/>
    </row>
    <row r="8" spans="1:13">
      <c r="A8" s="452">
        <v>41730</v>
      </c>
      <c r="B8" s="47">
        <v>567.5</v>
      </c>
      <c r="C8" s="47">
        <v>186000</v>
      </c>
      <c r="D8" s="447">
        <f t="shared" si="1"/>
        <v>727</v>
      </c>
      <c r="E8" s="447">
        <f t="shared" si="2"/>
        <v>228242.5</v>
      </c>
      <c r="F8" s="140"/>
      <c r="G8" s="47"/>
      <c r="H8" s="47">
        <f t="shared" si="3"/>
        <v>0</v>
      </c>
      <c r="I8" s="47"/>
      <c r="J8" s="465"/>
      <c r="K8" s="47">
        <f t="shared" ref="K8:K29" si="4">K7+H8-I8</f>
        <v>0</v>
      </c>
      <c r="L8" s="140">
        <f t="shared" si="0"/>
        <v>228242.5</v>
      </c>
      <c r="M8" s="470"/>
    </row>
    <row r="9" spans="1:13">
      <c r="A9" s="453">
        <v>41760</v>
      </c>
      <c r="B9" s="181">
        <v>23</v>
      </c>
      <c r="C9" s="181">
        <v>6900</v>
      </c>
      <c r="D9" s="520">
        <f t="shared" si="1"/>
        <v>750</v>
      </c>
      <c r="E9" s="447">
        <f t="shared" si="2"/>
        <v>235142.5</v>
      </c>
      <c r="F9" s="200"/>
      <c r="G9" s="181"/>
      <c r="H9" s="181">
        <f t="shared" si="3"/>
        <v>186000</v>
      </c>
      <c r="I9" s="181"/>
      <c r="J9" s="262"/>
      <c r="K9" s="181">
        <f t="shared" si="4"/>
        <v>186000</v>
      </c>
      <c r="L9" s="140">
        <f t="shared" si="0"/>
        <v>235142.5</v>
      </c>
      <c r="M9" s="472"/>
    </row>
    <row r="10" spans="1:13">
      <c r="A10" s="455">
        <v>41791</v>
      </c>
      <c r="B10" s="181">
        <v>0</v>
      </c>
      <c r="C10" s="181">
        <v>0</v>
      </c>
      <c r="D10" s="520">
        <f t="shared" si="1"/>
        <v>750</v>
      </c>
      <c r="E10" s="447">
        <f t="shared" si="2"/>
        <v>235142.5</v>
      </c>
      <c r="F10" s="200"/>
      <c r="G10" s="181"/>
      <c r="H10" s="181">
        <f t="shared" si="3"/>
        <v>6900</v>
      </c>
      <c r="I10" s="181"/>
      <c r="J10" s="262"/>
      <c r="K10" s="181">
        <f t="shared" si="4"/>
        <v>192900</v>
      </c>
      <c r="L10" s="140">
        <f t="shared" si="0"/>
        <v>235142.5</v>
      </c>
      <c r="M10" s="472"/>
    </row>
    <row r="11" spans="1:13">
      <c r="A11" s="455">
        <v>41821</v>
      </c>
      <c r="B11" s="181">
        <v>0</v>
      </c>
      <c r="C11" s="181">
        <v>0</v>
      </c>
      <c r="D11" s="520">
        <f t="shared" si="1"/>
        <v>750</v>
      </c>
      <c r="E11" s="447">
        <f t="shared" si="2"/>
        <v>235142.5</v>
      </c>
      <c r="F11" s="200"/>
      <c r="G11" s="181"/>
      <c r="H11" s="181">
        <f t="shared" si="3"/>
        <v>0</v>
      </c>
      <c r="I11" s="181"/>
      <c r="J11" s="262"/>
      <c r="K11" s="181">
        <f t="shared" si="4"/>
        <v>192900</v>
      </c>
      <c r="L11" s="140">
        <f t="shared" si="0"/>
        <v>235142.5</v>
      </c>
      <c r="M11" s="472"/>
    </row>
    <row r="12" spans="1:13">
      <c r="A12" s="455">
        <v>41852</v>
      </c>
      <c r="B12" s="181">
        <v>0</v>
      </c>
      <c r="C12" s="181">
        <v>0</v>
      </c>
      <c r="D12" s="520">
        <f t="shared" si="1"/>
        <v>750</v>
      </c>
      <c r="E12" s="447">
        <f t="shared" si="2"/>
        <v>235142.5</v>
      </c>
      <c r="F12" s="200"/>
      <c r="G12" s="181"/>
      <c r="H12" s="181">
        <f t="shared" si="3"/>
        <v>0</v>
      </c>
      <c r="I12" s="181"/>
      <c r="J12" s="262"/>
      <c r="K12" s="181">
        <f t="shared" si="4"/>
        <v>192900</v>
      </c>
      <c r="L12" s="140">
        <f t="shared" si="0"/>
        <v>235142.5</v>
      </c>
      <c r="M12" s="472"/>
    </row>
    <row r="13" spans="1:13">
      <c r="A13" s="455">
        <v>41883</v>
      </c>
      <c r="B13" s="181">
        <v>0</v>
      </c>
      <c r="C13" s="181">
        <v>0</v>
      </c>
      <c r="D13" s="520">
        <f t="shared" si="1"/>
        <v>750</v>
      </c>
      <c r="E13" s="447">
        <f t="shared" si="2"/>
        <v>235142.5</v>
      </c>
      <c r="F13" s="338"/>
      <c r="G13" s="457"/>
      <c r="H13" s="181">
        <f t="shared" si="3"/>
        <v>0</v>
      </c>
      <c r="I13" s="457"/>
      <c r="J13" s="316"/>
      <c r="K13" s="181">
        <f t="shared" si="4"/>
        <v>192900</v>
      </c>
      <c r="L13" s="140">
        <f t="shared" si="0"/>
        <v>235142.5</v>
      </c>
      <c r="M13" s="474"/>
    </row>
    <row r="14" spans="1:13">
      <c r="A14" s="455">
        <v>41913</v>
      </c>
      <c r="B14" s="457">
        <v>7.5</v>
      </c>
      <c r="C14" s="457">
        <v>2250</v>
      </c>
      <c r="D14" s="520">
        <f t="shared" si="1"/>
        <v>757.5</v>
      </c>
      <c r="E14" s="447">
        <f t="shared" si="2"/>
        <v>237392.5</v>
      </c>
      <c r="F14" s="338"/>
      <c r="G14" s="457"/>
      <c r="H14" s="181">
        <f t="shared" si="3"/>
        <v>0</v>
      </c>
      <c r="I14" s="457"/>
      <c r="J14" s="316"/>
      <c r="K14" s="181">
        <f t="shared" si="4"/>
        <v>192900</v>
      </c>
      <c r="L14" s="140">
        <f t="shared" si="0"/>
        <v>237392.5</v>
      </c>
      <c r="M14" s="474"/>
    </row>
    <row r="15" spans="1:13">
      <c r="A15" s="455">
        <v>41944</v>
      </c>
      <c r="B15" s="457">
        <v>291</v>
      </c>
      <c r="C15" s="457">
        <v>87475</v>
      </c>
      <c r="D15" s="520">
        <f t="shared" si="1"/>
        <v>1048.5</v>
      </c>
      <c r="E15" s="447">
        <f t="shared" si="2"/>
        <v>324867.5</v>
      </c>
      <c r="F15" s="338"/>
      <c r="G15" s="457"/>
      <c r="H15" s="181">
        <f t="shared" si="3"/>
        <v>2250</v>
      </c>
      <c r="I15" s="457"/>
      <c r="J15" s="316"/>
      <c r="K15" s="181">
        <f t="shared" si="4"/>
        <v>195150</v>
      </c>
      <c r="L15" s="140">
        <f t="shared" si="0"/>
        <v>324867.5</v>
      </c>
      <c r="M15" s="474"/>
    </row>
    <row r="16" spans="1:13" ht="27">
      <c r="A16" s="455" t="s">
        <v>3822</v>
      </c>
      <c r="B16" s="457">
        <v>532.5</v>
      </c>
      <c r="C16" s="457">
        <v>157247.5</v>
      </c>
      <c r="D16" s="520">
        <f t="shared" si="1"/>
        <v>1581</v>
      </c>
      <c r="E16" s="447">
        <f t="shared" si="2"/>
        <v>482115</v>
      </c>
      <c r="F16" s="338"/>
      <c r="G16" s="457"/>
      <c r="H16" s="181">
        <f t="shared" si="3"/>
        <v>87475</v>
      </c>
      <c r="I16" s="478"/>
      <c r="J16" s="533"/>
      <c r="K16" s="181">
        <f t="shared" si="4"/>
        <v>282625</v>
      </c>
      <c r="L16" s="140">
        <f t="shared" si="0"/>
        <v>482115</v>
      </c>
      <c r="M16" s="474"/>
    </row>
    <row r="17" spans="1:13">
      <c r="A17" s="521">
        <v>42125</v>
      </c>
      <c r="B17" s="478">
        <v>38</v>
      </c>
      <c r="C17" s="478">
        <v>10830</v>
      </c>
      <c r="D17" s="520">
        <f t="shared" si="1"/>
        <v>1619</v>
      </c>
      <c r="E17" s="447">
        <f t="shared" si="2"/>
        <v>492945</v>
      </c>
      <c r="F17" s="480"/>
      <c r="G17" s="478"/>
      <c r="H17" s="181">
        <f t="shared" si="3"/>
        <v>157247.5</v>
      </c>
      <c r="I17" s="181"/>
      <c r="J17" s="262"/>
      <c r="K17" s="181">
        <f t="shared" si="4"/>
        <v>439872.5</v>
      </c>
      <c r="L17" s="140">
        <f t="shared" si="0"/>
        <v>492945</v>
      </c>
      <c r="M17" s="475" t="s">
        <v>3931</v>
      </c>
    </row>
    <row r="18" spans="1:13">
      <c r="A18" s="522">
        <v>42309</v>
      </c>
      <c r="B18" s="523">
        <v>48</v>
      </c>
      <c r="C18" s="523">
        <v>14400</v>
      </c>
      <c r="D18" s="520">
        <f t="shared" si="1"/>
        <v>1667</v>
      </c>
      <c r="E18" s="447">
        <f t="shared" si="2"/>
        <v>507345</v>
      </c>
      <c r="F18" s="331"/>
      <c r="G18" s="304"/>
      <c r="H18" s="181">
        <f t="shared" si="3"/>
        <v>10830</v>
      </c>
      <c r="I18" s="304"/>
      <c r="J18" s="534"/>
      <c r="K18" s="304">
        <f t="shared" si="4"/>
        <v>450702.5</v>
      </c>
      <c r="L18" s="140">
        <f t="shared" si="0"/>
        <v>507345</v>
      </c>
      <c r="M18" s="535"/>
    </row>
    <row r="19" spans="1:13">
      <c r="A19" s="522">
        <v>42340</v>
      </c>
      <c r="B19" s="304">
        <v>41</v>
      </c>
      <c r="C19" s="304">
        <v>11700</v>
      </c>
      <c r="D19" s="520">
        <f t="shared" si="1"/>
        <v>1708</v>
      </c>
      <c r="E19" s="447">
        <f t="shared" si="2"/>
        <v>519045</v>
      </c>
      <c r="F19" s="524"/>
      <c r="G19" s="525"/>
      <c r="H19" s="181">
        <f t="shared" si="3"/>
        <v>14400</v>
      </c>
      <c r="I19" s="525">
        <v>482535</v>
      </c>
      <c r="J19" s="536">
        <f>I19</f>
        <v>482535</v>
      </c>
      <c r="K19" s="304">
        <f t="shared" si="4"/>
        <v>-17432.5</v>
      </c>
      <c r="L19" s="140">
        <f t="shared" si="0"/>
        <v>36510</v>
      </c>
      <c r="M19" s="537"/>
    </row>
    <row r="20" spans="1:13">
      <c r="A20" s="522">
        <v>42370</v>
      </c>
      <c r="B20" s="523">
        <v>57</v>
      </c>
      <c r="C20" s="523">
        <v>16555</v>
      </c>
      <c r="D20" s="520">
        <f t="shared" si="1"/>
        <v>1765</v>
      </c>
      <c r="E20" s="447">
        <f t="shared" si="2"/>
        <v>535600</v>
      </c>
      <c r="F20" s="526"/>
      <c r="G20" s="526"/>
      <c r="H20" s="181">
        <f t="shared" si="3"/>
        <v>11700</v>
      </c>
      <c r="I20" s="526"/>
      <c r="J20" s="534">
        <f t="shared" ref="J20:J28" si="5">I20+J19</f>
        <v>482535</v>
      </c>
      <c r="K20" s="304">
        <f t="shared" si="4"/>
        <v>-5732.5</v>
      </c>
      <c r="L20" s="140">
        <f t="shared" si="0"/>
        <v>53065</v>
      </c>
      <c r="M20" s="526"/>
    </row>
    <row r="21" spans="1:13">
      <c r="A21" s="522">
        <v>42430</v>
      </c>
      <c r="B21" s="523">
        <v>77</v>
      </c>
      <c r="C21" s="523">
        <v>23275</v>
      </c>
      <c r="D21" s="520">
        <f t="shared" si="1"/>
        <v>1842</v>
      </c>
      <c r="E21" s="447">
        <f t="shared" si="2"/>
        <v>558875</v>
      </c>
      <c r="F21" s="538"/>
      <c r="G21" s="538"/>
      <c r="H21" s="181">
        <f t="shared" si="3"/>
        <v>16555</v>
      </c>
      <c r="I21" s="538"/>
      <c r="J21" s="534">
        <f t="shared" si="5"/>
        <v>482535</v>
      </c>
      <c r="K21" s="304">
        <f t="shared" si="4"/>
        <v>10822.5</v>
      </c>
      <c r="L21" s="140">
        <f t="shared" si="0"/>
        <v>76340</v>
      </c>
      <c r="M21" s="538"/>
    </row>
    <row r="22" spans="1:13">
      <c r="A22" s="522">
        <v>42461</v>
      </c>
      <c r="B22" s="523">
        <v>599.5</v>
      </c>
      <c r="C22" s="539">
        <f>180052.5-11990</f>
        <v>168062.5</v>
      </c>
      <c r="D22" s="520">
        <f t="shared" si="1"/>
        <v>2441.5</v>
      </c>
      <c r="E22" s="447">
        <f t="shared" si="2"/>
        <v>726937.5</v>
      </c>
      <c r="F22" s="538"/>
      <c r="G22" s="538"/>
      <c r="H22" s="181">
        <f t="shared" si="3"/>
        <v>23275</v>
      </c>
      <c r="I22" s="538"/>
      <c r="J22" s="534">
        <f t="shared" si="5"/>
        <v>482535</v>
      </c>
      <c r="K22" s="304">
        <f t="shared" si="4"/>
        <v>34097.5</v>
      </c>
      <c r="L22" s="140">
        <f t="shared" si="0"/>
        <v>244402.5</v>
      </c>
      <c r="M22" s="538"/>
    </row>
    <row r="23" spans="1:13">
      <c r="A23" s="522">
        <v>42491</v>
      </c>
      <c r="B23" s="540">
        <v>340</v>
      </c>
      <c r="C23" s="541">
        <f>101490-6800</f>
        <v>94690</v>
      </c>
      <c r="D23" s="520">
        <f t="shared" si="1"/>
        <v>2781.5</v>
      </c>
      <c r="E23" s="447">
        <f t="shared" si="2"/>
        <v>821627.5</v>
      </c>
      <c r="F23" s="542"/>
      <c r="G23" s="543"/>
      <c r="H23" s="181">
        <f t="shared" si="3"/>
        <v>168062.5</v>
      </c>
      <c r="I23" s="543"/>
      <c r="J23" s="534">
        <f t="shared" si="5"/>
        <v>482535</v>
      </c>
      <c r="K23" s="304">
        <f t="shared" si="4"/>
        <v>202160</v>
      </c>
      <c r="L23" s="140">
        <f t="shared" si="0"/>
        <v>339092.5</v>
      </c>
      <c r="M23" s="543"/>
    </row>
    <row r="24" spans="1:13">
      <c r="A24" s="544">
        <v>42522</v>
      </c>
      <c r="B24" s="545">
        <v>10</v>
      </c>
      <c r="C24" s="546">
        <f>2960-200</f>
        <v>2760</v>
      </c>
      <c r="D24" s="520">
        <f t="shared" si="1"/>
        <v>2791.5</v>
      </c>
      <c r="E24" s="447">
        <f t="shared" si="2"/>
        <v>824387.5</v>
      </c>
      <c r="F24" s="547"/>
      <c r="G24" s="548"/>
      <c r="H24" s="181">
        <f t="shared" si="3"/>
        <v>94690</v>
      </c>
      <c r="I24" s="548"/>
      <c r="J24" s="554">
        <f t="shared" si="5"/>
        <v>482535</v>
      </c>
      <c r="K24" s="555">
        <f t="shared" si="4"/>
        <v>296850</v>
      </c>
      <c r="L24" s="140">
        <f t="shared" si="0"/>
        <v>341852.5</v>
      </c>
      <c r="M24" s="548"/>
    </row>
    <row r="25" spans="1:13">
      <c r="A25" s="549">
        <v>42552</v>
      </c>
      <c r="B25" s="523">
        <v>12</v>
      </c>
      <c r="C25" s="539">
        <f>3300-240</f>
        <v>3060</v>
      </c>
      <c r="D25" s="520">
        <f t="shared" si="1"/>
        <v>2803.5</v>
      </c>
      <c r="E25" s="447">
        <f t="shared" si="2"/>
        <v>827447.5</v>
      </c>
      <c r="F25" s="550"/>
      <c r="G25" s="550"/>
      <c r="H25" s="181">
        <f t="shared" si="3"/>
        <v>2760</v>
      </c>
      <c r="I25" s="550"/>
      <c r="J25" s="554">
        <f t="shared" si="5"/>
        <v>482535</v>
      </c>
      <c r="K25" s="555">
        <f t="shared" si="4"/>
        <v>299610</v>
      </c>
      <c r="L25" s="140">
        <f t="shared" si="0"/>
        <v>344912.5</v>
      </c>
      <c r="M25" s="550"/>
    </row>
    <row r="26" spans="1:13">
      <c r="A26" s="549">
        <v>42583</v>
      </c>
      <c r="B26" s="523">
        <v>72</v>
      </c>
      <c r="C26" s="539">
        <f>21960-1440</f>
        <v>20520</v>
      </c>
      <c r="D26" s="520">
        <f t="shared" si="1"/>
        <v>2875.5</v>
      </c>
      <c r="E26" s="447">
        <f t="shared" si="2"/>
        <v>847967.5</v>
      </c>
      <c r="F26" s="550"/>
      <c r="G26" s="550"/>
      <c r="H26" s="181">
        <f t="shared" si="3"/>
        <v>3060</v>
      </c>
      <c r="I26" s="550"/>
      <c r="J26" s="554">
        <f t="shared" si="5"/>
        <v>482535</v>
      </c>
      <c r="K26" s="555">
        <f t="shared" si="4"/>
        <v>302670</v>
      </c>
      <c r="L26" s="140">
        <f t="shared" si="0"/>
        <v>365432.5</v>
      </c>
      <c r="M26" s="550"/>
    </row>
    <row r="27" spans="1:13">
      <c r="A27" s="549">
        <v>42614</v>
      </c>
      <c r="B27" s="523">
        <v>7</v>
      </c>
      <c r="C27" s="523">
        <v>1785</v>
      </c>
      <c r="D27" s="520">
        <f t="shared" si="1"/>
        <v>2882.5</v>
      </c>
      <c r="E27" s="447">
        <f t="shared" si="2"/>
        <v>849752.5</v>
      </c>
      <c r="F27" s="550"/>
      <c r="G27" s="550"/>
      <c r="H27" s="181">
        <f t="shared" si="3"/>
        <v>20520</v>
      </c>
      <c r="I27" s="550"/>
      <c r="J27" s="554">
        <f t="shared" si="5"/>
        <v>482535</v>
      </c>
      <c r="K27" s="555">
        <f t="shared" si="4"/>
        <v>323190</v>
      </c>
      <c r="L27" s="140">
        <f t="shared" si="0"/>
        <v>367217.5</v>
      </c>
      <c r="M27" s="550"/>
    </row>
    <row r="28" spans="1:13">
      <c r="A28" s="551">
        <v>42675</v>
      </c>
      <c r="B28" s="552">
        <v>17</v>
      </c>
      <c r="C28" s="552">
        <v>4335</v>
      </c>
      <c r="D28" s="520">
        <f t="shared" si="1"/>
        <v>2899.5</v>
      </c>
      <c r="E28" s="447">
        <f t="shared" si="2"/>
        <v>854087.5</v>
      </c>
      <c r="F28" s="550"/>
      <c r="G28" s="550"/>
      <c r="H28" s="181">
        <f t="shared" si="3"/>
        <v>1785</v>
      </c>
      <c r="I28" s="550"/>
      <c r="J28" s="554">
        <f t="shared" si="5"/>
        <v>482535</v>
      </c>
      <c r="K28" s="555">
        <f t="shared" si="4"/>
        <v>324975</v>
      </c>
      <c r="L28" s="140">
        <f t="shared" si="0"/>
        <v>371552.5</v>
      </c>
      <c r="M28" s="550"/>
    </row>
    <row r="29" spans="1:13">
      <c r="A29" s="549"/>
      <c r="B29" s="523"/>
      <c r="C29" s="523"/>
      <c r="D29" s="553"/>
      <c r="E29" s="553"/>
      <c r="F29" s="550"/>
      <c r="G29" s="550"/>
      <c r="H29" s="181">
        <f t="shared" si="3"/>
        <v>4335</v>
      </c>
      <c r="I29" s="550"/>
      <c r="J29" s="556"/>
      <c r="K29" s="555">
        <f t="shared" si="4"/>
        <v>329310</v>
      </c>
      <c r="L29" s="557"/>
      <c r="M29" s="550"/>
    </row>
  </sheetData>
  <mergeCells count="9">
    <mergeCell ref="B4:H4"/>
    <mergeCell ref="I4:K4"/>
    <mergeCell ref="L4:M4"/>
    <mergeCell ref="A1:B1"/>
    <mergeCell ref="F1:I1"/>
    <mergeCell ref="K1:L1"/>
    <mergeCell ref="B2:C2"/>
    <mergeCell ref="E2:I2"/>
    <mergeCell ref="B3:C3"/>
  </mergeCells>
  <phoneticPr fontId="86" type="noConversion"/>
  <pageMargins left="0.7" right="0.7" top="0.75" bottom="0.75" header="0.3" footer="0.3"/>
</worksheet>
</file>

<file path=xl/worksheets/sheet1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1"/>
  <sheetViews>
    <sheetView topLeftCell="A25" zoomScaleSheetLayoutView="100" workbookViewId="0">
      <selection activeCell="A29" sqref="A29"/>
    </sheetView>
  </sheetViews>
  <sheetFormatPr defaultColWidth="9" defaultRowHeight="14.25"/>
  <cols>
    <col min="1" max="1" width="14.25" customWidth="1"/>
    <col min="2" max="2" width="13.75" customWidth="1"/>
    <col min="3" max="3" width="14.125" customWidth="1"/>
    <col min="4" max="4" width="14.625" customWidth="1"/>
    <col min="5" max="5" width="13.5" customWidth="1"/>
    <col min="6" max="6" width="11.375" customWidth="1"/>
    <col min="7" max="7" width="12.125" customWidth="1"/>
    <col min="8" max="8" width="13.625" customWidth="1"/>
    <col min="9" max="9" width="13.75" customWidth="1"/>
    <col min="10" max="10" width="13.125" customWidth="1"/>
    <col min="11" max="11" width="17.625" customWidth="1"/>
    <col min="12" max="12" width="11.75" customWidth="1"/>
    <col min="13" max="13" width="34.875" customWidth="1"/>
  </cols>
  <sheetData>
    <row r="1" spans="1:13" ht="95.1" customHeight="1">
      <c r="A1" s="349" t="s">
        <v>556</v>
      </c>
      <c r="B1" s="350" t="s">
        <v>3932</v>
      </c>
      <c r="C1" s="377" t="s">
        <v>3933</v>
      </c>
      <c r="D1" s="350" t="s">
        <v>236</v>
      </c>
      <c r="E1" s="2104"/>
      <c r="F1" s="2104"/>
      <c r="G1" s="2028" t="s">
        <v>3934</v>
      </c>
      <c r="H1" s="2028"/>
      <c r="I1" s="500" t="s">
        <v>237</v>
      </c>
      <c r="J1" s="1694" t="s">
        <v>3935</v>
      </c>
      <c r="K1" s="1694"/>
      <c r="L1" s="2186" t="s">
        <v>3936</v>
      </c>
      <c r="M1" s="1843"/>
    </row>
    <row r="2" spans="1:13" ht="38.1" customHeight="1">
      <c r="A2" s="133" t="s">
        <v>240</v>
      </c>
      <c r="B2" s="1682" t="s">
        <v>1973</v>
      </c>
      <c r="C2" s="1682"/>
      <c r="D2" s="134" t="s">
        <v>242</v>
      </c>
      <c r="E2" s="1689"/>
      <c r="F2" s="1689"/>
      <c r="G2" s="1689"/>
      <c r="H2" s="1689"/>
      <c r="I2" s="166" t="s">
        <v>243</v>
      </c>
      <c r="J2" s="319">
        <v>0.03</v>
      </c>
      <c r="K2" s="310"/>
      <c r="L2" s="166" t="s">
        <v>245</v>
      </c>
      <c r="M2" s="501" t="s">
        <v>3937</v>
      </c>
    </row>
    <row r="3" spans="1:13" ht="56.25" customHeight="1">
      <c r="A3" s="133" t="s">
        <v>247</v>
      </c>
      <c r="B3" s="1682" t="s">
        <v>3938</v>
      </c>
      <c r="C3" s="1682"/>
      <c r="D3" s="134" t="s">
        <v>249</v>
      </c>
      <c r="E3" s="136">
        <v>25000</v>
      </c>
      <c r="F3" s="134" t="s">
        <v>251</v>
      </c>
      <c r="G3" s="134" t="s">
        <v>3939</v>
      </c>
      <c r="H3" s="134" t="s">
        <v>252</v>
      </c>
      <c r="I3" s="134">
        <v>13719315976</v>
      </c>
      <c r="J3" s="15" t="s">
        <v>565</v>
      </c>
      <c r="K3" s="15"/>
      <c r="L3" s="15" t="s">
        <v>3940</v>
      </c>
      <c r="M3" s="92" t="s">
        <v>3941</v>
      </c>
    </row>
    <row r="4" spans="1:13" ht="54.95" customHeight="1">
      <c r="A4" s="133" t="s">
        <v>260</v>
      </c>
      <c r="B4" s="1697" t="s">
        <v>3942</v>
      </c>
      <c r="C4" s="1697"/>
      <c r="D4" s="1697"/>
      <c r="E4" s="1697"/>
      <c r="F4" s="1697"/>
      <c r="G4" s="1697" t="s">
        <v>3943</v>
      </c>
      <c r="H4" s="1697"/>
      <c r="I4" s="1697"/>
      <c r="J4" s="1697"/>
      <c r="K4" s="1697"/>
      <c r="L4" s="1697"/>
      <c r="M4" s="1846"/>
    </row>
    <row r="5" spans="1:13" ht="48" customHeight="1">
      <c r="A5" s="1688" t="s">
        <v>660</v>
      </c>
      <c r="B5" s="1689"/>
      <c r="C5" s="1689"/>
      <c r="D5" s="356" t="s">
        <v>570</v>
      </c>
      <c r="E5" s="1690"/>
      <c r="F5" s="1690"/>
      <c r="G5" s="1690"/>
      <c r="H5" s="1690"/>
      <c r="I5" s="356"/>
      <c r="J5" s="169"/>
      <c r="K5" s="169"/>
      <c r="L5" s="169"/>
      <c r="M5" s="264"/>
    </row>
    <row r="6" spans="1:13" ht="41.1" customHeight="1">
      <c r="A6" s="19" t="s">
        <v>266</v>
      </c>
      <c r="B6" s="20" t="s">
        <v>1150</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498" t="s">
        <v>3944</v>
      </c>
      <c r="B7" s="211">
        <v>1506</v>
      </c>
      <c r="C7" s="252">
        <v>425560</v>
      </c>
      <c r="D7" s="211">
        <f>B7</f>
        <v>1506</v>
      </c>
      <c r="E7" s="211">
        <f>C7</f>
        <v>425560</v>
      </c>
      <c r="F7" s="211"/>
      <c r="G7" s="251"/>
      <c r="H7" s="251"/>
      <c r="I7" s="211"/>
      <c r="J7" s="211"/>
      <c r="K7" s="211"/>
      <c r="L7" s="503">
        <f t="shared" ref="L7:L20" si="0">E7-J7</f>
        <v>425560</v>
      </c>
      <c r="M7" s="504"/>
    </row>
    <row r="8" spans="1:13" ht="33" customHeight="1">
      <c r="A8" s="219">
        <v>42461</v>
      </c>
      <c r="B8" s="200">
        <v>708.5</v>
      </c>
      <c r="C8" s="181">
        <v>201922.5</v>
      </c>
      <c r="D8" s="211">
        <f t="shared" ref="D8:D16" si="1">D7+B8</f>
        <v>2214.5</v>
      </c>
      <c r="E8" s="211">
        <f t="shared" ref="E8:E16" si="2">E7+C8</f>
        <v>627482.5</v>
      </c>
      <c r="F8" s="200"/>
      <c r="G8" s="180"/>
      <c r="H8" s="180">
        <f>C7</f>
        <v>425560</v>
      </c>
      <c r="I8" s="200">
        <v>425560</v>
      </c>
      <c r="J8" s="211">
        <f>I8</f>
        <v>425560</v>
      </c>
      <c r="K8" s="211">
        <f t="shared" ref="K8:K20" si="3">K7+H8-I8</f>
        <v>0</v>
      </c>
      <c r="L8" s="503">
        <f t="shared" si="0"/>
        <v>201922.5</v>
      </c>
      <c r="M8" s="506" t="s">
        <v>3945</v>
      </c>
    </row>
    <row r="9" spans="1:13" ht="33" customHeight="1">
      <c r="A9" s="219">
        <v>42491</v>
      </c>
      <c r="B9" s="200">
        <v>123.5</v>
      </c>
      <c r="C9" s="181">
        <v>29675</v>
      </c>
      <c r="D9" s="211">
        <f t="shared" si="1"/>
        <v>2338</v>
      </c>
      <c r="E9" s="211">
        <f t="shared" si="2"/>
        <v>657157.5</v>
      </c>
      <c r="F9" s="200"/>
      <c r="G9" s="180"/>
      <c r="H9" s="180">
        <f>C8</f>
        <v>201922.5</v>
      </c>
      <c r="I9" s="200">
        <v>201922.5</v>
      </c>
      <c r="J9" s="211">
        <f t="shared" ref="J9:J28" si="4">I9+J8</f>
        <v>627482.5</v>
      </c>
      <c r="K9" s="211">
        <f t="shared" si="3"/>
        <v>0</v>
      </c>
      <c r="L9" s="503">
        <f t="shared" si="0"/>
        <v>29675</v>
      </c>
      <c r="M9" s="506" t="s">
        <v>3946</v>
      </c>
    </row>
    <row r="10" spans="1:13" ht="33" customHeight="1">
      <c r="A10" s="219">
        <v>42522</v>
      </c>
      <c r="B10" s="200">
        <v>451</v>
      </c>
      <c r="C10" s="181">
        <v>118270</v>
      </c>
      <c r="D10" s="211">
        <f t="shared" si="1"/>
        <v>2789</v>
      </c>
      <c r="E10" s="211">
        <f t="shared" si="2"/>
        <v>775427.5</v>
      </c>
      <c r="F10" s="200"/>
      <c r="G10" s="180"/>
      <c r="H10" s="180">
        <f t="shared" ref="H10:H29" si="5">C9</f>
        <v>29675</v>
      </c>
      <c r="I10" s="200">
        <v>29675</v>
      </c>
      <c r="J10" s="211">
        <f t="shared" si="4"/>
        <v>657157.5</v>
      </c>
      <c r="K10" s="211">
        <f t="shared" si="3"/>
        <v>0</v>
      </c>
      <c r="L10" s="503">
        <f t="shared" si="0"/>
        <v>118270</v>
      </c>
      <c r="M10" s="506" t="s">
        <v>3947</v>
      </c>
    </row>
    <row r="11" spans="1:13" ht="33" customHeight="1">
      <c r="A11" s="219">
        <v>42552</v>
      </c>
      <c r="B11" s="200">
        <v>691</v>
      </c>
      <c r="C11" s="181">
        <v>164205</v>
      </c>
      <c r="D11" s="211">
        <f t="shared" si="1"/>
        <v>3480</v>
      </c>
      <c r="E11" s="211">
        <f t="shared" si="2"/>
        <v>939632.5</v>
      </c>
      <c r="F11" s="200"/>
      <c r="G11" s="180"/>
      <c r="H11" s="180">
        <f t="shared" si="5"/>
        <v>118270</v>
      </c>
      <c r="I11" s="200">
        <v>118270</v>
      </c>
      <c r="J11" s="211">
        <f t="shared" si="4"/>
        <v>775427.5</v>
      </c>
      <c r="K11" s="211">
        <f t="shared" si="3"/>
        <v>0</v>
      </c>
      <c r="L11" s="503">
        <f t="shared" si="0"/>
        <v>164205</v>
      </c>
      <c r="M11" s="506"/>
    </row>
    <row r="12" spans="1:13" ht="33" customHeight="1">
      <c r="A12" s="219">
        <v>42583</v>
      </c>
      <c r="B12" s="200">
        <v>1224</v>
      </c>
      <c r="C12" s="181">
        <v>290580</v>
      </c>
      <c r="D12" s="211">
        <f t="shared" si="1"/>
        <v>4704</v>
      </c>
      <c r="E12" s="211">
        <f t="shared" si="2"/>
        <v>1230212.5</v>
      </c>
      <c r="F12" s="200"/>
      <c r="G12" s="180"/>
      <c r="H12" s="180">
        <f t="shared" si="5"/>
        <v>164205</v>
      </c>
      <c r="I12" s="200"/>
      <c r="J12" s="211">
        <f t="shared" si="4"/>
        <v>775427.5</v>
      </c>
      <c r="K12" s="211">
        <f t="shared" si="3"/>
        <v>164205</v>
      </c>
      <c r="L12" s="503">
        <f t="shared" si="0"/>
        <v>454785</v>
      </c>
      <c r="M12" s="506"/>
    </row>
    <row r="13" spans="1:13" ht="33" customHeight="1">
      <c r="A13" s="219" t="s">
        <v>3948</v>
      </c>
      <c r="B13" s="200"/>
      <c r="C13" s="181">
        <v>15357</v>
      </c>
      <c r="D13" s="211">
        <f t="shared" si="1"/>
        <v>4704</v>
      </c>
      <c r="E13" s="211">
        <f t="shared" si="2"/>
        <v>1245569.5</v>
      </c>
      <c r="F13" s="200"/>
      <c r="G13" s="180"/>
      <c r="H13" s="180">
        <f t="shared" si="5"/>
        <v>290580</v>
      </c>
      <c r="I13" s="200"/>
      <c r="J13" s="211">
        <f t="shared" si="4"/>
        <v>775427.5</v>
      </c>
      <c r="K13" s="211">
        <f t="shared" si="3"/>
        <v>454785</v>
      </c>
      <c r="L13" s="503">
        <f t="shared" si="0"/>
        <v>470142</v>
      </c>
      <c r="M13" s="506" t="s">
        <v>3949</v>
      </c>
    </row>
    <row r="14" spans="1:13" ht="33" customHeight="1">
      <c r="A14" s="219">
        <v>42614</v>
      </c>
      <c r="B14" s="200">
        <v>656</v>
      </c>
      <c r="C14" s="181">
        <v>156210</v>
      </c>
      <c r="D14" s="211">
        <f t="shared" si="1"/>
        <v>5360</v>
      </c>
      <c r="E14" s="211">
        <f t="shared" si="2"/>
        <v>1401779.5</v>
      </c>
      <c r="F14" s="200"/>
      <c r="G14" s="180"/>
      <c r="H14" s="180">
        <f t="shared" si="5"/>
        <v>15357</v>
      </c>
      <c r="I14" s="200">
        <v>470142</v>
      </c>
      <c r="J14" s="211">
        <f t="shared" si="4"/>
        <v>1245569.5</v>
      </c>
      <c r="K14" s="211">
        <f t="shared" si="3"/>
        <v>0</v>
      </c>
      <c r="L14" s="503">
        <f t="shared" si="0"/>
        <v>156210</v>
      </c>
      <c r="M14" s="506"/>
    </row>
    <row r="15" spans="1:13" ht="33" customHeight="1">
      <c r="A15" s="219">
        <v>42644</v>
      </c>
      <c r="B15" s="200">
        <v>217</v>
      </c>
      <c r="C15" s="181">
        <v>55200</v>
      </c>
      <c r="D15" s="211">
        <f t="shared" si="1"/>
        <v>5577</v>
      </c>
      <c r="E15" s="211">
        <f t="shared" si="2"/>
        <v>1456979.5</v>
      </c>
      <c r="F15" s="200"/>
      <c r="G15" s="180"/>
      <c r="H15" s="180">
        <f t="shared" si="5"/>
        <v>156210</v>
      </c>
      <c r="I15" s="200"/>
      <c r="J15" s="211">
        <f t="shared" si="4"/>
        <v>1245569.5</v>
      </c>
      <c r="K15" s="211">
        <f t="shared" si="3"/>
        <v>156210</v>
      </c>
      <c r="L15" s="503">
        <f t="shared" si="0"/>
        <v>211410</v>
      </c>
      <c r="M15" s="506"/>
    </row>
    <row r="16" spans="1:13" ht="33" customHeight="1">
      <c r="A16" s="219" t="s">
        <v>3950</v>
      </c>
      <c r="B16" s="200"/>
      <c r="C16" s="181">
        <v>30023.25</v>
      </c>
      <c r="D16" s="211">
        <f t="shared" si="1"/>
        <v>5577</v>
      </c>
      <c r="E16" s="211">
        <f t="shared" si="2"/>
        <v>1487002.75</v>
      </c>
      <c r="F16" s="200"/>
      <c r="G16" s="180"/>
      <c r="H16" s="180">
        <f t="shared" si="5"/>
        <v>55200</v>
      </c>
      <c r="I16" s="200"/>
      <c r="J16" s="211">
        <f t="shared" si="4"/>
        <v>1245569.5</v>
      </c>
      <c r="K16" s="211">
        <f t="shared" si="3"/>
        <v>211410</v>
      </c>
      <c r="L16" s="503">
        <f t="shared" si="0"/>
        <v>241433.25</v>
      </c>
      <c r="M16" s="506" t="s">
        <v>3951</v>
      </c>
    </row>
    <row r="17" spans="1:13" ht="33" customHeight="1">
      <c r="A17" s="219">
        <v>42675</v>
      </c>
      <c r="B17" s="200">
        <v>3877</v>
      </c>
      <c r="C17" s="200">
        <v>1134895</v>
      </c>
      <c r="D17" s="211">
        <f t="shared" ref="D17:D28" si="6">D16+B17</f>
        <v>9454</v>
      </c>
      <c r="E17" s="211">
        <f t="shared" ref="E17:E28" si="7">E16+C17</f>
        <v>2621897.75</v>
      </c>
      <c r="F17" s="200"/>
      <c r="G17" s="180"/>
      <c r="H17" s="180">
        <f t="shared" si="5"/>
        <v>30023.25</v>
      </c>
      <c r="I17" s="200">
        <v>241433.25</v>
      </c>
      <c r="J17" s="211">
        <f t="shared" si="4"/>
        <v>1487002.75</v>
      </c>
      <c r="K17" s="211">
        <f t="shared" si="3"/>
        <v>0</v>
      </c>
      <c r="L17" s="503">
        <f t="shared" si="0"/>
        <v>1134895</v>
      </c>
      <c r="M17" s="506" t="s">
        <v>3952</v>
      </c>
    </row>
    <row r="18" spans="1:13" ht="33" customHeight="1">
      <c r="A18" s="219">
        <v>42705</v>
      </c>
      <c r="B18" s="200">
        <f>7245+291</f>
        <v>7536</v>
      </c>
      <c r="C18" s="181">
        <f>2278105+87300</f>
        <v>2365405</v>
      </c>
      <c r="D18" s="211">
        <f t="shared" si="6"/>
        <v>16990</v>
      </c>
      <c r="E18" s="211">
        <f t="shared" si="7"/>
        <v>4987302.75</v>
      </c>
      <c r="F18" s="200"/>
      <c r="G18" s="180"/>
      <c r="H18" s="180">
        <f t="shared" si="5"/>
        <v>1134895</v>
      </c>
      <c r="I18" s="200">
        <f>400000+734895</f>
        <v>1134895</v>
      </c>
      <c r="J18" s="211">
        <f t="shared" si="4"/>
        <v>2621897.75</v>
      </c>
      <c r="K18" s="211">
        <f t="shared" si="3"/>
        <v>0</v>
      </c>
      <c r="L18" s="503">
        <f t="shared" si="0"/>
        <v>2365405</v>
      </c>
      <c r="M18" s="506"/>
    </row>
    <row r="19" spans="1:13" ht="33" customHeight="1">
      <c r="A19" s="219">
        <v>42736</v>
      </c>
      <c r="B19" s="200">
        <f>2492+133</f>
        <v>2625</v>
      </c>
      <c r="C19" s="181">
        <f>805440+39300</f>
        <v>844740</v>
      </c>
      <c r="D19" s="211">
        <f t="shared" si="6"/>
        <v>19615</v>
      </c>
      <c r="E19" s="211">
        <f t="shared" si="7"/>
        <v>5832042.75</v>
      </c>
      <c r="F19" s="200"/>
      <c r="G19" s="180"/>
      <c r="H19" s="180">
        <f t="shared" si="5"/>
        <v>2365405</v>
      </c>
      <c r="I19" s="200">
        <v>1587300</v>
      </c>
      <c r="J19" s="211">
        <f t="shared" si="4"/>
        <v>4209197.75</v>
      </c>
      <c r="K19" s="211">
        <f t="shared" si="3"/>
        <v>778105</v>
      </c>
      <c r="L19" s="503">
        <f t="shared" si="0"/>
        <v>1622845</v>
      </c>
      <c r="M19" s="506" t="s">
        <v>3953</v>
      </c>
    </row>
    <row r="20" spans="1:13" ht="33" customHeight="1">
      <c r="A20" s="219">
        <v>42767</v>
      </c>
      <c r="B20" s="200">
        <v>21</v>
      </c>
      <c r="C20" s="181">
        <v>6300</v>
      </c>
      <c r="D20" s="211">
        <f t="shared" si="6"/>
        <v>19636</v>
      </c>
      <c r="E20" s="211">
        <f t="shared" si="7"/>
        <v>5838342.75</v>
      </c>
      <c r="F20" s="200"/>
      <c r="G20" s="180"/>
      <c r="H20" s="180">
        <f t="shared" si="5"/>
        <v>844740</v>
      </c>
      <c r="I20" s="200"/>
      <c r="J20" s="211">
        <f t="shared" si="4"/>
        <v>4209197.75</v>
      </c>
      <c r="K20" s="211">
        <f t="shared" si="3"/>
        <v>1622845</v>
      </c>
      <c r="L20" s="503">
        <f t="shared" si="0"/>
        <v>1629145</v>
      </c>
      <c r="M20" s="506"/>
    </row>
    <row r="21" spans="1:13" ht="33" customHeight="1">
      <c r="A21" s="219" t="s">
        <v>3954</v>
      </c>
      <c r="B21" s="200"/>
      <c r="C21" s="181">
        <v>30007.8</v>
      </c>
      <c r="D21" s="211">
        <f t="shared" si="6"/>
        <v>19636</v>
      </c>
      <c r="E21" s="211">
        <f t="shared" si="7"/>
        <v>5868350.5499999998</v>
      </c>
      <c r="F21" s="200"/>
      <c r="G21" s="180"/>
      <c r="H21" s="180">
        <f t="shared" si="5"/>
        <v>6300</v>
      </c>
      <c r="I21" s="200"/>
      <c r="J21" s="211">
        <f t="shared" si="4"/>
        <v>4209197.75</v>
      </c>
      <c r="K21" s="211">
        <f t="shared" ref="K21:K29" si="8">K20+H21-I21</f>
        <v>1629145</v>
      </c>
      <c r="L21" s="503">
        <f t="shared" ref="L21:L28" si="9">E21-J21</f>
        <v>1659152.7999999998</v>
      </c>
      <c r="M21" s="506"/>
    </row>
    <row r="22" spans="1:13" ht="33" customHeight="1">
      <c r="A22" s="219">
        <v>42795</v>
      </c>
      <c r="B22" s="200">
        <f>2969.5+506</f>
        <v>3475.5</v>
      </c>
      <c r="C22" s="181">
        <f>941130+150780</f>
        <v>1091910</v>
      </c>
      <c r="D22" s="211">
        <f t="shared" si="6"/>
        <v>23111.5</v>
      </c>
      <c r="E22" s="211">
        <f t="shared" si="7"/>
        <v>6960260.5499999998</v>
      </c>
      <c r="F22" s="200"/>
      <c r="G22" s="180"/>
      <c r="H22" s="180">
        <f t="shared" si="5"/>
        <v>30007.8</v>
      </c>
      <c r="I22" s="200">
        <f>1809932.8</f>
        <v>1809932.8</v>
      </c>
      <c r="J22" s="211">
        <f t="shared" si="4"/>
        <v>6019130.5499999998</v>
      </c>
      <c r="K22" s="211">
        <f t="shared" si="8"/>
        <v>-150780</v>
      </c>
      <c r="L22" s="503">
        <f t="shared" si="9"/>
        <v>941130</v>
      </c>
      <c r="M22" s="506" t="s">
        <v>3955</v>
      </c>
    </row>
    <row r="23" spans="1:13" ht="33" customHeight="1">
      <c r="A23" s="219">
        <v>42826</v>
      </c>
      <c r="B23" s="200">
        <f>2919.5+89.5</f>
        <v>3009</v>
      </c>
      <c r="C23" s="181">
        <f>919745+25785</f>
        <v>945530</v>
      </c>
      <c r="D23" s="211">
        <f t="shared" si="6"/>
        <v>26120.5</v>
      </c>
      <c r="E23" s="211">
        <f t="shared" si="7"/>
        <v>7905790.5499999998</v>
      </c>
      <c r="F23" s="200"/>
      <c r="G23" s="180"/>
      <c r="H23" s="180">
        <f t="shared" si="5"/>
        <v>1091910</v>
      </c>
      <c r="I23" s="200">
        <v>941130</v>
      </c>
      <c r="J23" s="211">
        <f t="shared" si="4"/>
        <v>6960260.5499999998</v>
      </c>
      <c r="K23" s="211">
        <f t="shared" si="8"/>
        <v>0</v>
      </c>
      <c r="L23" s="503">
        <f t="shared" si="9"/>
        <v>945530</v>
      </c>
      <c r="M23" s="506" t="s">
        <v>3956</v>
      </c>
    </row>
    <row r="24" spans="1:13" ht="33" customHeight="1">
      <c r="A24" s="219">
        <v>42856</v>
      </c>
      <c r="B24" s="200">
        <v>2349</v>
      </c>
      <c r="C24" s="181">
        <v>754570</v>
      </c>
      <c r="D24" s="211">
        <f t="shared" si="6"/>
        <v>28469.5</v>
      </c>
      <c r="E24" s="211">
        <f t="shared" si="7"/>
        <v>8660360.5500000007</v>
      </c>
      <c r="F24" s="200"/>
      <c r="G24" s="180"/>
      <c r="H24" s="180">
        <f t="shared" si="5"/>
        <v>945530</v>
      </c>
      <c r="I24" s="200">
        <v>919745</v>
      </c>
      <c r="J24" s="211">
        <f t="shared" si="4"/>
        <v>7880005.5499999998</v>
      </c>
      <c r="K24" s="211">
        <f t="shared" si="8"/>
        <v>25785</v>
      </c>
      <c r="L24" s="503">
        <f t="shared" si="9"/>
        <v>780355.00000000093</v>
      </c>
      <c r="M24" s="506" t="s">
        <v>3957</v>
      </c>
    </row>
    <row r="25" spans="1:13" ht="33" customHeight="1">
      <c r="A25" s="219" t="s">
        <v>3958</v>
      </c>
      <c r="B25" s="200"/>
      <c r="C25" s="512">
        <v>150000</v>
      </c>
      <c r="D25" s="211">
        <f t="shared" si="6"/>
        <v>28469.5</v>
      </c>
      <c r="E25" s="211">
        <f t="shared" si="7"/>
        <v>8810360.5500000007</v>
      </c>
      <c r="F25" s="200"/>
      <c r="G25" s="180"/>
      <c r="H25" s="180">
        <f t="shared" si="5"/>
        <v>754570</v>
      </c>
      <c r="I25" s="200"/>
      <c r="J25" s="211">
        <f t="shared" si="4"/>
        <v>7880005.5499999998</v>
      </c>
      <c r="K25" s="211">
        <f t="shared" si="8"/>
        <v>780355</v>
      </c>
      <c r="L25" s="503">
        <f t="shared" si="9"/>
        <v>930355.00000000093</v>
      </c>
      <c r="M25" s="506"/>
    </row>
    <row r="26" spans="1:13" ht="33" customHeight="1">
      <c r="A26" s="219">
        <v>42887</v>
      </c>
      <c r="B26" s="200">
        <f>3331+13</f>
        <v>3344</v>
      </c>
      <c r="C26" s="181">
        <f>1098637.5+3510</f>
        <v>1102147.5</v>
      </c>
      <c r="D26" s="211">
        <f t="shared" si="6"/>
        <v>31813.5</v>
      </c>
      <c r="E26" s="211">
        <f t="shared" si="7"/>
        <v>9912508.0500000007</v>
      </c>
      <c r="F26" s="200"/>
      <c r="G26" s="180"/>
      <c r="H26" s="180">
        <f t="shared" si="5"/>
        <v>150000</v>
      </c>
      <c r="I26" s="200"/>
      <c r="J26" s="211">
        <f t="shared" si="4"/>
        <v>7880005.5499999998</v>
      </c>
      <c r="K26" s="211">
        <f t="shared" si="8"/>
        <v>930355</v>
      </c>
      <c r="L26" s="503">
        <f t="shared" si="9"/>
        <v>2032502.5000000009</v>
      </c>
      <c r="M26" s="506"/>
    </row>
    <row r="27" spans="1:13" ht="33" customHeight="1">
      <c r="A27" s="219">
        <v>42917</v>
      </c>
      <c r="B27" s="200">
        <v>1338</v>
      </c>
      <c r="C27" s="181">
        <v>400375</v>
      </c>
      <c r="D27" s="211">
        <f t="shared" si="6"/>
        <v>33151.5</v>
      </c>
      <c r="E27" s="211">
        <f t="shared" si="7"/>
        <v>10312883.050000001</v>
      </c>
      <c r="F27" s="200"/>
      <c r="G27" s="180"/>
      <c r="H27" s="180">
        <f t="shared" si="5"/>
        <v>1102147.5</v>
      </c>
      <c r="I27" s="200"/>
      <c r="J27" s="211">
        <f t="shared" si="4"/>
        <v>7880005.5499999998</v>
      </c>
      <c r="K27" s="211">
        <f t="shared" si="8"/>
        <v>2032502.5</v>
      </c>
      <c r="L27" s="503">
        <f t="shared" si="9"/>
        <v>2432877.5000000009</v>
      </c>
      <c r="M27" s="506"/>
    </row>
    <row r="28" spans="1:13" ht="33" customHeight="1">
      <c r="A28" s="219">
        <v>42948</v>
      </c>
      <c r="B28" s="200">
        <v>174</v>
      </c>
      <c r="C28" s="181">
        <v>50460</v>
      </c>
      <c r="D28" s="211">
        <f t="shared" si="6"/>
        <v>33325.5</v>
      </c>
      <c r="E28" s="211">
        <f t="shared" si="7"/>
        <v>10363343.050000001</v>
      </c>
      <c r="F28" s="200"/>
      <c r="G28" s="180"/>
      <c r="H28" s="180">
        <f t="shared" si="5"/>
        <v>400375</v>
      </c>
      <c r="I28" s="200">
        <f>29295+1000000</f>
        <v>1029295</v>
      </c>
      <c r="J28" s="211">
        <f t="shared" si="4"/>
        <v>8909300.5500000007</v>
      </c>
      <c r="K28" s="211">
        <f t="shared" si="8"/>
        <v>1403582.5</v>
      </c>
      <c r="L28" s="503">
        <f t="shared" si="9"/>
        <v>1454042.5</v>
      </c>
      <c r="M28" s="506" t="s">
        <v>3959</v>
      </c>
    </row>
    <row r="29" spans="1:13" ht="33" customHeight="1">
      <c r="A29" s="219"/>
      <c r="B29" s="200"/>
      <c r="C29" s="181"/>
      <c r="D29" s="211"/>
      <c r="E29" s="211"/>
      <c r="F29" s="200"/>
      <c r="G29" s="180"/>
      <c r="H29" s="180">
        <f t="shared" si="5"/>
        <v>50460</v>
      </c>
      <c r="I29" s="200"/>
      <c r="J29" s="211"/>
      <c r="K29" s="211">
        <f t="shared" si="8"/>
        <v>1454042.5</v>
      </c>
      <c r="L29" s="201"/>
      <c r="M29" s="506"/>
    </row>
    <row r="30" spans="1:13" ht="33" customHeight="1">
      <c r="A30" s="219"/>
      <c r="B30" s="200"/>
      <c r="C30" s="181"/>
      <c r="D30" s="211"/>
      <c r="E30" s="211"/>
      <c r="F30" s="200"/>
      <c r="G30" s="180"/>
      <c r="H30" s="180"/>
      <c r="I30" s="200"/>
      <c r="J30" s="211"/>
      <c r="K30" s="211"/>
      <c r="L30" s="201"/>
      <c r="M30" s="506"/>
    </row>
    <row r="31" spans="1:13" ht="33" customHeight="1">
      <c r="A31" s="219"/>
      <c r="B31" s="200"/>
      <c r="C31" s="181"/>
      <c r="D31" s="211"/>
      <c r="E31" s="211"/>
      <c r="F31" s="200"/>
      <c r="G31" s="180"/>
      <c r="H31" s="180"/>
      <c r="I31" s="200"/>
      <c r="J31" s="200"/>
      <c r="K31" s="200"/>
      <c r="L31" s="201"/>
      <c r="M31" s="506"/>
    </row>
  </sheetData>
  <mergeCells count="12">
    <mergeCell ref="B3:C3"/>
    <mergeCell ref="B4:F4"/>
    <mergeCell ref="G4:K4"/>
    <mergeCell ref="L4:M4"/>
    <mergeCell ref="A5:C5"/>
    <mergeCell ref="E5:H5"/>
    <mergeCell ref="E1:F1"/>
    <mergeCell ref="G1:H1"/>
    <mergeCell ref="J1:K1"/>
    <mergeCell ref="L1:M1"/>
    <mergeCell ref="B2:C2"/>
    <mergeCell ref="E2:H2"/>
  </mergeCells>
  <phoneticPr fontId="84" type="noConversion"/>
  <pageMargins left="0.75" right="0.75" top="1" bottom="1" header="0.51" footer="0.51"/>
  <pageSetup paperSize="9" orientation="portrait" verticalDpi="200"/>
  <headerFooter scaleWithDoc="0" alignWithMargins="0"/>
  <legacyDrawing r:id="rId1"/>
</worksheet>
</file>

<file path=xl/worksheets/sheet1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6" zoomScaleSheetLayoutView="100" workbookViewId="0">
      <selection activeCell="A20" sqref="A20"/>
    </sheetView>
  </sheetViews>
  <sheetFormatPr defaultColWidth="9" defaultRowHeight="14.25"/>
  <cols>
    <col min="1" max="1" width="17.375" customWidth="1"/>
    <col min="2" max="2" width="13.75" customWidth="1"/>
    <col min="3" max="3" width="14.125" customWidth="1"/>
    <col min="4" max="4" width="14.625" customWidth="1"/>
    <col min="5" max="5" width="13.5" customWidth="1"/>
    <col min="6" max="6" width="12.875" customWidth="1"/>
    <col min="7" max="7" width="12.125" customWidth="1"/>
    <col min="8" max="8" width="13.625" customWidth="1"/>
    <col min="9" max="9" width="13.75" customWidth="1"/>
    <col min="10" max="10" width="13.125" customWidth="1"/>
    <col min="11" max="11" width="14.375" customWidth="1"/>
    <col min="12" max="12" width="11.75" customWidth="1"/>
    <col min="13" max="13" width="34.875" customWidth="1"/>
  </cols>
  <sheetData>
    <row r="1" spans="1:13" ht="95.1" customHeight="1">
      <c r="A1" s="349" t="s">
        <v>556</v>
      </c>
      <c r="B1" s="496">
        <v>2016</v>
      </c>
      <c r="C1" s="377" t="s">
        <v>3960</v>
      </c>
      <c r="D1" s="350" t="s">
        <v>236</v>
      </c>
      <c r="E1" s="497"/>
      <c r="F1" s="497" t="s">
        <v>3961</v>
      </c>
      <c r="G1" s="2028" t="s">
        <v>3962</v>
      </c>
      <c r="H1" s="2028"/>
      <c r="I1" s="500" t="s">
        <v>237</v>
      </c>
      <c r="J1" s="1694" t="s">
        <v>3963</v>
      </c>
      <c r="K1" s="1694"/>
      <c r="L1" s="2186" t="s">
        <v>3964</v>
      </c>
      <c r="M1" s="1843"/>
    </row>
    <row r="2" spans="1:13" ht="38.1" customHeight="1">
      <c r="A2" s="133" t="s">
        <v>240</v>
      </c>
      <c r="B2" s="1682" t="s">
        <v>241</v>
      </c>
      <c r="C2" s="1682"/>
      <c r="D2" s="134" t="s">
        <v>242</v>
      </c>
      <c r="E2" s="1689"/>
      <c r="F2" s="1689"/>
      <c r="G2" s="1689"/>
      <c r="H2" s="1689"/>
      <c r="I2" s="166" t="s">
        <v>243</v>
      </c>
      <c r="J2" s="510" t="s">
        <v>3965</v>
      </c>
      <c r="K2" s="310"/>
      <c r="L2" s="166" t="s">
        <v>245</v>
      </c>
      <c r="M2" s="241" t="s">
        <v>402</v>
      </c>
    </row>
    <row r="3" spans="1:13" ht="56.25" customHeight="1">
      <c r="A3" s="133" t="s">
        <v>247</v>
      </c>
      <c r="B3" s="1682" t="s">
        <v>3966</v>
      </c>
      <c r="C3" s="1682"/>
      <c r="D3" s="134" t="s">
        <v>249</v>
      </c>
      <c r="E3" s="136">
        <v>45000</v>
      </c>
      <c r="F3" s="134" t="s">
        <v>251</v>
      </c>
      <c r="G3" s="134" t="s">
        <v>3967</v>
      </c>
      <c r="H3" s="134" t="s">
        <v>252</v>
      </c>
      <c r="I3" s="134">
        <v>13580591196</v>
      </c>
      <c r="J3" s="15" t="s">
        <v>565</v>
      </c>
      <c r="K3" s="92" t="s">
        <v>3968</v>
      </c>
      <c r="L3" s="15" t="s">
        <v>255</v>
      </c>
      <c r="M3" s="92" t="s">
        <v>3968</v>
      </c>
    </row>
    <row r="4" spans="1:13" ht="87.95" customHeight="1">
      <c r="A4" s="133" t="s">
        <v>260</v>
      </c>
      <c r="B4" s="2080" t="s">
        <v>3969</v>
      </c>
      <c r="C4" s="2080"/>
      <c r="D4" s="2080"/>
      <c r="E4" s="2080"/>
      <c r="F4" s="2080"/>
      <c r="G4" s="1697" t="s">
        <v>1854</v>
      </c>
      <c r="H4" s="1697"/>
      <c r="I4" s="1697"/>
      <c r="J4" s="1697"/>
      <c r="K4" s="1697"/>
      <c r="L4" s="1697"/>
      <c r="M4" s="1846"/>
    </row>
    <row r="5" spans="1:13" ht="48" customHeight="1">
      <c r="A5" s="1688" t="s">
        <v>660</v>
      </c>
      <c r="B5" s="1689"/>
      <c r="C5" s="1689"/>
      <c r="D5" s="356" t="s">
        <v>570</v>
      </c>
      <c r="E5" s="2187" t="s">
        <v>3970</v>
      </c>
      <c r="F5" s="2187"/>
      <c r="G5" s="2187"/>
      <c r="H5" s="2187"/>
      <c r="I5" s="356"/>
      <c r="J5" s="169"/>
      <c r="K5" s="169"/>
      <c r="L5" s="169"/>
      <c r="M5" s="264"/>
    </row>
    <row r="6" spans="1:13" ht="41.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498" t="s">
        <v>3971</v>
      </c>
      <c r="B7" s="211">
        <v>380</v>
      </c>
      <c r="C7" s="252">
        <v>86910</v>
      </c>
      <c r="D7" s="211">
        <f>B7</f>
        <v>380</v>
      </c>
      <c r="E7" s="211">
        <f>C7</f>
        <v>86910</v>
      </c>
      <c r="F7" s="211"/>
      <c r="G7" s="251">
        <f t="shared" ref="G7:G19" si="0">E7*0.2</f>
        <v>17382</v>
      </c>
      <c r="H7" s="251"/>
      <c r="I7" s="211"/>
      <c r="J7" s="211"/>
      <c r="K7" s="211"/>
      <c r="L7" s="503">
        <f t="shared" ref="L7:L19" si="1">E7-J7</f>
        <v>86910</v>
      </c>
      <c r="M7" s="504"/>
    </row>
    <row r="8" spans="1:13" ht="33" customHeight="1">
      <c r="A8" s="219">
        <v>42522</v>
      </c>
      <c r="B8" s="200">
        <v>2575</v>
      </c>
      <c r="C8" s="181">
        <v>655042.5</v>
      </c>
      <c r="D8" s="211">
        <f t="shared" ref="D8:D19" si="2">B8+D7</f>
        <v>2955</v>
      </c>
      <c r="E8" s="211">
        <f t="shared" ref="E8:E19" si="3">C8+E7</f>
        <v>741952.5</v>
      </c>
      <c r="F8" s="200"/>
      <c r="G8" s="251">
        <f t="shared" si="0"/>
        <v>148390.5</v>
      </c>
      <c r="H8" s="180">
        <f t="shared" ref="H8:H20" si="4">C7*0.8</f>
        <v>69528</v>
      </c>
      <c r="I8" s="200"/>
      <c r="J8" s="211"/>
      <c r="K8" s="211">
        <f t="shared" ref="K8:K20" si="5">K7+H8-I8</f>
        <v>69528</v>
      </c>
      <c r="L8" s="503">
        <f t="shared" si="1"/>
        <v>741952.5</v>
      </c>
      <c r="M8" s="506"/>
    </row>
    <row r="9" spans="1:13" ht="33" customHeight="1">
      <c r="A9" s="219">
        <v>42552</v>
      </c>
      <c r="B9" s="200">
        <v>1396.5</v>
      </c>
      <c r="C9" s="181">
        <v>369452.5</v>
      </c>
      <c r="D9" s="211">
        <f t="shared" si="2"/>
        <v>4351.5</v>
      </c>
      <c r="E9" s="211">
        <f t="shared" si="3"/>
        <v>1111405</v>
      </c>
      <c r="F9" s="200"/>
      <c r="G9" s="251">
        <f t="shared" si="0"/>
        <v>222281</v>
      </c>
      <c r="H9" s="180">
        <f t="shared" si="4"/>
        <v>524034</v>
      </c>
      <c r="I9" s="200"/>
      <c r="J9" s="211">
        <f>J8+I9</f>
        <v>0</v>
      </c>
      <c r="K9" s="211">
        <f t="shared" si="5"/>
        <v>593562</v>
      </c>
      <c r="L9" s="503">
        <f t="shared" si="1"/>
        <v>1111405</v>
      </c>
      <c r="M9" s="506"/>
    </row>
    <row r="10" spans="1:13" ht="33" customHeight="1">
      <c r="A10" s="219">
        <v>42583</v>
      </c>
      <c r="B10" s="200">
        <v>1573</v>
      </c>
      <c r="C10" s="181">
        <v>421487.5</v>
      </c>
      <c r="D10" s="211">
        <f t="shared" si="2"/>
        <v>5924.5</v>
      </c>
      <c r="E10" s="211">
        <f t="shared" si="3"/>
        <v>1532892.5</v>
      </c>
      <c r="F10" s="200"/>
      <c r="G10" s="251">
        <f t="shared" si="0"/>
        <v>306578.5</v>
      </c>
      <c r="H10" s="180">
        <f t="shared" si="4"/>
        <v>295562</v>
      </c>
      <c r="I10" s="200"/>
      <c r="J10" s="211"/>
      <c r="K10" s="211">
        <f t="shared" si="5"/>
        <v>889124</v>
      </c>
      <c r="L10" s="503">
        <f t="shared" si="1"/>
        <v>1532892.5</v>
      </c>
      <c r="M10" s="506"/>
    </row>
    <row r="11" spans="1:13" ht="33" customHeight="1">
      <c r="A11" s="219">
        <v>42614</v>
      </c>
      <c r="B11" s="200">
        <v>552</v>
      </c>
      <c r="C11" s="181">
        <v>144840</v>
      </c>
      <c r="D11" s="211">
        <f t="shared" si="2"/>
        <v>6476.5</v>
      </c>
      <c r="E11" s="211">
        <f t="shared" si="3"/>
        <v>1677732.5</v>
      </c>
      <c r="F11" s="200"/>
      <c r="G11" s="251">
        <f t="shared" si="0"/>
        <v>335546.5</v>
      </c>
      <c r="H11" s="180">
        <f t="shared" si="4"/>
        <v>337190</v>
      </c>
      <c r="I11" s="200"/>
      <c r="J11" s="211"/>
      <c r="K11" s="211">
        <f t="shared" si="5"/>
        <v>1226314</v>
      </c>
      <c r="L11" s="503">
        <f t="shared" si="1"/>
        <v>1677732.5</v>
      </c>
      <c r="M11" s="506"/>
    </row>
    <row r="12" spans="1:13" ht="33" customHeight="1">
      <c r="A12" s="219">
        <v>42644</v>
      </c>
      <c r="B12" s="200">
        <v>910</v>
      </c>
      <c r="C12" s="181">
        <v>241172.5</v>
      </c>
      <c r="D12" s="211">
        <f t="shared" si="2"/>
        <v>7386.5</v>
      </c>
      <c r="E12" s="211">
        <f t="shared" si="3"/>
        <v>1918905</v>
      </c>
      <c r="F12" s="200"/>
      <c r="G12" s="251">
        <f t="shared" si="0"/>
        <v>383781</v>
      </c>
      <c r="H12" s="511">
        <f t="shared" si="4"/>
        <v>115872</v>
      </c>
      <c r="I12" s="200"/>
      <c r="J12" s="211"/>
      <c r="K12" s="211">
        <f t="shared" si="5"/>
        <v>1342186</v>
      </c>
      <c r="L12" s="503">
        <f t="shared" si="1"/>
        <v>1918905</v>
      </c>
      <c r="M12" s="506"/>
    </row>
    <row r="13" spans="1:13" ht="33" customHeight="1">
      <c r="A13" s="219">
        <v>42675</v>
      </c>
      <c r="B13" s="200">
        <v>362</v>
      </c>
      <c r="C13" s="181">
        <v>94367.5</v>
      </c>
      <c r="D13" s="211">
        <f t="shared" si="2"/>
        <v>7748.5</v>
      </c>
      <c r="E13" s="211">
        <f t="shared" si="3"/>
        <v>2013272.5</v>
      </c>
      <c r="F13" s="200"/>
      <c r="G13" s="251">
        <f t="shared" si="0"/>
        <v>402654.5</v>
      </c>
      <c r="H13" s="511">
        <f t="shared" si="4"/>
        <v>192938</v>
      </c>
      <c r="I13" s="200"/>
      <c r="J13" s="211"/>
      <c r="K13" s="211">
        <f t="shared" si="5"/>
        <v>1535124</v>
      </c>
      <c r="L13" s="503">
        <f t="shared" si="1"/>
        <v>2013272.5</v>
      </c>
      <c r="M13" s="506"/>
    </row>
    <row r="14" spans="1:13" ht="33" customHeight="1">
      <c r="A14" s="219">
        <v>42705</v>
      </c>
      <c r="B14" s="200">
        <v>251.5</v>
      </c>
      <c r="C14" s="181">
        <v>71047.5</v>
      </c>
      <c r="D14" s="211">
        <f t="shared" si="2"/>
        <v>8000</v>
      </c>
      <c r="E14" s="211">
        <f t="shared" si="3"/>
        <v>2084320</v>
      </c>
      <c r="F14" s="200"/>
      <c r="G14" s="251">
        <f t="shared" si="0"/>
        <v>416864</v>
      </c>
      <c r="H14" s="511">
        <f t="shared" si="4"/>
        <v>75494</v>
      </c>
      <c r="I14" s="200"/>
      <c r="J14" s="211"/>
      <c r="K14" s="211">
        <f t="shared" si="5"/>
        <v>1610618</v>
      </c>
      <c r="L14" s="503">
        <f t="shared" si="1"/>
        <v>2084320</v>
      </c>
      <c r="M14" s="506" t="s">
        <v>3972</v>
      </c>
    </row>
    <row r="15" spans="1:13" ht="33" customHeight="1">
      <c r="A15" s="219">
        <v>42736</v>
      </c>
      <c r="B15" s="200">
        <v>145</v>
      </c>
      <c r="C15" s="181">
        <v>41355</v>
      </c>
      <c r="D15" s="211">
        <f t="shared" si="2"/>
        <v>8145</v>
      </c>
      <c r="E15" s="211">
        <f t="shared" si="3"/>
        <v>2125675</v>
      </c>
      <c r="F15" s="200"/>
      <c r="G15" s="251">
        <f t="shared" si="0"/>
        <v>425135</v>
      </c>
      <c r="H15" s="511">
        <f t="shared" si="4"/>
        <v>56838</v>
      </c>
      <c r="I15" s="200"/>
      <c r="J15" s="211"/>
      <c r="K15" s="211">
        <f t="shared" si="5"/>
        <v>1667456</v>
      </c>
      <c r="L15" s="503">
        <f t="shared" si="1"/>
        <v>2125675</v>
      </c>
      <c r="M15" s="506"/>
    </row>
    <row r="16" spans="1:13" ht="33" customHeight="1">
      <c r="A16" s="219">
        <v>42795</v>
      </c>
      <c r="B16" s="200">
        <f>45</f>
        <v>45</v>
      </c>
      <c r="C16" s="181">
        <f>11675</f>
        <v>11675</v>
      </c>
      <c r="D16" s="211">
        <f t="shared" si="2"/>
        <v>8190</v>
      </c>
      <c r="E16" s="211">
        <f t="shared" si="3"/>
        <v>2137350</v>
      </c>
      <c r="F16" s="200"/>
      <c r="G16" s="251">
        <f t="shared" si="0"/>
        <v>427470</v>
      </c>
      <c r="H16" s="511">
        <f t="shared" si="4"/>
        <v>33084</v>
      </c>
      <c r="I16" s="200">
        <v>1000000</v>
      </c>
      <c r="J16" s="211">
        <f>I16+J15</f>
        <v>1000000</v>
      </c>
      <c r="K16" s="211">
        <f t="shared" si="5"/>
        <v>700540</v>
      </c>
      <c r="L16" s="503">
        <f t="shared" si="1"/>
        <v>1137350</v>
      </c>
      <c r="M16" s="506"/>
    </row>
    <row r="17" spans="1:13" ht="33" customHeight="1">
      <c r="A17" s="219">
        <v>42826</v>
      </c>
      <c r="B17" s="200">
        <v>35</v>
      </c>
      <c r="C17" s="181">
        <v>9837.5</v>
      </c>
      <c r="D17" s="211">
        <f t="shared" si="2"/>
        <v>8225</v>
      </c>
      <c r="E17" s="211">
        <f t="shared" si="3"/>
        <v>2147187.5</v>
      </c>
      <c r="F17" s="200"/>
      <c r="G17" s="251">
        <f t="shared" si="0"/>
        <v>429437.5</v>
      </c>
      <c r="H17" s="511">
        <f t="shared" si="4"/>
        <v>9340</v>
      </c>
      <c r="I17" s="200"/>
      <c r="J17" s="211">
        <f>I17+J16</f>
        <v>1000000</v>
      </c>
      <c r="K17" s="211">
        <f t="shared" si="5"/>
        <v>709880</v>
      </c>
      <c r="L17" s="503">
        <f t="shared" si="1"/>
        <v>1147187.5</v>
      </c>
      <c r="M17" s="507" t="s">
        <v>3973</v>
      </c>
    </row>
    <row r="18" spans="1:13" ht="33" customHeight="1">
      <c r="A18" s="219">
        <v>42856</v>
      </c>
      <c r="B18" s="200">
        <v>237</v>
      </c>
      <c r="C18" s="181">
        <v>60435</v>
      </c>
      <c r="D18" s="211">
        <f t="shared" si="2"/>
        <v>8462</v>
      </c>
      <c r="E18" s="211">
        <f t="shared" si="3"/>
        <v>2207622.5</v>
      </c>
      <c r="F18" s="200"/>
      <c r="G18" s="251">
        <f t="shared" si="0"/>
        <v>441524.5</v>
      </c>
      <c r="H18" s="511">
        <f t="shared" si="4"/>
        <v>7870</v>
      </c>
      <c r="I18" s="200"/>
      <c r="J18" s="211">
        <f>I18+J17</f>
        <v>1000000</v>
      </c>
      <c r="K18" s="211">
        <f t="shared" si="5"/>
        <v>717750</v>
      </c>
      <c r="L18" s="503">
        <f t="shared" si="1"/>
        <v>1207622.5</v>
      </c>
      <c r="M18" s="506"/>
    </row>
    <row r="19" spans="1:13" ht="33" customHeight="1">
      <c r="A19" s="219">
        <v>42948</v>
      </c>
      <c r="B19" s="200">
        <v>0</v>
      </c>
      <c r="C19" s="181">
        <v>0</v>
      </c>
      <c r="D19" s="211">
        <f t="shared" si="2"/>
        <v>8462</v>
      </c>
      <c r="E19" s="211">
        <f t="shared" si="3"/>
        <v>2207622.5</v>
      </c>
      <c r="F19" s="200"/>
      <c r="G19" s="251">
        <f t="shared" si="0"/>
        <v>441524.5</v>
      </c>
      <c r="H19" s="511">
        <f t="shared" si="4"/>
        <v>48348</v>
      </c>
      <c r="I19" s="200"/>
      <c r="J19" s="211">
        <f>I19+J18</f>
        <v>1000000</v>
      </c>
      <c r="K19" s="211">
        <f t="shared" si="5"/>
        <v>766098</v>
      </c>
      <c r="L19" s="503">
        <f t="shared" si="1"/>
        <v>1207622.5</v>
      </c>
      <c r="M19" s="506"/>
    </row>
    <row r="20" spans="1:13" ht="33" customHeight="1">
      <c r="A20" s="219"/>
      <c r="B20" s="200"/>
      <c r="C20" s="181"/>
      <c r="D20" s="200"/>
      <c r="E20" s="200"/>
      <c r="F20" s="200"/>
      <c r="G20" s="180"/>
      <c r="H20" s="511">
        <f t="shared" si="4"/>
        <v>0</v>
      </c>
      <c r="I20" s="200"/>
      <c r="J20" s="211"/>
      <c r="K20" s="211">
        <f t="shared" si="5"/>
        <v>766098</v>
      </c>
      <c r="L20" s="201"/>
      <c r="M20" s="506"/>
    </row>
    <row r="21" spans="1:13" ht="33" customHeight="1">
      <c r="A21" s="219"/>
      <c r="B21" s="200"/>
      <c r="C21" s="181"/>
      <c r="D21" s="200"/>
      <c r="E21" s="200"/>
      <c r="F21" s="200"/>
      <c r="G21" s="180"/>
      <c r="H21" s="511"/>
      <c r="I21" s="200"/>
      <c r="J21" s="211"/>
      <c r="K21" s="211"/>
      <c r="L21" s="201"/>
      <c r="M21" s="506"/>
    </row>
    <row r="22" spans="1:13" ht="33" customHeight="1">
      <c r="A22" s="219"/>
      <c r="B22" s="200"/>
      <c r="C22" s="181"/>
      <c r="D22" s="200"/>
      <c r="E22" s="200"/>
      <c r="F22" s="200"/>
      <c r="G22" s="180"/>
      <c r="H22" s="511"/>
      <c r="I22" s="200"/>
      <c r="J22" s="211"/>
      <c r="K22" s="211"/>
      <c r="L22" s="201"/>
      <c r="M22" s="506"/>
    </row>
    <row r="23" spans="1:13" ht="33" customHeight="1">
      <c r="A23" s="219"/>
      <c r="B23" s="200"/>
      <c r="C23" s="181"/>
      <c r="D23" s="200"/>
      <c r="E23" s="200"/>
      <c r="F23" s="200"/>
      <c r="G23" s="180"/>
      <c r="H23" s="511"/>
      <c r="I23" s="200"/>
      <c r="J23" s="211"/>
      <c r="K23" s="211"/>
      <c r="L23" s="201"/>
      <c r="M23" s="506"/>
    </row>
    <row r="24" spans="1:13" ht="33" customHeight="1">
      <c r="A24" s="219"/>
      <c r="B24" s="200"/>
      <c r="C24" s="181"/>
      <c r="D24" s="200"/>
      <c r="E24" s="200"/>
      <c r="F24" s="200"/>
      <c r="G24" s="180"/>
      <c r="H24" s="511"/>
      <c r="I24" s="200"/>
      <c r="J24" s="211"/>
      <c r="K24" s="211"/>
      <c r="L24" s="201"/>
      <c r="M24" s="506"/>
    </row>
    <row r="25" spans="1:13" ht="33" customHeight="1">
      <c r="A25" s="219"/>
      <c r="B25" s="200"/>
      <c r="C25" s="181"/>
      <c r="D25" s="200"/>
      <c r="E25" s="200"/>
      <c r="F25" s="200"/>
      <c r="G25" s="180"/>
      <c r="H25" s="511"/>
      <c r="I25" s="200"/>
      <c r="J25" s="211"/>
      <c r="K25" s="211"/>
      <c r="L25" s="201"/>
      <c r="M25" s="506"/>
    </row>
    <row r="26" spans="1:13" ht="33" customHeight="1">
      <c r="A26" s="219"/>
      <c r="B26" s="200"/>
      <c r="C26" s="181"/>
      <c r="D26" s="200"/>
      <c r="E26" s="200"/>
      <c r="F26" s="200"/>
      <c r="G26" s="180"/>
      <c r="H26" s="180"/>
      <c r="I26" s="200"/>
      <c r="J26" s="200"/>
      <c r="K26" s="200"/>
      <c r="L26" s="201"/>
      <c r="M26" s="506"/>
    </row>
  </sheetData>
  <mergeCells count="11">
    <mergeCell ref="G1:H1"/>
    <mergeCell ref="J1:K1"/>
    <mergeCell ref="L1:M1"/>
    <mergeCell ref="B2:C2"/>
    <mergeCell ref="E2:H2"/>
    <mergeCell ref="B3:C3"/>
    <mergeCell ref="B4:F4"/>
    <mergeCell ref="G4:K4"/>
    <mergeCell ref="L4:M4"/>
    <mergeCell ref="A5:C5"/>
    <mergeCell ref="E5:H5"/>
  </mergeCells>
  <phoneticPr fontId="84" type="noConversion"/>
  <pageMargins left="0.75" right="0.75" top="1" bottom="1" header="0.51" footer="0.51"/>
  <pageSetup paperSize="9" orientation="portrait" verticalDpi="200"/>
  <headerFooter scaleWithDoc="0" alignWithMargins="0"/>
</worksheet>
</file>

<file path=xl/worksheets/sheet1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SheetLayoutView="100" workbookViewId="0">
      <selection activeCell="A13" sqref="A13"/>
    </sheetView>
  </sheetViews>
  <sheetFormatPr defaultColWidth="9" defaultRowHeight="14.25"/>
  <cols>
    <col min="1" max="1" width="17.375" customWidth="1"/>
    <col min="2" max="2" width="13.75" customWidth="1"/>
    <col min="3" max="3" width="14.125" customWidth="1"/>
    <col min="4" max="4" width="14.625" customWidth="1"/>
    <col min="5" max="5" width="13.5" customWidth="1"/>
    <col min="6" max="6" width="12.875" customWidth="1"/>
    <col min="7" max="7" width="12.125" customWidth="1"/>
    <col min="8" max="8" width="13.625" customWidth="1"/>
    <col min="9" max="9" width="13.75" customWidth="1"/>
    <col min="10" max="10" width="13.125" customWidth="1"/>
    <col min="11" max="11" width="14.375" customWidth="1"/>
    <col min="12" max="12" width="11.75" customWidth="1"/>
    <col min="13" max="13" width="34.875" customWidth="1"/>
  </cols>
  <sheetData>
    <row r="1" spans="1:13" ht="95.1" customHeight="1">
      <c r="A1" s="349" t="s">
        <v>556</v>
      </c>
      <c r="B1" s="496" t="s">
        <v>3974</v>
      </c>
      <c r="C1" s="377" t="s">
        <v>3975</v>
      </c>
      <c r="D1" s="508" t="s">
        <v>3976</v>
      </c>
      <c r="E1" s="497" t="s">
        <v>3977</v>
      </c>
      <c r="F1" s="509" t="s">
        <v>1376</v>
      </c>
      <c r="G1" s="2028" t="s">
        <v>3978</v>
      </c>
      <c r="H1" s="2028"/>
      <c r="I1" s="500" t="s">
        <v>237</v>
      </c>
      <c r="J1" s="1694" t="s">
        <v>3979</v>
      </c>
      <c r="K1" s="1694"/>
      <c r="L1" s="2186" t="s">
        <v>447</v>
      </c>
      <c r="M1" s="1843"/>
    </row>
    <row r="2" spans="1:13" ht="38.1" customHeight="1">
      <c r="A2" s="133" t="s">
        <v>240</v>
      </c>
      <c r="B2" s="1682" t="s">
        <v>3980</v>
      </c>
      <c r="C2" s="1682"/>
      <c r="D2" s="134" t="s">
        <v>242</v>
      </c>
      <c r="E2" s="1689"/>
      <c r="F2" s="1689"/>
      <c r="G2" s="1689"/>
      <c r="H2" s="1689"/>
      <c r="I2" s="166" t="s">
        <v>243</v>
      </c>
      <c r="J2" s="510" t="s">
        <v>3981</v>
      </c>
      <c r="K2" s="310"/>
      <c r="L2" s="166" t="s">
        <v>245</v>
      </c>
      <c r="M2" s="241" t="s">
        <v>3982</v>
      </c>
    </row>
    <row r="3" spans="1:13" ht="56.25" customHeight="1">
      <c r="A3" s="133" t="s">
        <v>247</v>
      </c>
      <c r="B3" s="1682" t="s">
        <v>3983</v>
      </c>
      <c r="C3" s="1682"/>
      <c r="D3" s="134" t="s">
        <v>249</v>
      </c>
      <c r="E3" s="136" t="s">
        <v>1811</v>
      </c>
      <c r="F3" s="134" t="s">
        <v>251</v>
      </c>
      <c r="G3" s="134" t="s">
        <v>3984</v>
      </c>
      <c r="H3" s="134" t="s">
        <v>252</v>
      </c>
      <c r="I3" s="134">
        <v>18023485595</v>
      </c>
      <c r="J3" s="15" t="s">
        <v>565</v>
      </c>
      <c r="K3" s="92" t="s">
        <v>3985</v>
      </c>
      <c r="L3" s="15" t="s">
        <v>255</v>
      </c>
      <c r="M3" s="92" t="s">
        <v>3986</v>
      </c>
    </row>
    <row r="4" spans="1:13" ht="87.95" customHeight="1">
      <c r="A4" s="133" t="s">
        <v>260</v>
      </c>
      <c r="B4" s="2080" t="s">
        <v>385</v>
      </c>
      <c r="C4" s="2080"/>
      <c r="D4" s="2080"/>
      <c r="E4" s="2080"/>
      <c r="F4" s="2080"/>
      <c r="G4" s="1697" t="s">
        <v>2368</v>
      </c>
      <c r="H4" s="1697"/>
      <c r="I4" s="1697"/>
      <c r="J4" s="1697"/>
      <c r="K4" s="1697"/>
      <c r="L4" s="1697"/>
      <c r="M4" s="1846"/>
    </row>
    <row r="5" spans="1:13" ht="48" customHeight="1">
      <c r="A5" s="1688" t="s">
        <v>3987</v>
      </c>
      <c r="B5" s="1689"/>
      <c r="C5" s="1689"/>
      <c r="D5" s="356" t="s">
        <v>570</v>
      </c>
      <c r="E5" s="2187"/>
      <c r="F5" s="2187"/>
      <c r="G5" s="2187"/>
      <c r="H5" s="2187"/>
      <c r="I5" s="356"/>
      <c r="J5" s="169"/>
      <c r="K5" s="169"/>
      <c r="L5" s="169"/>
      <c r="M5" s="264"/>
    </row>
    <row r="6" spans="1:13" ht="41.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498">
        <v>42736</v>
      </c>
      <c r="B7" s="211">
        <v>46</v>
      </c>
      <c r="C7" s="252">
        <v>15962</v>
      </c>
      <c r="D7" s="211">
        <f>B7</f>
        <v>46</v>
      </c>
      <c r="E7" s="211">
        <f>C7</f>
        <v>15962</v>
      </c>
      <c r="F7" s="211"/>
      <c r="G7" s="251"/>
      <c r="H7" s="251"/>
      <c r="I7" s="211"/>
      <c r="J7" s="211"/>
      <c r="K7" s="211"/>
      <c r="L7" s="503">
        <f t="shared" ref="L7:L12" si="0">E7-J7</f>
        <v>15962</v>
      </c>
      <c r="M7" s="504"/>
    </row>
    <row r="8" spans="1:13" ht="33" customHeight="1">
      <c r="A8" s="219">
        <v>42767</v>
      </c>
      <c r="B8" s="200">
        <v>295.5</v>
      </c>
      <c r="C8" s="181">
        <v>102538.5</v>
      </c>
      <c r="D8" s="211">
        <f t="shared" ref="D8:E12" si="1">B8+D7</f>
        <v>341.5</v>
      </c>
      <c r="E8" s="211">
        <f t="shared" si="1"/>
        <v>118500.5</v>
      </c>
      <c r="F8" s="200"/>
      <c r="G8" s="251"/>
      <c r="H8" s="180">
        <f t="shared" ref="H8:H13" si="2">C7</f>
        <v>15962</v>
      </c>
      <c r="I8" s="200"/>
      <c r="J8" s="211"/>
      <c r="K8" s="211">
        <f t="shared" ref="K8:K13" si="3">K7+H8-I8</f>
        <v>15962</v>
      </c>
      <c r="L8" s="503">
        <f t="shared" si="0"/>
        <v>118500.5</v>
      </c>
      <c r="M8" s="506"/>
    </row>
    <row r="9" spans="1:13" ht="33" customHeight="1">
      <c r="A9" s="219">
        <v>42795</v>
      </c>
      <c r="B9" s="200">
        <v>254</v>
      </c>
      <c r="C9" s="181">
        <v>88138</v>
      </c>
      <c r="D9" s="211">
        <f t="shared" si="1"/>
        <v>595.5</v>
      </c>
      <c r="E9" s="211">
        <f t="shared" si="1"/>
        <v>206638.5</v>
      </c>
      <c r="F9" s="200"/>
      <c r="G9" s="251"/>
      <c r="H9" s="180">
        <f t="shared" si="2"/>
        <v>102538.5</v>
      </c>
      <c r="I9" s="200"/>
      <c r="J9" s="211"/>
      <c r="K9" s="211">
        <f t="shared" si="3"/>
        <v>118500.5</v>
      </c>
      <c r="L9" s="503">
        <f t="shared" si="0"/>
        <v>206638.5</v>
      </c>
      <c r="M9" s="506"/>
    </row>
    <row r="10" spans="1:13" ht="33" customHeight="1">
      <c r="A10" s="219">
        <v>42856</v>
      </c>
      <c r="B10" s="200">
        <v>0</v>
      </c>
      <c r="C10" s="181">
        <v>0</v>
      </c>
      <c r="D10" s="211">
        <f t="shared" si="1"/>
        <v>595.5</v>
      </c>
      <c r="E10" s="211">
        <f t="shared" si="1"/>
        <v>206638.5</v>
      </c>
      <c r="F10" s="200"/>
      <c r="G10" s="251"/>
      <c r="H10" s="180">
        <f t="shared" si="2"/>
        <v>88138</v>
      </c>
      <c r="I10" s="200"/>
      <c r="J10" s="211"/>
      <c r="K10" s="211">
        <f t="shared" si="3"/>
        <v>206638.5</v>
      </c>
      <c r="L10" s="503">
        <f t="shared" si="0"/>
        <v>206638.5</v>
      </c>
      <c r="M10" s="506" t="s">
        <v>3988</v>
      </c>
    </row>
    <row r="11" spans="1:13" ht="33" customHeight="1">
      <c r="A11" s="219">
        <v>42887</v>
      </c>
      <c r="B11" s="200">
        <v>239.5</v>
      </c>
      <c r="C11" s="181">
        <v>79256.5</v>
      </c>
      <c r="D11" s="211">
        <f t="shared" si="1"/>
        <v>835</v>
      </c>
      <c r="E11" s="211">
        <f t="shared" si="1"/>
        <v>285895</v>
      </c>
      <c r="F11" s="200"/>
      <c r="G11" s="251"/>
      <c r="H11" s="180">
        <f t="shared" si="2"/>
        <v>0</v>
      </c>
      <c r="I11" s="200">
        <v>206638.5</v>
      </c>
      <c r="J11" s="211">
        <f>I11</f>
        <v>206638.5</v>
      </c>
      <c r="K11" s="211">
        <f t="shared" si="3"/>
        <v>0</v>
      </c>
      <c r="L11" s="503">
        <f t="shared" si="0"/>
        <v>79256.5</v>
      </c>
      <c r="M11" s="506"/>
    </row>
    <row r="12" spans="1:13" ht="33" customHeight="1">
      <c r="A12" s="219">
        <v>42948</v>
      </c>
      <c r="B12" s="200">
        <v>0</v>
      </c>
      <c r="C12" s="181">
        <v>0</v>
      </c>
      <c r="D12" s="211">
        <f t="shared" si="1"/>
        <v>835</v>
      </c>
      <c r="E12" s="211">
        <f t="shared" si="1"/>
        <v>285895</v>
      </c>
      <c r="F12" s="200"/>
      <c r="G12" s="251"/>
      <c r="H12" s="180">
        <f t="shared" si="2"/>
        <v>79256.5</v>
      </c>
      <c r="I12" s="200"/>
      <c r="J12" s="211">
        <f>I12+J11</f>
        <v>206638.5</v>
      </c>
      <c r="K12" s="211">
        <f t="shared" si="3"/>
        <v>79256.5</v>
      </c>
      <c r="L12" s="503">
        <f t="shared" si="0"/>
        <v>79256.5</v>
      </c>
      <c r="M12" s="506"/>
    </row>
    <row r="13" spans="1:13" ht="33" customHeight="1">
      <c r="A13" s="219"/>
      <c r="B13" s="200"/>
      <c r="C13" s="181"/>
      <c r="D13" s="211"/>
      <c r="E13" s="211"/>
      <c r="F13" s="200"/>
      <c r="G13" s="251"/>
      <c r="H13" s="180">
        <f t="shared" si="2"/>
        <v>0</v>
      </c>
      <c r="I13" s="200"/>
      <c r="J13" s="211"/>
      <c r="K13" s="211">
        <f t="shared" si="3"/>
        <v>79256.5</v>
      </c>
      <c r="L13" s="503"/>
      <c r="M13" s="506"/>
    </row>
    <row r="14" spans="1:13" ht="33" customHeight="1">
      <c r="A14" s="219"/>
      <c r="B14" s="200"/>
      <c r="C14" s="181"/>
      <c r="D14" s="211"/>
      <c r="E14" s="211"/>
      <c r="F14" s="200"/>
      <c r="G14" s="251"/>
      <c r="H14" s="180"/>
      <c r="I14" s="200"/>
      <c r="J14" s="211"/>
      <c r="K14" s="211"/>
      <c r="L14" s="503"/>
      <c r="M14" s="506"/>
    </row>
    <row r="15" spans="1:13" ht="33" customHeight="1">
      <c r="A15" s="219"/>
      <c r="B15" s="200"/>
      <c r="C15" s="181"/>
      <c r="D15" s="200"/>
      <c r="E15" s="200"/>
      <c r="F15" s="200"/>
      <c r="G15" s="180"/>
      <c r="H15" s="180"/>
      <c r="I15" s="200"/>
      <c r="J15" s="211"/>
      <c r="K15" s="211"/>
      <c r="L15" s="201"/>
      <c r="M15" s="506"/>
    </row>
    <row r="16" spans="1:13" ht="33" customHeight="1">
      <c r="A16" s="219"/>
      <c r="B16" s="200"/>
      <c r="C16" s="181"/>
      <c r="D16" s="200"/>
      <c r="E16" s="200"/>
      <c r="F16" s="200"/>
      <c r="G16" s="180"/>
      <c r="H16" s="180"/>
      <c r="I16" s="200"/>
      <c r="J16" s="200"/>
      <c r="K16" s="200"/>
      <c r="L16" s="201"/>
      <c r="M16" s="506"/>
    </row>
  </sheetData>
  <mergeCells count="11">
    <mergeCell ref="G1:H1"/>
    <mergeCell ref="J1:K1"/>
    <mergeCell ref="L1:M1"/>
    <mergeCell ref="B2:C2"/>
    <mergeCell ref="E2:H2"/>
    <mergeCell ref="B3:C3"/>
    <mergeCell ref="B4:F4"/>
    <mergeCell ref="G4:K4"/>
    <mergeCell ref="L4:M4"/>
    <mergeCell ref="A5:C5"/>
    <mergeCell ref="E5:H5"/>
  </mergeCells>
  <phoneticPr fontId="84" type="noConversion"/>
  <pageMargins left="0.75" right="0.75" top="1" bottom="1" header="0.51" footer="0.51"/>
  <pageSetup paperSize="9" orientation="portrait" verticalDpi="200"/>
  <headerFooter scaleWithDoc="0" alignWithMargins="0"/>
</worksheet>
</file>

<file path=xl/worksheets/sheet1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3" zoomScaleSheetLayoutView="100" workbookViewId="0">
      <selection activeCell="A17" sqref="A17"/>
    </sheetView>
  </sheetViews>
  <sheetFormatPr defaultColWidth="9" defaultRowHeight="14.25"/>
  <cols>
    <col min="1" max="1" width="17.375" customWidth="1"/>
    <col min="2" max="2" width="13.75" customWidth="1"/>
    <col min="3" max="3" width="14.125" customWidth="1"/>
    <col min="4" max="4" width="14.625" customWidth="1"/>
    <col min="5" max="5" width="13.5" customWidth="1"/>
    <col min="6" max="6" width="12.875" customWidth="1"/>
    <col min="7" max="7" width="12.125" customWidth="1"/>
    <col min="8" max="8" width="13.625" customWidth="1"/>
    <col min="9" max="9" width="13.75" customWidth="1"/>
    <col min="10" max="10" width="13.125" customWidth="1"/>
    <col min="11" max="11" width="20.625" customWidth="1"/>
    <col min="12" max="12" width="11.75" customWidth="1"/>
    <col min="13" max="13" width="34.875" customWidth="1"/>
  </cols>
  <sheetData>
    <row r="1" spans="1:13" ht="95.1" customHeight="1">
      <c r="A1" s="349" t="s">
        <v>556</v>
      </c>
      <c r="B1" s="496" t="s">
        <v>1952</v>
      </c>
      <c r="C1" s="377" t="s">
        <v>3989</v>
      </c>
      <c r="D1" s="350" t="s">
        <v>236</v>
      </c>
      <c r="E1" s="497" t="s">
        <v>1952</v>
      </c>
      <c r="F1" s="497"/>
      <c r="G1" s="2028" t="s">
        <v>3990</v>
      </c>
      <c r="H1" s="2028"/>
      <c r="I1" s="500" t="s">
        <v>237</v>
      </c>
      <c r="J1" s="1694" t="s">
        <v>3991</v>
      </c>
      <c r="K1" s="1694"/>
      <c r="L1" s="2186" t="s">
        <v>3992</v>
      </c>
      <c r="M1" s="1843"/>
    </row>
    <row r="2" spans="1:13" ht="63" customHeight="1">
      <c r="A2" s="133" t="s">
        <v>240</v>
      </c>
      <c r="B2" s="1682" t="s">
        <v>529</v>
      </c>
      <c r="C2" s="1682"/>
      <c r="D2" s="134" t="s">
        <v>242</v>
      </c>
      <c r="E2" s="2188" t="s">
        <v>3993</v>
      </c>
      <c r="F2" s="2188"/>
      <c r="G2" s="2188"/>
      <c r="H2" s="2188"/>
      <c r="I2" s="166" t="s">
        <v>425</v>
      </c>
      <c r="J2" s="2189" t="s">
        <v>3994</v>
      </c>
      <c r="K2" s="2190"/>
      <c r="L2" s="2190"/>
      <c r="M2" s="2191"/>
    </row>
    <row r="3" spans="1:13" ht="56.25" customHeight="1">
      <c r="A3" s="133" t="s">
        <v>247</v>
      </c>
      <c r="B3" s="1682" t="s">
        <v>3995</v>
      </c>
      <c r="C3" s="1682"/>
      <c r="D3" s="134" t="s">
        <v>249</v>
      </c>
      <c r="E3" s="416" t="s">
        <v>3996</v>
      </c>
      <c r="F3" s="134" t="s">
        <v>251</v>
      </c>
      <c r="G3" s="134" t="s">
        <v>3113</v>
      </c>
      <c r="H3" s="134">
        <v>13715554959</v>
      </c>
      <c r="I3" s="166" t="s">
        <v>243</v>
      </c>
      <c r="J3" s="2192" t="s">
        <v>421</v>
      </c>
      <c r="K3" s="2193"/>
      <c r="L3" s="166" t="s">
        <v>245</v>
      </c>
      <c r="M3" s="501" t="s">
        <v>3997</v>
      </c>
    </row>
    <row r="4" spans="1:13" ht="87.95" customHeight="1">
      <c r="A4" s="133" t="s">
        <v>260</v>
      </c>
      <c r="B4" s="2080" t="s">
        <v>3998</v>
      </c>
      <c r="C4" s="2080"/>
      <c r="D4" s="2080"/>
      <c r="E4" s="2080"/>
      <c r="F4" s="2080"/>
      <c r="G4" s="1698" t="s">
        <v>3999</v>
      </c>
      <c r="H4" s="1699"/>
      <c r="I4" s="1700"/>
      <c r="J4" s="15" t="s">
        <v>565</v>
      </c>
      <c r="K4" s="502" t="s">
        <v>4000</v>
      </c>
      <c r="L4" s="15" t="s">
        <v>255</v>
      </c>
      <c r="M4" s="92" t="s">
        <v>4001</v>
      </c>
    </row>
    <row r="5" spans="1:13" ht="48" customHeight="1">
      <c r="A5" s="1688" t="s">
        <v>660</v>
      </c>
      <c r="B5" s="1689"/>
      <c r="C5" s="1689"/>
      <c r="D5" s="356" t="s">
        <v>570</v>
      </c>
      <c r="E5" s="2187"/>
      <c r="F5" s="2187"/>
      <c r="G5" s="2187"/>
      <c r="H5" s="2187"/>
      <c r="I5" s="356"/>
      <c r="J5" s="169"/>
      <c r="K5" s="169"/>
      <c r="L5" s="169"/>
      <c r="M5" s="264"/>
    </row>
    <row r="6" spans="1:13" ht="41.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498">
        <v>42736</v>
      </c>
      <c r="B7" s="211">
        <v>441</v>
      </c>
      <c r="C7" s="252">
        <v>131315.34</v>
      </c>
      <c r="D7" s="211">
        <f>B7</f>
        <v>441</v>
      </c>
      <c r="E7" s="211">
        <f>C7</f>
        <v>131315.34</v>
      </c>
      <c r="F7" s="211"/>
      <c r="G7" s="499">
        <f>E7*0.05</f>
        <v>6565.7669999999998</v>
      </c>
      <c r="H7" s="251"/>
      <c r="I7" s="211"/>
      <c r="J7" s="211"/>
      <c r="K7" s="211"/>
      <c r="L7" s="503">
        <f t="shared" ref="L7:L16" si="0">E7-J7</f>
        <v>131315.34</v>
      </c>
      <c r="M7" s="504"/>
    </row>
    <row r="8" spans="1:13" ht="33" customHeight="1">
      <c r="A8" s="219">
        <v>42767</v>
      </c>
      <c r="B8" s="200">
        <v>44</v>
      </c>
      <c r="C8" s="181">
        <v>13042.76</v>
      </c>
      <c r="D8" s="211">
        <f t="shared" ref="D8:D16" si="1">B8+D7</f>
        <v>485</v>
      </c>
      <c r="E8" s="211">
        <f t="shared" ref="E8:E16" si="2">C8+E7</f>
        <v>144358.1</v>
      </c>
      <c r="F8" s="200"/>
      <c r="G8" s="499">
        <f t="shared" ref="G8:G16" si="3">E8*0.05</f>
        <v>7217.9050000000007</v>
      </c>
      <c r="H8" s="224">
        <f t="shared" ref="H8:H17" si="4">C7*0.95</f>
        <v>124749.57299999999</v>
      </c>
      <c r="I8" s="200"/>
      <c r="J8" s="211"/>
      <c r="K8" s="505">
        <f t="shared" ref="K8:K17" si="5">K7+H8-I8</f>
        <v>124749.57299999999</v>
      </c>
      <c r="L8" s="503">
        <f t="shared" si="0"/>
        <v>144358.1</v>
      </c>
      <c r="M8" s="506"/>
    </row>
    <row r="9" spans="1:13" ht="33" customHeight="1">
      <c r="A9" s="219">
        <v>42795</v>
      </c>
      <c r="B9" s="200">
        <v>2022.5</v>
      </c>
      <c r="C9" s="181">
        <v>613439.05000000005</v>
      </c>
      <c r="D9" s="211">
        <f t="shared" si="1"/>
        <v>2507.5</v>
      </c>
      <c r="E9" s="211">
        <f t="shared" si="2"/>
        <v>757797.15</v>
      </c>
      <c r="F9" s="200"/>
      <c r="G9" s="499">
        <f t="shared" si="3"/>
        <v>37889.857500000006</v>
      </c>
      <c r="H9" s="224">
        <f t="shared" si="4"/>
        <v>12390.621999999999</v>
      </c>
      <c r="I9" s="200"/>
      <c r="J9" s="211">
        <f>J8+I9</f>
        <v>0</v>
      </c>
      <c r="K9" s="505">
        <f t="shared" si="5"/>
        <v>137140.19499999998</v>
      </c>
      <c r="L9" s="503">
        <f t="shared" si="0"/>
        <v>757797.15</v>
      </c>
      <c r="M9" s="506"/>
    </row>
    <row r="10" spans="1:13" ht="33" customHeight="1">
      <c r="A10" s="219" t="s">
        <v>2694</v>
      </c>
      <c r="B10" s="200"/>
      <c r="C10" s="181">
        <v>-38886.17</v>
      </c>
      <c r="D10" s="211">
        <f t="shared" si="1"/>
        <v>2507.5</v>
      </c>
      <c r="E10" s="211">
        <f t="shared" si="2"/>
        <v>718910.98</v>
      </c>
      <c r="F10" s="200"/>
      <c r="G10" s="499">
        <f t="shared" si="3"/>
        <v>35945.548999999999</v>
      </c>
      <c r="H10" s="224">
        <f t="shared" si="4"/>
        <v>582767.09750000003</v>
      </c>
      <c r="I10" s="200"/>
      <c r="J10" s="211"/>
      <c r="K10" s="505">
        <f t="shared" si="5"/>
        <v>719907.29249999998</v>
      </c>
      <c r="L10" s="503">
        <f t="shared" si="0"/>
        <v>718910.98</v>
      </c>
      <c r="M10" s="506"/>
    </row>
    <row r="11" spans="1:13" ht="33" customHeight="1">
      <c r="A11" s="219">
        <v>42826</v>
      </c>
      <c r="B11" s="200">
        <v>4644</v>
      </c>
      <c r="C11" s="181">
        <v>1459751.24</v>
      </c>
      <c r="D11" s="211">
        <f t="shared" si="1"/>
        <v>7151.5</v>
      </c>
      <c r="E11" s="211">
        <f t="shared" si="2"/>
        <v>2178662.2199999997</v>
      </c>
      <c r="F11" s="200"/>
      <c r="G11" s="499">
        <f t="shared" si="3"/>
        <v>108933.11099999999</v>
      </c>
      <c r="H11" s="224">
        <f t="shared" si="4"/>
        <v>-36941.861499999999</v>
      </c>
      <c r="I11" s="200">
        <f>757797.15+1498096</f>
        <v>2255893.15</v>
      </c>
      <c r="J11" s="211">
        <f>I11</f>
        <v>2255893.15</v>
      </c>
      <c r="K11" s="505">
        <f t="shared" si="5"/>
        <v>-1572927.719</v>
      </c>
      <c r="L11" s="503">
        <f t="shared" si="0"/>
        <v>-77230.930000000168</v>
      </c>
      <c r="M11" s="506" t="s">
        <v>4002</v>
      </c>
    </row>
    <row r="12" spans="1:13" ht="33" customHeight="1">
      <c r="A12" s="219">
        <v>42856</v>
      </c>
      <c r="B12" s="200">
        <v>6646</v>
      </c>
      <c r="C12" s="181">
        <v>2069246.26</v>
      </c>
      <c r="D12" s="211">
        <f t="shared" si="1"/>
        <v>13797.5</v>
      </c>
      <c r="E12" s="211">
        <f t="shared" si="2"/>
        <v>4247908.4799999995</v>
      </c>
      <c r="F12" s="200"/>
      <c r="G12" s="499">
        <f t="shared" si="3"/>
        <v>212395.424</v>
      </c>
      <c r="H12" s="224">
        <f t="shared" si="4"/>
        <v>1386763.6779999998</v>
      </c>
      <c r="I12" s="200"/>
      <c r="J12" s="211">
        <f>I12+J11</f>
        <v>2255893.15</v>
      </c>
      <c r="K12" s="505">
        <f t="shared" si="5"/>
        <v>-186164.0410000002</v>
      </c>
      <c r="L12" s="503">
        <f t="shared" si="0"/>
        <v>1992015.3299999996</v>
      </c>
      <c r="M12" s="506" t="s">
        <v>4003</v>
      </c>
    </row>
    <row r="13" spans="1:13" ht="33" customHeight="1">
      <c r="A13" s="219">
        <v>42887</v>
      </c>
      <c r="B13" s="200">
        <v>1352</v>
      </c>
      <c r="C13" s="181">
        <v>410691.12</v>
      </c>
      <c r="D13" s="211">
        <f t="shared" si="1"/>
        <v>15149.5</v>
      </c>
      <c r="E13" s="211">
        <f t="shared" si="2"/>
        <v>4658599.5999999996</v>
      </c>
      <c r="F13" s="200"/>
      <c r="G13" s="499">
        <f t="shared" si="3"/>
        <v>232929.97999999998</v>
      </c>
      <c r="H13" s="224">
        <f t="shared" si="4"/>
        <v>1965783.9469999999</v>
      </c>
      <c r="I13" s="200">
        <f>1936568.08+1069246.26</f>
        <v>3005814.34</v>
      </c>
      <c r="J13" s="211">
        <f>I13+J12</f>
        <v>5261707.49</v>
      </c>
      <c r="K13" s="505">
        <f t="shared" si="5"/>
        <v>-1226194.4340000001</v>
      </c>
      <c r="L13" s="503">
        <f t="shared" si="0"/>
        <v>-603107.8900000006</v>
      </c>
      <c r="M13" s="507" t="s">
        <v>4004</v>
      </c>
    </row>
    <row r="14" spans="1:13" ht="33" customHeight="1">
      <c r="A14" s="219">
        <v>42917</v>
      </c>
      <c r="B14" s="200">
        <v>97</v>
      </c>
      <c r="C14" s="181">
        <v>28742.07</v>
      </c>
      <c r="D14" s="211">
        <f t="shared" si="1"/>
        <v>15246.5</v>
      </c>
      <c r="E14" s="211">
        <f t="shared" si="2"/>
        <v>4687341.67</v>
      </c>
      <c r="F14" s="200"/>
      <c r="G14" s="499">
        <f t="shared" si="3"/>
        <v>234367.08350000001</v>
      </c>
      <c r="H14" s="224">
        <f t="shared" si="4"/>
        <v>390156.56399999995</v>
      </c>
      <c r="I14" s="200">
        <v>410691.12</v>
      </c>
      <c r="J14" s="211">
        <f>I14+J13</f>
        <v>5672398.6100000003</v>
      </c>
      <c r="K14" s="505">
        <f t="shared" si="5"/>
        <v>-1246728.9900000002</v>
      </c>
      <c r="L14" s="503">
        <f t="shared" si="0"/>
        <v>-985056.94000000041</v>
      </c>
      <c r="M14" s="507" t="s">
        <v>4005</v>
      </c>
    </row>
    <row r="15" spans="1:13" ht="33" customHeight="1">
      <c r="A15" s="219" t="s">
        <v>687</v>
      </c>
      <c r="B15" s="200"/>
      <c r="C15" s="181">
        <f>(-22643.6)+(-116371.46)+(-81275.02)</f>
        <v>-220290.08000000002</v>
      </c>
      <c r="D15" s="211">
        <f t="shared" si="1"/>
        <v>15246.5</v>
      </c>
      <c r="E15" s="211">
        <f t="shared" si="2"/>
        <v>4467051.59</v>
      </c>
      <c r="F15" s="200"/>
      <c r="G15" s="499">
        <f t="shared" si="3"/>
        <v>223352.57949999999</v>
      </c>
      <c r="H15" s="224">
        <f t="shared" si="4"/>
        <v>27304.966499999999</v>
      </c>
      <c r="I15" s="200"/>
      <c r="J15" s="211">
        <f>I15+J14</f>
        <v>5672398.6100000003</v>
      </c>
      <c r="K15" s="505">
        <f t="shared" si="5"/>
        <v>-1219424.0235000001</v>
      </c>
      <c r="L15" s="503">
        <f t="shared" si="0"/>
        <v>-1205347.0200000005</v>
      </c>
      <c r="M15" s="506"/>
    </row>
    <row r="16" spans="1:13" ht="33" customHeight="1">
      <c r="A16" s="219">
        <v>42948</v>
      </c>
      <c r="B16" s="200">
        <v>119.5</v>
      </c>
      <c r="C16" s="181">
        <v>34556.67</v>
      </c>
      <c r="D16" s="211">
        <f t="shared" si="1"/>
        <v>15366</v>
      </c>
      <c r="E16" s="211">
        <f t="shared" si="2"/>
        <v>4501608.26</v>
      </c>
      <c r="F16" s="200"/>
      <c r="G16" s="499">
        <f t="shared" si="3"/>
        <v>225080.413</v>
      </c>
      <c r="H16" s="224">
        <f t="shared" si="4"/>
        <v>-209275.576</v>
      </c>
      <c r="I16" s="200">
        <v>28742.7</v>
      </c>
      <c r="J16" s="211">
        <f>I16+J15</f>
        <v>5701141.3100000005</v>
      </c>
      <c r="K16" s="505">
        <f t="shared" si="5"/>
        <v>-1457442.2995</v>
      </c>
      <c r="L16" s="503">
        <f t="shared" si="0"/>
        <v>-1199533.0500000007</v>
      </c>
      <c r="M16" s="506" t="s">
        <v>4006</v>
      </c>
    </row>
    <row r="17" spans="1:13" ht="33" customHeight="1">
      <c r="A17" s="219"/>
      <c r="B17" s="200"/>
      <c r="C17" s="181"/>
      <c r="D17" s="211"/>
      <c r="E17" s="211"/>
      <c r="F17" s="200"/>
      <c r="G17" s="180"/>
      <c r="H17" s="224">
        <f t="shared" si="4"/>
        <v>32828.836499999998</v>
      </c>
      <c r="I17" s="200"/>
      <c r="J17" s="211"/>
      <c r="K17" s="505">
        <f t="shared" si="5"/>
        <v>-1424613.463</v>
      </c>
      <c r="L17" s="201"/>
      <c r="M17" s="506"/>
    </row>
    <row r="18" spans="1:13" ht="33" customHeight="1">
      <c r="A18" s="219"/>
      <c r="B18" s="200"/>
      <c r="C18" s="181"/>
      <c r="D18" s="200"/>
      <c r="E18" s="200"/>
      <c r="F18" s="200"/>
      <c r="G18" s="180"/>
      <c r="H18" s="224"/>
      <c r="I18" s="200"/>
      <c r="J18" s="200"/>
      <c r="K18" s="200"/>
      <c r="L18" s="201"/>
      <c r="M18" s="506"/>
    </row>
  </sheetData>
  <mergeCells count="12">
    <mergeCell ref="B3:C3"/>
    <mergeCell ref="J3:K3"/>
    <mergeCell ref="B4:F4"/>
    <mergeCell ref="G4:I4"/>
    <mergeCell ref="A5:C5"/>
    <mergeCell ref="E5:H5"/>
    <mergeCell ref="G1:H1"/>
    <mergeCell ref="J1:K1"/>
    <mergeCell ref="L1:M1"/>
    <mergeCell ref="B2:C2"/>
    <mergeCell ref="E2:H2"/>
    <mergeCell ref="J2:M2"/>
  </mergeCells>
  <phoneticPr fontId="84" type="noConversion"/>
  <pageMargins left="0.75" right="0.75" top="1" bottom="1" header="0.51" footer="0.51"/>
  <pageSetup paperSize="9" orientation="portrait" verticalDpi="200"/>
  <headerFooter scaleWithDoc="0"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5"/>
  <sheetViews>
    <sheetView view="pageBreakPreview" topLeftCell="A19" zoomScaleNormal="100" workbookViewId="0">
      <selection activeCell="B28" sqref="B28:M28"/>
    </sheetView>
  </sheetViews>
  <sheetFormatPr defaultColWidth="9" defaultRowHeight="14.25"/>
  <cols>
    <col min="1" max="1" width="17.125" customWidth="1"/>
    <col min="2" max="2" width="14.5" customWidth="1"/>
    <col min="3" max="3" width="14.75" customWidth="1"/>
    <col min="4" max="4" width="12" customWidth="1"/>
    <col min="5" max="5" width="14.375" customWidth="1"/>
    <col min="6" max="6" width="13.25" customWidth="1"/>
    <col min="7" max="8" width="11.5" customWidth="1"/>
    <col min="9" max="9" width="15.5" customWidth="1"/>
    <col min="10" max="10" width="14.75" customWidth="1"/>
    <col min="11" max="11" width="11.5" customWidth="1"/>
    <col min="12" max="12" width="15.125" customWidth="1"/>
    <col min="13" max="13" width="38.375" customWidth="1"/>
    <col min="16" max="16" width="10.125" customWidth="1"/>
    <col min="17" max="19" width="15.25" customWidth="1"/>
    <col min="21" max="23" width="11.625" customWidth="1"/>
  </cols>
  <sheetData>
    <row r="1" spans="1:23" ht="93" customHeight="1">
      <c r="A1" s="1709" t="s">
        <v>556</v>
      </c>
      <c r="B1" s="1711" t="s">
        <v>634</v>
      </c>
      <c r="C1" s="1713" t="s">
        <v>635</v>
      </c>
      <c r="D1" s="1715" t="s">
        <v>236</v>
      </c>
      <c r="E1" s="1718">
        <v>2016.1</v>
      </c>
      <c r="F1" s="1719"/>
      <c r="G1" s="1722" t="s">
        <v>636</v>
      </c>
      <c r="H1" s="1723"/>
      <c r="I1" s="164" t="s">
        <v>237</v>
      </c>
      <c r="J1" s="1701" t="s">
        <v>637</v>
      </c>
      <c r="K1" s="1701"/>
      <c r="L1" s="1701"/>
      <c r="M1" s="221" t="s">
        <v>638</v>
      </c>
      <c r="P1" s="1426" t="s">
        <v>639</v>
      </c>
      <c r="Q1" s="1426" t="s">
        <v>640</v>
      </c>
      <c r="R1" s="1426" t="s">
        <v>252</v>
      </c>
      <c r="S1" s="1427" t="s">
        <v>641</v>
      </c>
    </row>
    <row r="2" spans="1:23" ht="57.95" customHeight="1">
      <c r="A2" s="1710"/>
      <c r="B2" s="1712"/>
      <c r="C2" s="1714"/>
      <c r="D2" s="1716"/>
      <c r="E2" s="1720"/>
      <c r="F2" s="1721"/>
      <c r="G2" s="1724"/>
      <c r="H2" s="1725"/>
      <c r="I2" s="306" t="s">
        <v>425</v>
      </c>
      <c r="J2" s="1702" t="s">
        <v>642</v>
      </c>
      <c r="K2" s="1703"/>
      <c r="L2" s="1703"/>
      <c r="M2" s="1704"/>
      <c r="P2" s="1243"/>
      <c r="Q2" s="1243"/>
      <c r="R2" s="1243"/>
      <c r="S2" s="1428"/>
      <c r="U2" s="1717" t="s">
        <v>643</v>
      </c>
      <c r="V2" s="271">
        <v>886826.81</v>
      </c>
      <c r="W2" s="1646" t="s">
        <v>644</v>
      </c>
    </row>
    <row r="3" spans="1:23" ht="62.1" customHeight="1">
      <c r="A3" s="133" t="s">
        <v>240</v>
      </c>
      <c r="B3" s="1682" t="s">
        <v>645</v>
      </c>
      <c r="C3" s="1682"/>
      <c r="D3" s="134" t="s">
        <v>242</v>
      </c>
      <c r="E3" s="1705" t="s">
        <v>646</v>
      </c>
      <c r="F3" s="1706"/>
      <c r="G3" s="1706"/>
      <c r="H3" s="1706"/>
      <c r="I3" s="166" t="s">
        <v>243</v>
      </c>
      <c r="J3" s="1707" t="s">
        <v>421</v>
      </c>
      <c r="K3" s="1708"/>
      <c r="L3" s="166" t="s">
        <v>245</v>
      </c>
      <c r="M3" s="501" t="s">
        <v>647</v>
      </c>
      <c r="P3" s="291" t="s">
        <v>648</v>
      </c>
      <c r="Q3" s="291" t="s">
        <v>649</v>
      </c>
      <c r="R3" s="61">
        <v>13502853385</v>
      </c>
      <c r="S3" s="1428"/>
      <c r="U3" s="1717"/>
      <c r="V3" s="271">
        <v>832480.95</v>
      </c>
      <c r="W3" s="1646"/>
    </row>
    <row r="4" spans="1:23" ht="50.1" customHeight="1">
      <c r="A4" s="133" t="s">
        <v>247</v>
      </c>
      <c r="B4" s="1682" t="s">
        <v>650</v>
      </c>
      <c r="C4" s="1682"/>
      <c r="D4" s="134" t="s">
        <v>249</v>
      </c>
      <c r="E4" s="136" t="s">
        <v>651</v>
      </c>
      <c r="F4" s="134" t="s">
        <v>251</v>
      </c>
      <c r="G4" s="196" t="s">
        <v>652</v>
      </c>
      <c r="H4" s="134" t="s">
        <v>252</v>
      </c>
      <c r="I4" s="206" t="s">
        <v>653</v>
      </c>
      <c r="J4" s="41" t="s">
        <v>565</v>
      </c>
      <c r="K4" s="15"/>
      <c r="L4" s="15" t="s">
        <v>255</v>
      </c>
      <c r="M4" s="207" t="s">
        <v>654</v>
      </c>
      <c r="P4" s="61" t="s">
        <v>655</v>
      </c>
      <c r="Q4" s="61" t="s">
        <v>656</v>
      </c>
      <c r="R4" s="61">
        <v>13076820231</v>
      </c>
      <c r="S4" s="1428"/>
      <c r="U4" s="1717"/>
      <c r="V4" s="271">
        <v>855275.47</v>
      </c>
      <c r="W4" s="1646"/>
    </row>
    <row r="5" spans="1:23" ht="90" customHeight="1">
      <c r="A5" s="133" t="s">
        <v>260</v>
      </c>
      <c r="B5" s="1726" t="s">
        <v>657</v>
      </c>
      <c r="C5" s="1726"/>
      <c r="D5" s="1726"/>
      <c r="E5" s="1726"/>
      <c r="F5" s="1727"/>
      <c r="G5" s="1727"/>
      <c r="H5" s="1727"/>
      <c r="I5" s="1727"/>
      <c r="J5" s="1697"/>
      <c r="K5" s="1697"/>
      <c r="L5" s="1697"/>
      <c r="M5" s="170"/>
      <c r="P5" s="1243" t="s">
        <v>658</v>
      </c>
      <c r="Q5" s="1243" t="s">
        <v>659</v>
      </c>
      <c r="R5" s="1243">
        <v>18720202439</v>
      </c>
      <c r="S5" s="1428"/>
      <c r="U5" s="1717"/>
      <c r="V5" s="271">
        <v>973477.03</v>
      </c>
      <c r="W5" s="1646"/>
    </row>
    <row r="6" spans="1:23" ht="57" customHeight="1">
      <c r="A6" s="1688" t="s">
        <v>660</v>
      </c>
      <c r="B6" s="1689"/>
      <c r="C6" s="1689"/>
      <c r="D6" s="1690"/>
      <c r="E6" s="1690"/>
      <c r="F6" s="1690"/>
      <c r="G6" s="1690"/>
      <c r="H6" s="1690"/>
      <c r="I6" s="1690"/>
      <c r="J6" s="1698"/>
      <c r="K6" s="1699"/>
      <c r="L6" s="1700"/>
      <c r="M6" s="264"/>
      <c r="P6" s="61" t="s">
        <v>661</v>
      </c>
      <c r="Q6" s="61" t="s">
        <v>662</v>
      </c>
      <c r="R6" s="61">
        <v>13760273768</v>
      </c>
      <c r="S6" s="1428"/>
      <c r="U6" s="271" t="s">
        <v>663</v>
      </c>
      <c r="V6" s="271">
        <f>SUM(V2:V5)</f>
        <v>3548060.26</v>
      </c>
      <c r="W6" s="285"/>
    </row>
    <row r="7" spans="1:23" ht="51"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c r="P7" s="61" t="s">
        <v>661</v>
      </c>
      <c r="Q7" s="61" t="s">
        <v>662</v>
      </c>
      <c r="R7" s="61">
        <v>15919866211</v>
      </c>
      <c r="S7" s="1428"/>
      <c r="U7" s="1717" t="s">
        <v>664</v>
      </c>
      <c r="V7" s="1429">
        <v>11124.96</v>
      </c>
      <c r="W7" s="1717" t="s">
        <v>665</v>
      </c>
    </row>
    <row r="8" spans="1:23" ht="27.95" customHeight="1">
      <c r="A8" s="275">
        <v>42370</v>
      </c>
      <c r="B8" s="259">
        <v>127</v>
      </c>
      <c r="C8" s="181">
        <v>31356.21</v>
      </c>
      <c r="D8" s="294">
        <f>+B8</f>
        <v>127</v>
      </c>
      <c r="E8" s="294">
        <f>C8</f>
        <v>31356.21</v>
      </c>
      <c r="F8" s="262">
        <f t="shared" ref="F8:F26" si="0">50000-D8</f>
        <v>49873</v>
      </c>
      <c r="G8" s="260">
        <f>E8</f>
        <v>31356.21</v>
      </c>
      <c r="H8" s="181"/>
      <c r="I8" s="262"/>
      <c r="J8" s="262"/>
      <c r="K8" s="181"/>
      <c r="L8" s="200">
        <f t="shared" ref="L8:L26" si="1">E8-J8</f>
        <v>31356.21</v>
      </c>
      <c r="M8" s="262"/>
      <c r="P8" s="61" t="s">
        <v>666</v>
      </c>
      <c r="Q8" s="61" t="s">
        <v>667</v>
      </c>
      <c r="R8" s="61">
        <v>15102087157</v>
      </c>
      <c r="S8" s="1428"/>
      <c r="U8" s="1717"/>
      <c r="V8" s="1430">
        <v>101155.74</v>
      </c>
      <c r="W8" s="1717"/>
    </row>
    <row r="9" spans="1:23" ht="27.95" customHeight="1">
      <c r="A9" s="275">
        <v>42401</v>
      </c>
      <c r="B9" s="262">
        <v>65</v>
      </c>
      <c r="C9" s="262">
        <v>15611.05</v>
      </c>
      <c r="D9" s="294">
        <f>D8+B9</f>
        <v>192</v>
      </c>
      <c r="E9" s="294">
        <f>E8+C9</f>
        <v>46967.259999999995</v>
      </c>
      <c r="F9" s="262">
        <f t="shared" si="0"/>
        <v>49808</v>
      </c>
      <c r="G9" s="260">
        <f>E9</f>
        <v>46967.259999999995</v>
      </c>
      <c r="H9" s="181"/>
      <c r="I9" s="262"/>
      <c r="J9" s="262"/>
      <c r="K9" s="181"/>
      <c r="L9" s="200">
        <f t="shared" si="1"/>
        <v>46967.259999999995</v>
      </c>
      <c r="M9" s="262"/>
      <c r="P9" s="1243" t="s">
        <v>668</v>
      </c>
      <c r="Q9" s="1243" t="s">
        <v>669</v>
      </c>
      <c r="R9" s="1243">
        <v>18665200819</v>
      </c>
      <c r="S9" s="1428"/>
      <c r="U9" s="1717"/>
      <c r="V9" s="1431">
        <v>639091.06000000006</v>
      </c>
      <c r="W9" s="1717" t="s">
        <v>670</v>
      </c>
    </row>
    <row r="10" spans="1:23" ht="27.95" customHeight="1">
      <c r="A10" s="258">
        <v>42430</v>
      </c>
      <c r="B10" s="262">
        <v>2011</v>
      </c>
      <c r="C10" s="262">
        <v>519751.11</v>
      </c>
      <c r="D10" s="294">
        <f t="shared" ref="D10:D26" si="2">D9+B10</f>
        <v>2203</v>
      </c>
      <c r="E10" s="294">
        <f t="shared" ref="E10:E26" si="3">E9+C10</f>
        <v>566718.37</v>
      </c>
      <c r="F10" s="262">
        <f t="shared" si="0"/>
        <v>47797</v>
      </c>
      <c r="G10" s="260">
        <f>E10</f>
        <v>566718.37</v>
      </c>
      <c r="H10" s="181"/>
      <c r="I10" s="262"/>
      <c r="J10" s="262"/>
      <c r="K10" s="181"/>
      <c r="L10" s="200">
        <f t="shared" si="1"/>
        <v>566718.37</v>
      </c>
      <c r="M10" s="262"/>
      <c r="P10" s="1243"/>
      <c r="Q10" s="1243"/>
      <c r="R10" s="1243"/>
      <c r="S10" s="1428"/>
      <c r="U10" s="1717"/>
      <c r="V10" s="1431">
        <v>730213.08</v>
      </c>
      <c r="W10" s="1717"/>
    </row>
    <row r="11" spans="1:23" ht="27.95" customHeight="1">
      <c r="A11" s="258">
        <v>42461</v>
      </c>
      <c r="B11" s="262">
        <v>2895</v>
      </c>
      <c r="C11" s="262">
        <v>775762.14</v>
      </c>
      <c r="D11" s="294">
        <f t="shared" si="2"/>
        <v>5098</v>
      </c>
      <c r="E11" s="294">
        <f t="shared" si="3"/>
        <v>1342480.51</v>
      </c>
      <c r="F11" s="262">
        <f t="shared" si="0"/>
        <v>44902</v>
      </c>
      <c r="G11" s="260">
        <f>E11</f>
        <v>1342480.51</v>
      </c>
      <c r="H11" s="181"/>
      <c r="I11" s="262"/>
      <c r="J11" s="262"/>
      <c r="K11" s="181"/>
      <c r="L11" s="200">
        <f t="shared" si="1"/>
        <v>1342480.51</v>
      </c>
      <c r="M11" s="262"/>
      <c r="P11" s="1243"/>
      <c r="Q11" s="1243"/>
      <c r="R11" s="1243"/>
      <c r="S11" s="1428"/>
      <c r="U11" s="1717"/>
      <c r="V11" s="1432">
        <v>346328.68</v>
      </c>
      <c r="W11" s="1717" t="s">
        <v>671</v>
      </c>
    </row>
    <row r="12" spans="1:23" ht="27.95" customHeight="1">
      <c r="A12" s="258">
        <v>42644</v>
      </c>
      <c r="B12" s="262">
        <v>7761</v>
      </c>
      <c r="C12" s="262">
        <v>2194454.79</v>
      </c>
      <c r="D12" s="294">
        <f t="shared" si="2"/>
        <v>12859</v>
      </c>
      <c r="E12" s="294">
        <f t="shared" si="3"/>
        <v>3536935.3</v>
      </c>
      <c r="F12" s="262">
        <f t="shared" si="0"/>
        <v>37141</v>
      </c>
      <c r="G12" s="260">
        <f>E12</f>
        <v>3536935.3</v>
      </c>
      <c r="H12" s="294"/>
      <c r="I12" s="262"/>
      <c r="J12" s="262"/>
      <c r="K12" s="181"/>
      <c r="L12" s="200">
        <f t="shared" si="1"/>
        <v>3536935.3</v>
      </c>
      <c r="M12" s="262"/>
      <c r="P12" s="1243"/>
      <c r="Q12" s="1243"/>
      <c r="R12" s="1243"/>
      <c r="S12" s="1428"/>
      <c r="U12" s="1717"/>
      <c r="V12" s="1432">
        <v>120042.97</v>
      </c>
      <c r="W12" s="1717"/>
    </row>
    <row r="13" spans="1:23" ht="27.95" customHeight="1">
      <c r="A13" s="258" t="s">
        <v>672</v>
      </c>
      <c r="B13" s="262"/>
      <c r="C13" s="262">
        <v>11124.96</v>
      </c>
      <c r="D13" s="294">
        <f t="shared" si="2"/>
        <v>12859</v>
      </c>
      <c r="E13" s="294">
        <f t="shared" si="3"/>
        <v>3548060.26</v>
      </c>
      <c r="F13" s="262">
        <f t="shared" si="0"/>
        <v>37141</v>
      </c>
      <c r="G13" s="260">
        <f>E13*0.3</f>
        <v>1064418.078</v>
      </c>
      <c r="H13" s="294"/>
      <c r="I13" s="262"/>
      <c r="J13" s="262"/>
      <c r="K13" s="181">
        <f>K12+H13-I13</f>
        <v>0</v>
      </c>
      <c r="L13" s="200">
        <f t="shared" si="1"/>
        <v>3548060.26</v>
      </c>
      <c r="M13" s="262"/>
      <c r="P13" s="1243"/>
      <c r="Q13" s="1243"/>
      <c r="R13" s="1243"/>
      <c r="S13" s="1428"/>
      <c r="U13" s="1717"/>
      <c r="V13" s="1433">
        <v>122903.81</v>
      </c>
      <c r="W13" s="1717" t="s">
        <v>673</v>
      </c>
    </row>
    <row r="14" spans="1:23" ht="27.95" customHeight="1">
      <c r="A14" s="258">
        <v>42675</v>
      </c>
      <c r="B14" s="262">
        <v>4813.5</v>
      </c>
      <c r="C14" s="1419">
        <v>1369304.135</v>
      </c>
      <c r="D14" s="294">
        <f t="shared" si="2"/>
        <v>17672.5</v>
      </c>
      <c r="E14" s="294">
        <f t="shared" si="3"/>
        <v>4917364.3949999996</v>
      </c>
      <c r="F14" s="262">
        <f t="shared" si="0"/>
        <v>32327.5</v>
      </c>
      <c r="G14" s="260">
        <f>E14*0.3</f>
        <v>1475209.3184999998</v>
      </c>
      <c r="H14" s="181">
        <f>E13*0.7</f>
        <v>2483642.1819999996</v>
      </c>
      <c r="I14" s="262"/>
      <c r="J14" s="262"/>
      <c r="K14" s="181">
        <f>K13+H14-I14</f>
        <v>2483642.1819999996</v>
      </c>
      <c r="L14" s="200">
        <f t="shared" si="1"/>
        <v>4917364.3949999996</v>
      </c>
      <c r="M14" s="262" t="s">
        <v>674</v>
      </c>
      <c r="P14" s="1243"/>
      <c r="Q14" s="1243"/>
      <c r="R14" s="1243"/>
      <c r="S14" s="1428"/>
      <c r="U14" s="1717"/>
      <c r="V14" s="1433">
        <v>176259.75</v>
      </c>
      <c r="W14" s="1717"/>
    </row>
    <row r="15" spans="1:23" ht="27.95" customHeight="1">
      <c r="A15" s="258">
        <v>42705</v>
      </c>
      <c r="B15" s="262">
        <v>1669</v>
      </c>
      <c r="C15" s="534">
        <v>466371.65</v>
      </c>
      <c r="D15" s="294">
        <f t="shared" si="2"/>
        <v>19341.5</v>
      </c>
      <c r="E15" s="294">
        <f t="shared" si="3"/>
        <v>5383736.0449999999</v>
      </c>
      <c r="F15" s="262">
        <f t="shared" si="0"/>
        <v>30658.5</v>
      </c>
      <c r="G15" s="260">
        <f t="shared" ref="G15:G25" si="4">E15*0.3</f>
        <v>1615120.8134999999</v>
      </c>
      <c r="H15" s="181">
        <f>C14*0.7</f>
        <v>958512.89449999994</v>
      </c>
      <c r="I15" s="262"/>
      <c r="J15" s="262"/>
      <c r="K15" s="181">
        <f t="shared" ref="K15:K27" si="5">K14+H15-I15</f>
        <v>3442155.0764999995</v>
      </c>
      <c r="L15" s="200">
        <f t="shared" si="1"/>
        <v>5383736.0449999999</v>
      </c>
      <c r="M15" s="262" t="s">
        <v>675</v>
      </c>
      <c r="P15" s="1243"/>
      <c r="Q15" s="1243"/>
      <c r="R15" s="1243"/>
      <c r="S15" s="1428"/>
      <c r="U15" s="1717"/>
      <c r="V15" s="1434">
        <v>215057.8</v>
      </c>
      <c r="W15" s="1717" t="s">
        <v>676</v>
      </c>
    </row>
    <row r="16" spans="1:23" ht="27.95" customHeight="1">
      <c r="A16" s="258">
        <v>42736</v>
      </c>
      <c r="B16" s="262">
        <v>1079</v>
      </c>
      <c r="C16" s="534">
        <v>299163.56</v>
      </c>
      <c r="D16" s="294">
        <f t="shared" si="2"/>
        <v>20420.5</v>
      </c>
      <c r="E16" s="294">
        <f t="shared" si="3"/>
        <v>5682899.6049999995</v>
      </c>
      <c r="F16" s="262">
        <f t="shared" si="0"/>
        <v>29579.5</v>
      </c>
      <c r="G16" s="260">
        <f t="shared" si="4"/>
        <v>1704869.8814999999</v>
      </c>
      <c r="H16" s="181">
        <f t="shared" ref="H16:H26" si="6">C15*0.7</f>
        <v>326460.15499999997</v>
      </c>
      <c r="I16" s="262">
        <v>3500000</v>
      </c>
      <c r="J16" s="262">
        <f>I16</f>
        <v>3500000</v>
      </c>
      <c r="K16" s="181">
        <f t="shared" si="5"/>
        <v>268615.2314999993</v>
      </c>
      <c r="L16" s="200">
        <f t="shared" si="1"/>
        <v>2182899.6049999995</v>
      </c>
      <c r="M16" s="262"/>
      <c r="P16" s="1243"/>
      <c r="Q16" s="1243"/>
      <c r="R16" s="1243"/>
      <c r="S16" s="1428"/>
      <c r="U16" s="1717"/>
      <c r="V16" s="1434">
        <v>98428.82</v>
      </c>
      <c r="W16" s="1717"/>
    </row>
    <row r="17" spans="1:23" ht="27.95" customHeight="1">
      <c r="A17" s="258">
        <v>42767</v>
      </c>
      <c r="B17" s="262">
        <v>1105</v>
      </c>
      <c r="C17" s="534">
        <v>313486.62</v>
      </c>
      <c r="D17" s="294">
        <f t="shared" si="2"/>
        <v>21525.5</v>
      </c>
      <c r="E17" s="294">
        <f t="shared" si="3"/>
        <v>5996386.2249999996</v>
      </c>
      <c r="F17" s="262">
        <f t="shared" si="0"/>
        <v>28474.5</v>
      </c>
      <c r="G17" s="260">
        <f t="shared" si="4"/>
        <v>1798915.8674999999</v>
      </c>
      <c r="H17" s="181">
        <f t="shared" si="6"/>
        <v>209414.492</v>
      </c>
      <c r="I17" s="262"/>
      <c r="J17" s="262">
        <f t="shared" ref="J17:J26" si="7">I17+J16</f>
        <v>3500000</v>
      </c>
      <c r="K17" s="181">
        <f t="shared" si="5"/>
        <v>478029.72349999927</v>
      </c>
      <c r="L17" s="200">
        <f t="shared" si="1"/>
        <v>2496386.2249999996</v>
      </c>
      <c r="M17" s="262"/>
      <c r="P17" s="1243"/>
      <c r="Q17" s="1243"/>
      <c r="R17" s="1243"/>
      <c r="S17" s="1428"/>
      <c r="U17" s="1717"/>
      <c r="V17" s="1433">
        <v>998023.75</v>
      </c>
      <c r="W17" s="1717" t="s">
        <v>677</v>
      </c>
    </row>
    <row r="18" spans="1:23" ht="27.95" customHeight="1">
      <c r="A18" s="258" t="s">
        <v>433</v>
      </c>
      <c r="B18" s="262"/>
      <c r="C18" s="262">
        <v>101155.74</v>
      </c>
      <c r="D18" s="294">
        <f t="shared" si="2"/>
        <v>21525.5</v>
      </c>
      <c r="E18" s="294">
        <f t="shared" si="3"/>
        <v>6097541.9649999999</v>
      </c>
      <c r="F18" s="262">
        <f t="shared" si="0"/>
        <v>28474.5</v>
      </c>
      <c r="G18" s="260">
        <f t="shared" si="4"/>
        <v>1829262.5895</v>
      </c>
      <c r="H18" s="181">
        <f t="shared" si="6"/>
        <v>219440.63399999999</v>
      </c>
      <c r="I18" s="262"/>
      <c r="J18" s="262">
        <f t="shared" si="7"/>
        <v>3500000</v>
      </c>
      <c r="K18" s="181">
        <f t="shared" si="5"/>
        <v>697470.35749999923</v>
      </c>
      <c r="L18" s="200">
        <f t="shared" si="1"/>
        <v>2597541.9649999999</v>
      </c>
      <c r="M18" s="262"/>
      <c r="P18" s="1243"/>
      <c r="Q18" s="1243"/>
      <c r="R18" s="1243"/>
      <c r="S18" s="1428"/>
      <c r="U18" s="1717"/>
      <c r="V18" s="1433">
        <v>497813.78</v>
      </c>
      <c r="W18" s="1717"/>
    </row>
    <row r="19" spans="1:23" ht="27.95" customHeight="1">
      <c r="A19" s="258">
        <v>42795</v>
      </c>
      <c r="B19" s="262">
        <v>5296</v>
      </c>
      <c r="C19" s="262">
        <v>1495837.53</v>
      </c>
      <c r="D19" s="294">
        <f t="shared" si="2"/>
        <v>26821.5</v>
      </c>
      <c r="E19" s="294">
        <f t="shared" si="3"/>
        <v>7593379.4950000001</v>
      </c>
      <c r="F19" s="262">
        <f t="shared" si="0"/>
        <v>23178.5</v>
      </c>
      <c r="G19" s="260">
        <f t="shared" si="4"/>
        <v>2278013.8484999998</v>
      </c>
      <c r="H19" s="181">
        <f t="shared" si="6"/>
        <v>70809.017999999996</v>
      </c>
      <c r="I19" s="262"/>
      <c r="J19" s="262">
        <f t="shared" si="7"/>
        <v>3500000</v>
      </c>
      <c r="K19" s="181">
        <f t="shared" si="5"/>
        <v>768279.37549999927</v>
      </c>
      <c r="L19" s="200">
        <f t="shared" si="1"/>
        <v>4093379.4950000001</v>
      </c>
      <c r="M19" s="262"/>
      <c r="P19" s="1243"/>
      <c r="Q19" s="1243"/>
      <c r="R19" s="1243"/>
      <c r="S19" s="1428"/>
      <c r="U19" s="271" t="s">
        <v>663</v>
      </c>
      <c r="V19" s="285">
        <f>SUM(V7:V18)</f>
        <v>4056444.1999999993</v>
      </c>
      <c r="W19" s="285"/>
    </row>
    <row r="20" spans="1:23" ht="27.95" customHeight="1">
      <c r="A20" s="275" t="s">
        <v>434</v>
      </c>
      <c r="B20" s="262"/>
      <c r="C20" s="322">
        <v>-40549.623650000198</v>
      </c>
      <c r="D20" s="294">
        <f t="shared" si="2"/>
        <v>26821.5</v>
      </c>
      <c r="E20" s="294">
        <f t="shared" si="3"/>
        <v>7552829.8713499997</v>
      </c>
      <c r="F20" s="262">
        <f t="shared" si="0"/>
        <v>23178.5</v>
      </c>
      <c r="G20" s="260">
        <f t="shared" si="4"/>
        <v>2265848.9614049997</v>
      </c>
      <c r="H20" s="181">
        <f t="shared" si="6"/>
        <v>1047086.2709999999</v>
      </c>
      <c r="I20" s="262"/>
      <c r="J20" s="262">
        <f t="shared" si="7"/>
        <v>3500000</v>
      </c>
      <c r="K20" s="181">
        <f t="shared" si="5"/>
        <v>1815365.6464999993</v>
      </c>
      <c r="L20" s="200">
        <f t="shared" si="1"/>
        <v>4052829.8713499997</v>
      </c>
      <c r="M20" s="262"/>
      <c r="P20" s="1243"/>
      <c r="Q20" s="1243"/>
      <c r="R20" s="1243"/>
      <c r="S20" s="1428"/>
      <c r="U20" s="1728" t="s">
        <v>678</v>
      </c>
      <c r="V20" s="271">
        <v>900459</v>
      </c>
      <c r="W20" s="1646" t="s">
        <v>679</v>
      </c>
    </row>
    <row r="21" spans="1:23" ht="27.95" customHeight="1">
      <c r="A21" s="258">
        <v>42826</v>
      </c>
      <c r="B21" s="262">
        <v>6053.5</v>
      </c>
      <c r="C21" s="262">
        <v>1648846.37</v>
      </c>
      <c r="D21" s="294">
        <f t="shared" si="2"/>
        <v>32875</v>
      </c>
      <c r="E21" s="294">
        <f t="shared" si="3"/>
        <v>9201676.2413499989</v>
      </c>
      <c r="F21" s="262">
        <f t="shared" si="0"/>
        <v>17125</v>
      </c>
      <c r="G21" s="260">
        <f t="shared" si="4"/>
        <v>2760502.8724049996</v>
      </c>
      <c r="H21" s="181">
        <f t="shared" si="6"/>
        <v>-28384.736555000138</v>
      </c>
      <c r="I21" s="262"/>
      <c r="J21" s="262">
        <f t="shared" si="7"/>
        <v>3500000</v>
      </c>
      <c r="K21" s="181">
        <f t="shared" si="5"/>
        <v>1786980.9099449993</v>
      </c>
      <c r="L21" s="200">
        <f t="shared" si="1"/>
        <v>5701676.2413499989</v>
      </c>
      <c r="M21" s="262"/>
      <c r="P21" s="1243"/>
      <c r="Q21" s="1243"/>
      <c r="R21" s="1243"/>
      <c r="S21" s="1428"/>
      <c r="U21" s="1729"/>
      <c r="V21" s="271">
        <v>707837.75</v>
      </c>
      <c r="W21" s="1646"/>
    </row>
    <row r="22" spans="1:23" ht="27.95" customHeight="1">
      <c r="A22" s="258">
        <v>42856</v>
      </c>
      <c r="B22" s="262">
        <v>3254</v>
      </c>
      <c r="C22" s="262">
        <v>864824.2</v>
      </c>
      <c r="D22" s="294">
        <f t="shared" si="2"/>
        <v>36129</v>
      </c>
      <c r="E22" s="294">
        <f t="shared" si="3"/>
        <v>10066500.441349998</v>
      </c>
      <c r="F22" s="262">
        <f t="shared" si="0"/>
        <v>13871</v>
      </c>
      <c r="G22" s="260">
        <f t="shared" si="4"/>
        <v>3019950.1324049993</v>
      </c>
      <c r="H22" s="181">
        <f t="shared" si="6"/>
        <v>1154192.459</v>
      </c>
      <c r="I22" s="262"/>
      <c r="J22" s="262">
        <f t="shared" si="7"/>
        <v>3500000</v>
      </c>
      <c r="K22" s="181">
        <f t="shared" si="5"/>
        <v>2941173.3689449993</v>
      </c>
      <c r="L22" s="200">
        <f t="shared" si="1"/>
        <v>6566500.4413499981</v>
      </c>
      <c r="M22" s="262"/>
      <c r="P22" s="1243"/>
      <c r="Q22" s="1243"/>
      <c r="R22" s="1243"/>
      <c r="S22" s="1428"/>
      <c r="U22" s="271" t="s">
        <v>663</v>
      </c>
      <c r="V22" s="271">
        <f>SUM(V20:V21)</f>
        <v>1608296.75</v>
      </c>
      <c r="W22" s="285"/>
    </row>
    <row r="23" spans="1:23" ht="27.95" customHeight="1">
      <c r="A23" s="258">
        <v>42887</v>
      </c>
      <c r="B23" s="262">
        <v>2026</v>
      </c>
      <c r="C23" s="262">
        <v>534088.18999999994</v>
      </c>
      <c r="D23" s="294">
        <f t="shared" si="2"/>
        <v>38155</v>
      </c>
      <c r="E23" s="294">
        <f t="shared" si="3"/>
        <v>10600588.631349998</v>
      </c>
      <c r="F23" s="262">
        <f t="shared" si="0"/>
        <v>11845</v>
      </c>
      <c r="G23" s="260">
        <f t="shared" si="4"/>
        <v>3180176.5894049993</v>
      </c>
      <c r="H23" s="181">
        <f t="shared" si="6"/>
        <v>605376.93999999994</v>
      </c>
      <c r="I23" s="262">
        <v>1800000</v>
      </c>
      <c r="J23" s="262">
        <f t="shared" si="7"/>
        <v>5300000</v>
      </c>
      <c r="K23" s="181">
        <f t="shared" si="5"/>
        <v>1746550.3089449992</v>
      </c>
      <c r="L23" s="200">
        <f t="shared" si="1"/>
        <v>5300588.6313499976</v>
      </c>
      <c r="M23" s="262" t="s">
        <v>680</v>
      </c>
      <c r="P23" s="1243"/>
      <c r="Q23" s="1243"/>
      <c r="R23" s="1243"/>
      <c r="S23" s="1428"/>
      <c r="U23" s="1435" t="s">
        <v>681</v>
      </c>
      <c r="V23" s="271">
        <v>864824.2</v>
      </c>
      <c r="W23" s="285" t="s">
        <v>682</v>
      </c>
    </row>
    <row r="24" spans="1:23" ht="27.95" customHeight="1">
      <c r="A24" s="275" t="s">
        <v>683</v>
      </c>
      <c r="B24" s="262">
        <v>2245.5</v>
      </c>
      <c r="C24" s="262">
        <v>593512.04</v>
      </c>
      <c r="D24" s="294">
        <f t="shared" si="2"/>
        <v>40400.5</v>
      </c>
      <c r="E24" s="294">
        <f t="shared" si="3"/>
        <v>11194100.671349999</v>
      </c>
      <c r="F24" s="262">
        <f t="shared" si="0"/>
        <v>9599.5</v>
      </c>
      <c r="G24" s="260">
        <f t="shared" si="4"/>
        <v>3358230.2014049995</v>
      </c>
      <c r="H24" s="181">
        <f t="shared" si="6"/>
        <v>373861.73299999995</v>
      </c>
      <c r="I24" s="262">
        <v>1125800</v>
      </c>
      <c r="J24" s="262">
        <f t="shared" si="7"/>
        <v>6425800</v>
      </c>
      <c r="K24" s="181">
        <f t="shared" si="5"/>
        <v>994612.04194499925</v>
      </c>
      <c r="L24" s="200">
        <f t="shared" si="1"/>
        <v>4768300.6713499986</v>
      </c>
      <c r="M24" s="262" t="s">
        <v>684</v>
      </c>
      <c r="P24" s="61" t="s">
        <v>685</v>
      </c>
      <c r="Q24" s="61" t="s">
        <v>686</v>
      </c>
      <c r="R24" s="61">
        <v>13682650638</v>
      </c>
      <c r="S24" s="1428"/>
      <c r="U24" s="271" t="s">
        <v>663</v>
      </c>
      <c r="V24" s="271">
        <f>SUM(V23:V23)</f>
        <v>864824.2</v>
      </c>
      <c r="W24" s="285"/>
    </row>
    <row r="25" spans="1:23" ht="27.95" customHeight="1">
      <c r="A25" s="275" t="s">
        <v>687</v>
      </c>
      <c r="B25" s="262"/>
      <c r="C25" s="322">
        <v>-40549.62365000022</v>
      </c>
      <c r="D25" s="294">
        <f t="shared" si="2"/>
        <v>40400.5</v>
      </c>
      <c r="E25" s="294">
        <f t="shared" si="3"/>
        <v>11153551.047699999</v>
      </c>
      <c r="F25" s="262">
        <f t="shared" si="0"/>
        <v>9599.5</v>
      </c>
      <c r="G25" s="260">
        <f t="shared" si="4"/>
        <v>3346065.3143099998</v>
      </c>
      <c r="H25" s="181">
        <f t="shared" si="6"/>
        <v>415458.42800000001</v>
      </c>
      <c r="I25" s="262"/>
      <c r="J25" s="262">
        <f t="shared" si="7"/>
        <v>6425800</v>
      </c>
      <c r="K25" s="181">
        <f t="shared" si="5"/>
        <v>1410070.4699449993</v>
      </c>
      <c r="L25" s="200">
        <f t="shared" si="1"/>
        <v>4727751.0476999991</v>
      </c>
      <c r="M25" s="262" t="s">
        <v>688</v>
      </c>
      <c r="P25" s="61"/>
      <c r="Q25" s="61"/>
      <c r="R25" s="61"/>
      <c r="S25" s="1428"/>
      <c r="U25" s="994"/>
      <c r="V25" s="994"/>
    </row>
    <row r="26" spans="1:23" ht="27.95" customHeight="1">
      <c r="A26" s="275" t="s">
        <v>689</v>
      </c>
      <c r="B26" s="262">
        <v>1451</v>
      </c>
      <c r="C26" s="322">
        <v>388939.12</v>
      </c>
      <c r="D26" s="294">
        <f t="shared" si="2"/>
        <v>41851.5</v>
      </c>
      <c r="E26" s="294">
        <f t="shared" si="3"/>
        <v>11542490.167699998</v>
      </c>
      <c r="F26" s="262">
        <f t="shared" si="0"/>
        <v>8148.5</v>
      </c>
      <c r="G26" s="260">
        <f>E25*0.3*3/4</f>
        <v>2509548.9857325</v>
      </c>
      <c r="H26" s="181">
        <f t="shared" si="6"/>
        <v>-28384.736555000152</v>
      </c>
      <c r="I26" s="262">
        <v>979238.67</v>
      </c>
      <c r="J26" s="262">
        <f t="shared" si="7"/>
        <v>7405038.6699999999</v>
      </c>
      <c r="K26" s="181">
        <f t="shared" si="5"/>
        <v>402447.06338999921</v>
      </c>
      <c r="L26" s="200">
        <f t="shared" si="1"/>
        <v>4137451.4976999983</v>
      </c>
      <c r="M26" s="262"/>
      <c r="P26" s="61"/>
      <c r="Q26" s="61"/>
      <c r="R26" s="61"/>
      <c r="S26" s="1428"/>
      <c r="U26" s="994"/>
      <c r="V26" s="994"/>
    </row>
    <row r="27" spans="1:23" ht="27.95" customHeight="1">
      <c r="A27" s="258"/>
      <c r="B27" s="262"/>
      <c r="C27" s="262"/>
      <c r="D27" s="294"/>
      <c r="E27" s="181"/>
      <c r="F27" s="262"/>
      <c r="G27" s="260"/>
      <c r="H27" s="181">
        <f>C26+(E25*0.3*1/4)</f>
        <v>1225455.4485774999</v>
      </c>
      <c r="I27" s="262"/>
      <c r="J27" s="262"/>
      <c r="K27" s="181">
        <f t="shared" si="5"/>
        <v>1627902.5119674993</v>
      </c>
      <c r="L27" s="200"/>
      <c r="M27" s="262"/>
      <c r="P27" s="61"/>
      <c r="Q27" s="61"/>
      <c r="R27" s="61"/>
      <c r="S27" s="1428"/>
      <c r="U27" s="994"/>
      <c r="V27" s="994"/>
    </row>
    <row r="28" spans="1:23" ht="27.95" customHeight="1">
      <c r="A28" s="258">
        <v>42979</v>
      </c>
      <c r="B28" s="262">
        <v>1451</v>
      </c>
      <c r="C28" s="262">
        <v>388939.12</v>
      </c>
      <c r="D28" s="181">
        <v>41851.5</v>
      </c>
      <c r="E28" s="181">
        <v>11542490.167699998</v>
      </c>
      <c r="F28" s="262">
        <v>8148.5</v>
      </c>
      <c r="G28" s="260">
        <v>2509548.9857325</v>
      </c>
      <c r="H28" s="181">
        <v>-28384.736555000152</v>
      </c>
      <c r="I28" s="262">
        <v>979238.67</v>
      </c>
      <c r="J28" s="262">
        <v>7405038.6699999999</v>
      </c>
      <c r="K28" s="181">
        <v>402447.06338999921</v>
      </c>
      <c r="L28" s="200">
        <v>4137451.4976999983</v>
      </c>
      <c r="M28" s="262"/>
      <c r="P28" s="61"/>
      <c r="Q28" s="61"/>
      <c r="R28" s="61"/>
      <c r="S28" s="1428"/>
      <c r="U28" s="994"/>
      <c r="V28" s="994"/>
    </row>
    <row r="29" spans="1:23" ht="27.95" customHeight="1">
      <c r="A29" s="258"/>
      <c r="B29" s="262"/>
      <c r="C29" s="262"/>
      <c r="D29" s="181"/>
      <c r="E29" s="181"/>
      <c r="F29" s="262"/>
      <c r="G29" s="260"/>
      <c r="H29" s="181"/>
      <c r="I29" s="262"/>
      <c r="J29" s="262"/>
      <c r="K29" s="181"/>
      <c r="L29" s="200"/>
      <c r="M29" s="262"/>
      <c r="P29" s="61"/>
      <c r="Q29" s="61"/>
      <c r="R29" s="61"/>
      <c r="S29" s="1428"/>
      <c r="U29" s="994"/>
      <c r="V29" s="994"/>
    </row>
    <row r="30" spans="1:23" ht="27.95" customHeight="1">
      <c r="A30" s="258"/>
      <c r="B30" s="262"/>
      <c r="C30" s="262"/>
      <c r="D30" s="181"/>
      <c r="E30" s="181"/>
      <c r="F30" s="262"/>
      <c r="G30" s="260"/>
      <c r="H30" s="181"/>
      <c r="I30" s="262"/>
      <c r="J30" s="262"/>
      <c r="K30" s="181"/>
      <c r="L30" s="200"/>
      <c r="M30" s="262"/>
      <c r="P30" s="61"/>
      <c r="Q30" s="61"/>
      <c r="R30" s="61"/>
      <c r="S30" s="1428"/>
      <c r="U30" s="994"/>
      <c r="V30" s="994"/>
    </row>
    <row r="31" spans="1:23" ht="27.95" customHeight="1">
      <c r="A31" s="258"/>
      <c r="B31" s="262"/>
      <c r="C31" s="262"/>
      <c r="D31" s="181"/>
      <c r="E31" s="181"/>
      <c r="F31" s="262"/>
      <c r="G31" s="260"/>
      <c r="H31" s="181"/>
      <c r="I31" s="262"/>
      <c r="J31" s="262"/>
      <c r="K31" s="181"/>
      <c r="L31" s="200"/>
      <c r="M31" s="262"/>
      <c r="P31" s="61"/>
      <c r="Q31" s="61"/>
      <c r="R31" s="61"/>
      <c r="S31" s="1428"/>
      <c r="U31" s="994"/>
      <c r="V31" s="994"/>
    </row>
    <row r="32" spans="1:23" ht="27.95" customHeight="1">
      <c r="A32" s="258"/>
      <c r="B32" s="262"/>
      <c r="C32" s="262"/>
      <c r="D32" s="181"/>
      <c r="E32" s="181"/>
      <c r="F32" s="262"/>
      <c r="G32" s="260"/>
      <c r="H32" s="181"/>
      <c r="I32" s="262"/>
      <c r="J32" s="262"/>
      <c r="K32" s="181"/>
      <c r="L32" s="200"/>
      <c r="M32" s="262"/>
      <c r="P32" s="61"/>
      <c r="Q32" s="61"/>
      <c r="R32" s="61"/>
      <c r="S32" s="1428"/>
      <c r="U32" s="994"/>
      <c r="V32" s="994"/>
    </row>
    <row r="33" spans="1:22" ht="27.95" customHeight="1">
      <c r="A33" s="258"/>
      <c r="B33" s="262"/>
      <c r="C33" s="262"/>
      <c r="D33" s="181"/>
      <c r="E33" s="181"/>
      <c r="F33" s="262"/>
      <c r="G33" s="260"/>
      <c r="H33" s="181"/>
      <c r="I33" s="262"/>
      <c r="J33" s="262"/>
      <c r="K33" s="181"/>
      <c r="L33" s="200"/>
      <c r="M33" s="262"/>
      <c r="P33" s="61"/>
      <c r="Q33" s="61"/>
      <c r="R33" s="61"/>
      <c r="S33" s="1428"/>
      <c r="U33" s="994"/>
      <c r="V33" s="994"/>
    </row>
    <row r="34" spans="1:22" ht="27.95" customHeight="1">
      <c r="A34" s="258"/>
      <c r="B34" s="262"/>
      <c r="C34" s="262"/>
      <c r="D34" s="181"/>
      <c r="E34" s="181"/>
      <c r="F34" s="262"/>
      <c r="G34" s="260"/>
      <c r="H34" s="181"/>
      <c r="I34" s="262"/>
      <c r="J34" s="262"/>
      <c r="K34" s="181"/>
      <c r="L34" s="200"/>
      <c r="M34" s="262"/>
      <c r="P34" s="61"/>
      <c r="Q34" s="61"/>
      <c r="R34" s="61"/>
      <c r="S34" s="1428"/>
      <c r="U34" s="994"/>
      <c r="V34" s="994"/>
    </row>
    <row r="35" spans="1:22" ht="27.95" customHeight="1">
      <c r="A35" s="258"/>
      <c r="B35" s="262"/>
      <c r="C35" s="262"/>
      <c r="D35" s="181"/>
      <c r="E35" s="181"/>
      <c r="F35" s="262"/>
      <c r="G35" s="260"/>
      <c r="H35" s="181"/>
      <c r="I35" s="262"/>
      <c r="J35" s="262"/>
      <c r="K35" s="181"/>
      <c r="L35" s="200"/>
      <c r="M35" s="262"/>
      <c r="P35" s="61"/>
      <c r="Q35" s="61"/>
      <c r="R35" s="61"/>
      <c r="S35" s="1428"/>
      <c r="U35" s="994"/>
      <c r="V35" s="994"/>
    </row>
    <row r="36" spans="1:22" ht="27.95" customHeight="1">
      <c r="A36" s="258"/>
      <c r="B36" s="262"/>
      <c r="C36" s="262"/>
      <c r="D36" s="181"/>
      <c r="E36" s="181"/>
      <c r="F36" s="262"/>
      <c r="G36" s="260"/>
      <c r="H36" s="181"/>
      <c r="I36" s="262"/>
      <c r="J36" s="262"/>
      <c r="K36" s="181"/>
      <c r="L36" s="200"/>
      <c r="M36" s="262"/>
      <c r="P36" s="61"/>
      <c r="Q36" s="61"/>
      <c r="R36" s="61"/>
      <c r="S36" s="1428"/>
      <c r="U36" s="994"/>
      <c r="V36" s="994"/>
    </row>
    <row r="37" spans="1:22" ht="27.95" customHeight="1">
      <c r="A37" s="258"/>
      <c r="B37" s="258"/>
      <c r="C37" s="262"/>
      <c r="D37" s="262"/>
      <c r="E37" s="181"/>
      <c r="F37" s="262"/>
      <c r="G37" s="260"/>
      <c r="H37" s="181"/>
      <c r="I37" s="262"/>
      <c r="J37" s="262"/>
      <c r="K37" s="181"/>
      <c r="L37" s="200"/>
      <c r="M37" s="262"/>
      <c r="P37" s="61"/>
      <c r="Q37" s="61"/>
      <c r="R37" s="61"/>
      <c r="S37" s="1428"/>
      <c r="U37" s="994"/>
      <c r="V37" s="994"/>
    </row>
    <row r="38" spans="1:22" ht="27.95" customHeight="1">
      <c r="A38" s="258"/>
      <c r="B38" s="258"/>
      <c r="C38" s="262"/>
      <c r="D38" s="262"/>
      <c r="E38" s="181"/>
      <c r="F38" s="262"/>
      <c r="G38" s="260"/>
      <c r="H38" s="181"/>
      <c r="I38" s="262"/>
      <c r="J38" s="262"/>
      <c r="K38" s="181"/>
      <c r="L38" s="200"/>
      <c r="M38" s="262"/>
      <c r="P38" s="61"/>
      <c r="Q38" s="61"/>
      <c r="R38" s="61"/>
      <c r="S38" s="1428"/>
      <c r="U38" s="994"/>
      <c r="V38" s="994"/>
    </row>
    <row r="39" spans="1:22" ht="27.95" customHeight="1">
      <c r="A39" s="258"/>
      <c r="B39" s="262"/>
      <c r="C39" s="181"/>
      <c r="D39" s="181"/>
      <c r="E39" s="181"/>
      <c r="F39" s="262"/>
      <c r="G39" s="260"/>
      <c r="H39" s="181"/>
      <c r="I39" s="262"/>
      <c r="J39" s="262"/>
      <c r="K39" s="181"/>
      <c r="L39" s="200"/>
      <c r="M39" s="262"/>
      <c r="P39" s="61"/>
      <c r="Q39" s="61"/>
      <c r="R39" s="61"/>
      <c r="S39" s="1428"/>
      <c r="U39" s="994"/>
      <c r="V39" s="994"/>
    </row>
    <row r="40" spans="1:22" ht="27.95" customHeight="1">
      <c r="A40" s="258"/>
      <c r="B40" s="262"/>
      <c r="C40" s="262"/>
      <c r="D40" s="181"/>
      <c r="E40" s="181"/>
      <c r="F40" s="262"/>
      <c r="G40" s="260"/>
      <c r="H40" s="181"/>
      <c r="I40" s="262"/>
      <c r="J40" s="262"/>
      <c r="K40" s="181"/>
      <c r="L40" s="200"/>
      <c r="M40" s="262"/>
      <c r="P40" s="61"/>
      <c r="Q40" s="61"/>
      <c r="R40" s="61"/>
      <c r="S40" s="1428"/>
      <c r="U40" s="994"/>
      <c r="V40" s="994"/>
    </row>
    <row r="41" spans="1:22" ht="27.95" customHeight="1">
      <c r="A41" s="258"/>
      <c r="B41" s="262"/>
      <c r="C41" s="262"/>
      <c r="D41" s="181"/>
      <c r="E41" s="181"/>
      <c r="F41" s="262"/>
      <c r="G41" s="260"/>
      <c r="H41" s="181"/>
      <c r="I41" s="262"/>
      <c r="J41" s="262"/>
      <c r="K41" s="181"/>
      <c r="L41" s="200"/>
      <c r="M41" s="262"/>
      <c r="P41" s="61"/>
      <c r="Q41" s="61"/>
      <c r="R41" s="61"/>
      <c r="S41" s="1428"/>
      <c r="U41" s="994"/>
      <c r="V41" s="994"/>
    </row>
    <row r="42" spans="1:22" ht="27.95" customHeight="1">
      <c r="A42" s="258"/>
      <c r="B42" s="262"/>
      <c r="C42" s="262"/>
      <c r="D42" s="181"/>
      <c r="E42" s="181"/>
      <c r="F42" s="262"/>
      <c r="G42" s="260"/>
      <c r="H42" s="181"/>
      <c r="I42" s="262"/>
      <c r="J42" s="262"/>
      <c r="K42" s="181"/>
      <c r="L42" s="200"/>
      <c r="M42" s="262"/>
      <c r="P42" s="61"/>
      <c r="Q42" s="61"/>
      <c r="R42" s="61"/>
      <c r="S42" s="1428"/>
      <c r="U42" s="994"/>
      <c r="V42" s="994"/>
    </row>
    <row r="43" spans="1:22" ht="27.95" customHeight="1">
      <c r="A43" s="258"/>
      <c r="B43" s="262"/>
      <c r="C43" s="262"/>
      <c r="D43" s="181"/>
      <c r="E43" s="181"/>
      <c r="F43" s="262"/>
      <c r="G43" s="260"/>
      <c r="H43" s="181"/>
      <c r="I43" s="262"/>
      <c r="J43" s="262"/>
      <c r="K43" s="181"/>
      <c r="L43" s="200"/>
      <c r="M43" s="262"/>
      <c r="P43" s="61"/>
      <c r="Q43" s="61"/>
      <c r="R43" s="61"/>
      <c r="S43" s="1428"/>
      <c r="U43" s="994"/>
      <c r="V43" s="994"/>
    </row>
    <row r="44" spans="1:22" ht="27.95" customHeight="1">
      <c r="A44" s="258"/>
      <c r="B44" s="262"/>
      <c r="C44" s="262"/>
      <c r="D44" s="181"/>
      <c r="E44" s="181"/>
      <c r="F44" s="262"/>
      <c r="G44" s="260"/>
      <c r="H44" s="181"/>
      <c r="I44" s="262"/>
      <c r="J44" s="262"/>
      <c r="K44" s="181"/>
      <c r="L44" s="200"/>
      <c r="M44" s="262"/>
      <c r="P44" s="61"/>
      <c r="Q44" s="61"/>
      <c r="R44" s="61"/>
      <c r="S44" s="1428"/>
      <c r="U44" s="994"/>
      <c r="V44" s="994"/>
    </row>
    <row r="45" spans="1:22" ht="27.95" customHeight="1">
      <c r="A45" s="258"/>
      <c r="B45" s="262"/>
      <c r="C45" s="262"/>
      <c r="D45" s="181"/>
      <c r="E45" s="181"/>
      <c r="F45" s="262"/>
      <c r="G45" s="260"/>
      <c r="H45" s="181"/>
      <c r="I45" s="262"/>
      <c r="J45" s="262"/>
      <c r="K45" s="181"/>
      <c r="L45" s="200"/>
      <c r="M45" s="262"/>
      <c r="P45" s="61" t="s">
        <v>661</v>
      </c>
      <c r="Q45" s="61" t="s">
        <v>686</v>
      </c>
      <c r="R45" s="61">
        <v>13725506558</v>
      </c>
      <c r="S45" s="1428"/>
      <c r="U45" t="s">
        <v>690</v>
      </c>
      <c r="V45">
        <f>V6+V19+V22+V24</f>
        <v>10077625.409999998</v>
      </c>
    </row>
    <row r="52" spans="1:3">
      <c r="A52" s="1420"/>
      <c r="B52" s="1421"/>
      <c r="C52" s="1421"/>
    </row>
    <row r="53" spans="1:3">
      <c r="A53" s="1422"/>
      <c r="B53" s="1423"/>
      <c r="C53" s="282"/>
    </row>
    <row r="54" spans="1:3">
      <c r="A54" s="1422"/>
      <c r="B54" s="281"/>
      <c r="C54" s="281"/>
    </row>
    <row r="55" spans="1:3">
      <c r="A55" s="1424"/>
      <c r="B55" s="281"/>
      <c r="C55" s="281"/>
    </row>
    <row r="56" spans="1:3">
      <c r="A56" s="1424"/>
      <c r="B56" s="281"/>
      <c r="C56" s="281"/>
    </row>
    <row r="57" spans="1:3">
      <c r="A57" s="1424"/>
      <c r="B57" s="281"/>
      <c r="C57" s="281"/>
    </row>
    <row r="58" spans="1:3">
      <c r="A58" s="1424"/>
      <c r="B58" s="281"/>
      <c r="C58" s="281"/>
    </row>
    <row r="59" spans="1:3">
      <c r="A59" s="1424"/>
      <c r="B59" s="281"/>
      <c r="C59" s="1425"/>
    </row>
    <row r="60" spans="1:3">
      <c r="A60" s="1424"/>
      <c r="B60" s="281"/>
      <c r="C60" s="281"/>
    </row>
    <row r="61" spans="1:3">
      <c r="A61" s="1424"/>
      <c r="B61" s="281"/>
      <c r="C61" s="281"/>
    </row>
    <row r="62" spans="1:3">
      <c r="A62" s="1424"/>
      <c r="B62" s="281"/>
      <c r="C62" s="281"/>
    </row>
    <row r="63" spans="1:3">
      <c r="A63" s="1424"/>
      <c r="B63" s="281"/>
      <c r="C63" s="281"/>
    </row>
    <row r="64" spans="1:3">
      <c r="A64" s="1424"/>
      <c r="B64" s="281"/>
      <c r="C64" s="281"/>
    </row>
    <row r="65" spans="1:3">
      <c r="A65" s="1422"/>
      <c r="B65" s="281"/>
      <c r="C65" s="1425"/>
    </row>
    <row r="66" spans="1:3">
      <c r="A66" s="1424"/>
      <c r="B66" s="281"/>
      <c r="C66" s="281"/>
    </row>
    <row r="67" spans="1:3">
      <c r="A67" s="1424"/>
      <c r="B67" s="281"/>
      <c r="C67" s="281"/>
    </row>
    <row r="70" spans="1:3" ht="27" customHeight="1"/>
    <row r="71" spans="1:3" ht="27" customHeight="1"/>
    <row r="72" spans="1:3" ht="24.95" customHeight="1"/>
    <row r="75" spans="1:3" ht="33" customHeight="1"/>
  </sheetData>
  <mergeCells count="30">
    <mergeCell ref="U20:U21"/>
    <mergeCell ref="W2:W5"/>
    <mergeCell ref="W7:W8"/>
    <mergeCell ref="W9:W10"/>
    <mergeCell ref="W11:W12"/>
    <mergeCell ref="W13:W14"/>
    <mergeCell ref="W15:W16"/>
    <mergeCell ref="W17:W18"/>
    <mergeCell ref="W20:W21"/>
    <mergeCell ref="U2:U5"/>
    <mergeCell ref="U7:U18"/>
    <mergeCell ref="E1:F2"/>
    <mergeCell ref="G1:H2"/>
    <mergeCell ref="B5:E5"/>
    <mergeCell ref="F5:I5"/>
    <mergeCell ref="J1:L1"/>
    <mergeCell ref="J2:M2"/>
    <mergeCell ref="B3:C3"/>
    <mergeCell ref="E3:H3"/>
    <mergeCell ref="J3:K3"/>
    <mergeCell ref="A1:A2"/>
    <mergeCell ref="B1:B2"/>
    <mergeCell ref="C1:C2"/>
    <mergeCell ref="D1:D2"/>
    <mergeCell ref="B4:C4"/>
    <mergeCell ref="J5:L5"/>
    <mergeCell ref="A6:C6"/>
    <mergeCell ref="D6:F6"/>
    <mergeCell ref="G6:I6"/>
    <mergeCell ref="J6:L6"/>
  </mergeCells>
  <phoneticPr fontId="84" type="noConversion"/>
  <hyperlinks>
    <hyperlink ref="E3" r:id="rId1" tooltip="mailto:lwc443445@qq.com，电话13500273797，振业城，梁文才；深圳市福田区红荔西路8133号  农科商务办公楼8楼胜大控股邱15812399071；深圳市福田区红荔西路8133号  农科商务办公楼8楼胜大控股邱15812399071；深圳市福田区红荔西路8133号  农科商务办公楼8楼胜大控股潘工18677178214_x000a_"/>
  </hyperlinks>
  <pageMargins left="0.75" right="0.75" top="1" bottom="1" header="0.51" footer="0.51"/>
  <pageSetup paperSize="9" orientation="portrait" horizontalDpi="200" verticalDpi="200" r:id="rId2"/>
  <headerFooter scaleWithDoc="0" alignWithMargins="0"/>
</worksheet>
</file>

<file path=xl/worksheets/sheet1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A4" zoomScaleSheetLayoutView="100" workbookViewId="0">
      <selection activeCell="I11" sqref="I11"/>
    </sheetView>
  </sheetViews>
  <sheetFormatPr defaultColWidth="9" defaultRowHeight="14.25"/>
  <cols>
    <col min="1" max="1" width="17.375" customWidth="1"/>
    <col min="2" max="2" width="13.75" customWidth="1"/>
    <col min="3" max="3" width="14.125" customWidth="1"/>
    <col min="4" max="4" width="14.625" customWidth="1"/>
    <col min="5" max="5" width="13.5" customWidth="1"/>
    <col min="6" max="6" width="15.25" customWidth="1"/>
    <col min="7" max="7" width="12.125" customWidth="1"/>
    <col min="8" max="8" width="13.625" customWidth="1"/>
    <col min="9" max="9" width="13.75" customWidth="1"/>
    <col min="10" max="10" width="13.125" customWidth="1"/>
    <col min="11" max="11" width="20.625" customWidth="1"/>
    <col min="12" max="12" width="11.75" customWidth="1"/>
    <col min="13" max="13" width="34.875" customWidth="1"/>
  </cols>
  <sheetData>
    <row r="1" spans="1:13" ht="95.1" customHeight="1">
      <c r="A1" s="495" t="s">
        <v>4007</v>
      </c>
      <c r="B1" s="496"/>
      <c r="C1" s="377" t="s">
        <v>4008</v>
      </c>
      <c r="D1" s="350" t="s">
        <v>236</v>
      </c>
      <c r="E1" s="497"/>
      <c r="F1" s="497" t="s">
        <v>4009</v>
      </c>
      <c r="G1" s="2028"/>
      <c r="H1" s="2028"/>
      <c r="I1" s="500" t="s">
        <v>237</v>
      </c>
      <c r="J1" s="1694" t="s">
        <v>4010</v>
      </c>
      <c r="K1" s="1694"/>
      <c r="L1" s="2186" t="s">
        <v>4011</v>
      </c>
      <c r="M1" s="1843"/>
    </row>
    <row r="2" spans="1:13" ht="63" customHeight="1">
      <c r="A2" s="133" t="s">
        <v>240</v>
      </c>
      <c r="B2" s="1682" t="s">
        <v>4012</v>
      </c>
      <c r="C2" s="1682"/>
      <c r="D2" s="134" t="s">
        <v>242</v>
      </c>
      <c r="E2" s="2188"/>
      <c r="F2" s="2188"/>
      <c r="G2" s="2188"/>
      <c r="H2" s="2188"/>
      <c r="I2" s="166" t="s">
        <v>425</v>
      </c>
      <c r="J2" s="2189" t="s">
        <v>4013</v>
      </c>
      <c r="K2" s="2190"/>
      <c r="L2" s="2190"/>
      <c r="M2" s="2191"/>
    </row>
    <row r="3" spans="1:13" ht="56.25" customHeight="1">
      <c r="A3" s="133" t="s">
        <v>247</v>
      </c>
      <c r="B3" s="1682" t="s">
        <v>4014</v>
      </c>
      <c r="C3" s="1682"/>
      <c r="D3" s="134" t="s">
        <v>249</v>
      </c>
      <c r="E3" s="416" t="s">
        <v>4015</v>
      </c>
      <c r="F3" s="134" t="s">
        <v>251</v>
      </c>
      <c r="G3" s="134" t="s">
        <v>4016</v>
      </c>
      <c r="H3" s="134"/>
      <c r="I3" s="166" t="s">
        <v>243</v>
      </c>
      <c r="J3" s="2192" t="s">
        <v>1586</v>
      </c>
      <c r="K3" s="2193"/>
      <c r="L3" s="166" t="s">
        <v>245</v>
      </c>
      <c r="M3" s="501" t="s">
        <v>4017</v>
      </c>
    </row>
    <row r="4" spans="1:13" ht="87.95" customHeight="1">
      <c r="A4" s="133" t="s">
        <v>260</v>
      </c>
      <c r="B4" s="2080" t="s">
        <v>4018</v>
      </c>
      <c r="C4" s="2080"/>
      <c r="D4" s="2080"/>
      <c r="E4" s="2080"/>
      <c r="F4" s="2080"/>
      <c r="G4" s="1698" t="s">
        <v>1289</v>
      </c>
      <c r="H4" s="1699"/>
      <c r="I4" s="1700"/>
      <c r="J4" s="15" t="s">
        <v>565</v>
      </c>
      <c r="K4" s="502" t="s">
        <v>4019</v>
      </c>
      <c r="L4" s="15" t="s">
        <v>255</v>
      </c>
      <c r="M4" s="92" t="s">
        <v>4020</v>
      </c>
    </row>
    <row r="5" spans="1:13" ht="48" customHeight="1">
      <c r="A5" s="1688" t="s">
        <v>660</v>
      </c>
      <c r="B5" s="1689"/>
      <c r="C5" s="1689"/>
      <c r="D5" s="356" t="s">
        <v>570</v>
      </c>
      <c r="E5" s="2187"/>
      <c r="F5" s="2187"/>
      <c r="G5" s="2187"/>
      <c r="H5" s="2187"/>
      <c r="I5" s="356"/>
      <c r="J5" s="169"/>
      <c r="K5" s="169"/>
      <c r="L5" s="169"/>
      <c r="M5" s="264"/>
    </row>
    <row r="6" spans="1:13" ht="41.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498">
        <v>42948</v>
      </c>
      <c r="B7" s="211">
        <v>60</v>
      </c>
      <c r="C7" s="252">
        <f>B7*280</f>
        <v>16800</v>
      </c>
      <c r="D7" s="211">
        <f>B7</f>
        <v>60</v>
      </c>
      <c r="E7" s="211">
        <f>C7</f>
        <v>16800</v>
      </c>
      <c r="F7" s="211"/>
      <c r="G7" s="499">
        <f>E7*0.2</f>
        <v>3360</v>
      </c>
      <c r="H7" s="251"/>
      <c r="I7" s="211"/>
      <c r="J7" s="211"/>
      <c r="K7" s="211"/>
      <c r="L7" s="503">
        <f>E7-J7</f>
        <v>16800</v>
      </c>
      <c r="M7" s="504"/>
    </row>
    <row r="8" spans="1:13" ht="33" customHeight="1">
      <c r="A8" s="219">
        <v>42948</v>
      </c>
      <c r="B8" s="200">
        <v>1174</v>
      </c>
      <c r="C8" s="181">
        <v>343810</v>
      </c>
      <c r="D8" s="211">
        <f>B8+D7</f>
        <v>1234</v>
      </c>
      <c r="E8" s="211">
        <f>C8+E7</f>
        <v>360610</v>
      </c>
      <c r="F8" s="200"/>
      <c r="G8" s="499">
        <f>C8*0.2</f>
        <v>68762</v>
      </c>
      <c r="H8" s="224">
        <f>C7*0.8</f>
        <v>13440</v>
      </c>
      <c r="I8" s="200"/>
      <c r="J8" s="211"/>
      <c r="K8" s="505">
        <f>K7+H8-I8</f>
        <v>13440</v>
      </c>
      <c r="L8" s="503">
        <f>E8-J8</f>
        <v>360610</v>
      </c>
      <c r="M8" s="506"/>
    </row>
    <row r="9" spans="1:13" ht="33" customHeight="1">
      <c r="A9" s="219"/>
      <c r="B9" s="200"/>
      <c r="C9" s="181"/>
      <c r="D9" s="211"/>
      <c r="E9" s="211"/>
      <c r="F9" s="200"/>
      <c r="G9" s="499"/>
      <c r="H9" s="224">
        <f>C8*0.8+C7*0.2</f>
        <v>278408</v>
      </c>
      <c r="I9" s="200"/>
      <c r="J9" s="211"/>
      <c r="K9" s="505">
        <f>K8+H9-I9</f>
        <v>291848</v>
      </c>
      <c r="L9" s="503"/>
      <c r="M9" s="506"/>
    </row>
    <row r="10" spans="1:13" ht="33" customHeight="1">
      <c r="A10" s="219"/>
      <c r="B10" s="200"/>
      <c r="C10" s="181"/>
      <c r="D10" s="200"/>
      <c r="E10" s="200"/>
      <c r="F10" s="200"/>
      <c r="G10" s="499"/>
      <c r="H10" s="224"/>
      <c r="I10" s="200"/>
      <c r="J10" s="211"/>
      <c r="K10" s="211"/>
      <c r="L10" s="201"/>
      <c r="M10" s="506"/>
    </row>
    <row r="11" spans="1:13" ht="33" customHeight="1">
      <c r="A11" s="219"/>
      <c r="B11" s="200"/>
      <c r="C11" s="181"/>
      <c r="D11" s="200"/>
      <c r="E11" s="200"/>
      <c r="F11" s="200"/>
      <c r="G11" s="180"/>
      <c r="H11" s="180"/>
      <c r="I11" s="200"/>
      <c r="J11" s="200"/>
      <c r="K11" s="200"/>
      <c r="L11" s="201"/>
      <c r="M11" s="506"/>
    </row>
  </sheetData>
  <mergeCells count="12">
    <mergeCell ref="B3:C3"/>
    <mergeCell ref="J3:K3"/>
    <mergeCell ref="B4:F4"/>
    <mergeCell ref="G4:I4"/>
    <mergeCell ref="A5:C5"/>
    <mergeCell ref="E5:H5"/>
    <mergeCell ref="G1:H1"/>
    <mergeCell ref="J1:K1"/>
    <mergeCell ref="L1:M1"/>
    <mergeCell ref="B2:C2"/>
    <mergeCell ref="E2:H2"/>
    <mergeCell ref="J2:M2"/>
  </mergeCells>
  <phoneticPr fontId="84" type="noConversion"/>
  <pageMargins left="0.75" right="0.75" top="1" bottom="1" header="0.51" footer="0.51"/>
  <pageSetup paperSize="9" orientation="portrait" verticalDpi="200"/>
  <headerFooter scaleWithDoc="0" alignWithMargins="0"/>
</worksheet>
</file>

<file path=xl/worksheets/sheet1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0"/>
  <sheetViews>
    <sheetView topLeftCell="A85" zoomScaleSheetLayoutView="100" workbookViewId="0"/>
  </sheetViews>
  <sheetFormatPr defaultColWidth="9" defaultRowHeight="14.25"/>
  <cols>
    <col min="1" max="1" width="15.25" customWidth="1"/>
    <col min="2" max="2" width="14" customWidth="1"/>
    <col min="3" max="3" width="16" customWidth="1"/>
    <col min="4" max="4" width="14.375" customWidth="1"/>
    <col min="5" max="5" width="16.375" customWidth="1"/>
    <col min="6" max="6" width="14.375" customWidth="1"/>
    <col min="7" max="7" width="14.75" customWidth="1"/>
    <col min="8" max="9" width="13" customWidth="1"/>
    <col min="10" max="10" width="16.625" customWidth="1"/>
    <col min="11" max="11" width="13" customWidth="1"/>
    <col min="12" max="12" width="14.875" customWidth="1"/>
    <col min="13" max="13" width="31.125" customWidth="1"/>
  </cols>
  <sheetData>
    <row r="1" spans="1:13" ht="74.099999999999994" customHeight="1">
      <c r="A1" s="34" t="s">
        <v>4021</v>
      </c>
      <c r="B1" s="445"/>
      <c r="C1" s="36" t="s">
        <v>4022</v>
      </c>
      <c r="D1" s="57"/>
      <c r="E1" s="38" t="s">
        <v>236</v>
      </c>
      <c r="F1" s="1790"/>
      <c r="G1" s="1790"/>
      <c r="H1" s="1790"/>
      <c r="I1" s="57" t="s">
        <v>237</v>
      </c>
      <c r="J1" s="1791" t="s">
        <v>4023</v>
      </c>
      <c r="K1" s="1791"/>
      <c r="L1" s="1791"/>
      <c r="M1" s="460" t="s">
        <v>4024</v>
      </c>
    </row>
    <row r="2" spans="1:13" ht="35.1" customHeight="1">
      <c r="A2" s="39" t="s">
        <v>240</v>
      </c>
      <c r="B2" s="1664" t="s">
        <v>4025</v>
      </c>
      <c r="C2" s="1664"/>
      <c r="D2" s="41" t="s">
        <v>242</v>
      </c>
      <c r="E2" s="1746" t="s">
        <v>4025</v>
      </c>
      <c r="F2" s="1746"/>
      <c r="G2" s="1746"/>
      <c r="H2" s="1746"/>
      <c r="I2" s="41" t="s">
        <v>243</v>
      </c>
      <c r="J2" s="1638"/>
      <c r="K2" s="1638"/>
      <c r="L2" s="41" t="s">
        <v>4026</v>
      </c>
      <c r="M2" s="461" t="s">
        <v>4027</v>
      </c>
    </row>
    <row r="3" spans="1:13" ht="41.1" customHeight="1">
      <c r="A3" s="39" t="s">
        <v>247</v>
      </c>
      <c r="B3" s="1637" t="s">
        <v>4028</v>
      </c>
      <c r="C3" s="1637"/>
      <c r="D3" s="41" t="s">
        <v>249</v>
      </c>
      <c r="E3" s="43" t="s">
        <v>850</v>
      </c>
      <c r="F3" s="41" t="s">
        <v>251</v>
      </c>
      <c r="G3" s="41" t="s">
        <v>4029</v>
      </c>
      <c r="H3" s="41" t="s">
        <v>252</v>
      </c>
      <c r="I3" s="462"/>
      <c r="J3" s="41" t="s">
        <v>565</v>
      </c>
      <c r="K3" s="40" t="s">
        <v>4030</v>
      </c>
      <c r="L3" s="41" t="s">
        <v>255</v>
      </c>
      <c r="M3" s="105" t="s">
        <v>4029</v>
      </c>
    </row>
    <row r="4" spans="1:13" ht="56.1" customHeight="1">
      <c r="A4" s="39" t="s">
        <v>260</v>
      </c>
      <c r="B4" s="1633" t="s">
        <v>4031</v>
      </c>
      <c r="C4" s="1633"/>
      <c r="D4" s="1633"/>
      <c r="E4" s="1633"/>
      <c r="F4" s="1633"/>
      <c r="G4" s="1633"/>
      <c r="H4" s="1633"/>
      <c r="I4" s="1633"/>
      <c r="J4" s="1665" t="s">
        <v>4032</v>
      </c>
      <c r="K4" s="1665"/>
      <c r="L4" s="1665"/>
      <c r="M4" s="464"/>
    </row>
    <row r="5" spans="1:13" ht="18" customHeight="1">
      <c r="A5" s="39" t="s">
        <v>570</v>
      </c>
      <c r="B5" s="1649" t="s">
        <v>828</v>
      </c>
      <c r="C5" s="1650"/>
      <c r="D5" s="1651"/>
      <c r="E5" s="60"/>
      <c r="F5" s="60"/>
      <c r="G5" s="60"/>
      <c r="H5" s="60"/>
      <c r="I5" s="60"/>
      <c r="J5" s="463"/>
      <c r="K5" s="463"/>
      <c r="L5" s="463"/>
      <c r="M5" s="464"/>
    </row>
    <row r="6" spans="1:13" ht="3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4" customHeight="1">
      <c r="A7" s="446">
        <v>40909</v>
      </c>
      <c r="B7" s="47">
        <v>46</v>
      </c>
      <c r="C7" s="47">
        <v>11990</v>
      </c>
      <c r="D7" s="447">
        <f>B7</f>
        <v>46</v>
      </c>
      <c r="E7" s="447">
        <f>C7</f>
        <v>11990</v>
      </c>
      <c r="F7" s="140">
        <f t="shared" ref="F7:F14" si="0">20000-B7</f>
        <v>19954</v>
      </c>
      <c r="G7" s="47">
        <f>E7</f>
        <v>11990</v>
      </c>
      <c r="H7" s="141"/>
      <c r="I7" s="47"/>
      <c r="J7" s="465"/>
      <c r="K7" s="140"/>
      <c r="L7" s="140">
        <f t="shared" ref="L7:L15" si="1">E7-I7</f>
        <v>11990</v>
      </c>
      <c r="M7" s="466"/>
    </row>
    <row r="8" spans="1:13" ht="24" customHeight="1">
      <c r="A8" s="446">
        <v>40940</v>
      </c>
      <c r="B8" s="47">
        <v>142</v>
      </c>
      <c r="C8" s="47">
        <v>34790</v>
      </c>
      <c r="D8" s="447">
        <f t="shared" ref="D8:D28" si="2">D7+B8</f>
        <v>188</v>
      </c>
      <c r="E8" s="447">
        <f t="shared" ref="E8:E28" si="3">E7+C8</f>
        <v>46780</v>
      </c>
      <c r="F8" s="140">
        <f t="shared" si="0"/>
        <v>19858</v>
      </c>
      <c r="G8" s="47">
        <f>E8</f>
        <v>46780</v>
      </c>
      <c r="H8" s="141">
        <v>0</v>
      </c>
      <c r="I8" s="47"/>
      <c r="J8" s="465"/>
      <c r="K8" s="140">
        <f t="shared" ref="K8:K28" si="4">K7+H8-I8</f>
        <v>0</v>
      </c>
      <c r="L8" s="140">
        <f t="shared" si="1"/>
        <v>46780</v>
      </c>
      <c r="M8" s="466"/>
    </row>
    <row r="9" spans="1:13" ht="24" customHeight="1">
      <c r="A9" s="446">
        <v>40969</v>
      </c>
      <c r="B9" s="47">
        <v>1746</v>
      </c>
      <c r="C9" s="47">
        <v>472582.5</v>
      </c>
      <c r="D9" s="447">
        <f t="shared" si="2"/>
        <v>1934</v>
      </c>
      <c r="E9" s="447">
        <f t="shared" si="3"/>
        <v>519362.5</v>
      </c>
      <c r="F9" s="140">
        <f t="shared" si="0"/>
        <v>18254</v>
      </c>
      <c r="G9" s="47">
        <f>E9</f>
        <v>519362.5</v>
      </c>
      <c r="H9" s="141">
        <v>0</v>
      </c>
      <c r="I9" s="47"/>
      <c r="J9" s="465"/>
      <c r="K9" s="140">
        <f t="shared" si="4"/>
        <v>0</v>
      </c>
      <c r="L9" s="140">
        <f t="shared" si="1"/>
        <v>519362.5</v>
      </c>
      <c r="M9" s="466"/>
    </row>
    <row r="10" spans="1:13" ht="24" customHeight="1">
      <c r="A10" s="446">
        <v>41000</v>
      </c>
      <c r="B10" s="47">
        <v>2093.5</v>
      </c>
      <c r="C10" s="47">
        <v>565107.5</v>
      </c>
      <c r="D10" s="447">
        <f t="shared" si="2"/>
        <v>4027.5</v>
      </c>
      <c r="E10" s="447">
        <f t="shared" si="3"/>
        <v>1084470</v>
      </c>
      <c r="F10" s="140">
        <f t="shared" si="0"/>
        <v>17906.5</v>
      </c>
      <c r="G10" s="47">
        <f>E10</f>
        <v>1084470</v>
      </c>
      <c r="H10" s="141">
        <v>0</v>
      </c>
      <c r="I10" s="47"/>
      <c r="J10" s="465"/>
      <c r="K10" s="140">
        <f t="shared" si="4"/>
        <v>0</v>
      </c>
      <c r="L10" s="140">
        <f t="shared" si="1"/>
        <v>1084470</v>
      </c>
      <c r="M10" s="466"/>
    </row>
    <row r="11" spans="1:13" ht="24" customHeight="1">
      <c r="A11" s="446">
        <v>41030</v>
      </c>
      <c r="B11" s="47">
        <v>824.5</v>
      </c>
      <c r="C11" s="47">
        <v>221735</v>
      </c>
      <c r="D11" s="447">
        <f t="shared" si="2"/>
        <v>4852</v>
      </c>
      <c r="E11" s="447">
        <f t="shared" si="3"/>
        <v>1306205</v>
      </c>
      <c r="F11" s="140">
        <f t="shared" si="0"/>
        <v>19175.5</v>
      </c>
      <c r="G11" s="47">
        <f>E11</f>
        <v>1306205</v>
      </c>
      <c r="H11" s="141">
        <v>0</v>
      </c>
      <c r="I11" s="47"/>
      <c r="J11" s="465"/>
      <c r="K11" s="140">
        <f t="shared" si="4"/>
        <v>0</v>
      </c>
      <c r="L11" s="140">
        <f t="shared" si="1"/>
        <v>1306205</v>
      </c>
      <c r="M11" s="466"/>
    </row>
    <row r="12" spans="1:13" ht="24" customHeight="1">
      <c r="A12" s="446">
        <v>41061</v>
      </c>
      <c r="B12" s="47">
        <v>3047</v>
      </c>
      <c r="C12" s="47">
        <v>828050</v>
      </c>
      <c r="D12" s="447">
        <f t="shared" si="2"/>
        <v>7899</v>
      </c>
      <c r="E12" s="447">
        <f t="shared" si="3"/>
        <v>2134255</v>
      </c>
      <c r="F12" s="140">
        <f t="shared" si="0"/>
        <v>16953</v>
      </c>
      <c r="G12" s="47">
        <v>1000000</v>
      </c>
      <c r="H12" s="141">
        <v>0</v>
      </c>
      <c r="I12" s="47"/>
      <c r="J12" s="465"/>
      <c r="K12" s="140">
        <f t="shared" si="4"/>
        <v>0</v>
      </c>
      <c r="L12" s="140">
        <f t="shared" si="1"/>
        <v>2134255</v>
      </c>
      <c r="M12" s="466"/>
    </row>
    <row r="13" spans="1:13" ht="24" customHeight="1">
      <c r="A13" s="446">
        <v>41091</v>
      </c>
      <c r="B13" s="47">
        <v>3038.5</v>
      </c>
      <c r="C13" s="47">
        <v>847265</v>
      </c>
      <c r="D13" s="447">
        <f t="shared" si="2"/>
        <v>10937.5</v>
      </c>
      <c r="E13" s="447">
        <f t="shared" si="3"/>
        <v>2981520</v>
      </c>
      <c r="F13" s="140">
        <f t="shared" si="0"/>
        <v>16961.5</v>
      </c>
      <c r="G13" s="47">
        <v>1000000</v>
      </c>
      <c r="H13" s="141">
        <v>1134255</v>
      </c>
      <c r="I13" s="47"/>
      <c r="J13" s="465"/>
      <c r="K13" s="140">
        <f t="shared" si="4"/>
        <v>1134255</v>
      </c>
      <c r="L13" s="140">
        <f t="shared" si="1"/>
        <v>2981520</v>
      </c>
      <c r="M13" s="466"/>
    </row>
    <row r="14" spans="1:13" ht="24" customHeight="1">
      <c r="A14" s="446">
        <v>41122</v>
      </c>
      <c r="B14" s="47">
        <v>1515</v>
      </c>
      <c r="C14" s="47">
        <v>416700</v>
      </c>
      <c r="D14" s="447">
        <f t="shared" si="2"/>
        <v>12452.5</v>
      </c>
      <c r="E14" s="447">
        <f t="shared" si="3"/>
        <v>3398220</v>
      </c>
      <c r="F14" s="140">
        <f t="shared" si="0"/>
        <v>18485</v>
      </c>
      <c r="G14" s="47">
        <v>0</v>
      </c>
      <c r="H14" s="141">
        <f>C13+1000000</f>
        <v>1847265</v>
      </c>
      <c r="I14" s="47"/>
      <c r="J14" s="465"/>
      <c r="K14" s="140">
        <f t="shared" si="4"/>
        <v>2981520</v>
      </c>
      <c r="L14" s="140">
        <f t="shared" si="1"/>
        <v>3398220</v>
      </c>
      <c r="M14" s="466" t="s">
        <v>4033</v>
      </c>
    </row>
    <row r="15" spans="1:13" ht="24" customHeight="1">
      <c r="A15" s="446">
        <v>41153</v>
      </c>
      <c r="B15" s="47">
        <v>0</v>
      </c>
      <c r="C15" s="47">
        <v>0</v>
      </c>
      <c r="D15" s="447">
        <f t="shared" si="2"/>
        <v>12452.5</v>
      </c>
      <c r="E15" s="447">
        <f t="shared" si="3"/>
        <v>3398220</v>
      </c>
      <c r="F15" s="140"/>
      <c r="G15" s="47">
        <v>0</v>
      </c>
      <c r="H15" s="141">
        <f t="shared" ref="H15:H28" si="5">C14</f>
        <v>416700</v>
      </c>
      <c r="I15" s="47">
        <v>1000000</v>
      </c>
      <c r="J15" s="465">
        <f t="shared" ref="J15:J28" si="6">J14+I15</f>
        <v>1000000</v>
      </c>
      <c r="K15" s="140">
        <f t="shared" si="4"/>
        <v>2398220</v>
      </c>
      <c r="L15" s="140">
        <f t="shared" si="1"/>
        <v>2398220</v>
      </c>
      <c r="M15" s="466" t="s">
        <v>4034</v>
      </c>
    </row>
    <row r="16" spans="1:13" ht="24" customHeight="1">
      <c r="A16" s="448">
        <v>41183</v>
      </c>
      <c r="B16" s="47">
        <v>0</v>
      </c>
      <c r="C16" s="47">
        <v>0</v>
      </c>
      <c r="D16" s="447">
        <f t="shared" si="2"/>
        <v>12452.5</v>
      </c>
      <c r="E16" s="447">
        <f t="shared" si="3"/>
        <v>3398220</v>
      </c>
      <c r="F16" s="140"/>
      <c r="G16" s="47">
        <v>0</v>
      </c>
      <c r="H16" s="141">
        <f t="shared" si="5"/>
        <v>0</v>
      </c>
      <c r="I16" s="47">
        <v>1000000</v>
      </c>
      <c r="J16" s="465">
        <f t="shared" si="6"/>
        <v>2000000</v>
      </c>
      <c r="K16" s="140">
        <f t="shared" si="4"/>
        <v>1398220</v>
      </c>
      <c r="L16" s="140">
        <f t="shared" ref="L16:L28" si="7">E16-J16</f>
        <v>1398220</v>
      </c>
      <c r="M16" s="466"/>
    </row>
    <row r="17" spans="1:13" ht="24" customHeight="1">
      <c r="A17" s="448">
        <v>41214</v>
      </c>
      <c r="B17" s="47">
        <v>0</v>
      </c>
      <c r="C17" s="47">
        <v>0</v>
      </c>
      <c r="D17" s="447">
        <f t="shared" si="2"/>
        <v>12452.5</v>
      </c>
      <c r="E17" s="447">
        <f t="shared" si="3"/>
        <v>3398220</v>
      </c>
      <c r="F17" s="140"/>
      <c r="G17" s="47">
        <v>0</v>
      </c>
      <c r="H17" s="141">
        <f t="shared" si="5"/>
        <v>0</v>
      </c>
      <c r="I17" s="47">
        <v>0</v>
      </c>
      <c r="J17" s="465">
        <f t="shared" si="6"/>
        <v>2000000</v>
      </c>
      <c r="K17" s="140">
        <f t="shared" si="4"/>
        <v>1398220</v>
      </c>
      <c r="L17" s="140">
        <f t="shared" si="7"/>
        <v>1398220</v>
      </c>
      <c r="M17" s="466"/>
    </row>
    <row r="18" spans="1:13" ht="24" customHeight="1">
      <c r="A18" s="448">
        <v>41244</v>
      </c>
      <c r="B18" s="47">
        <v>607</v>
      </c>
      <c r="C18" s="47">
        <v>166655</v>
      </c>
      <c r="D18" s="447">
        <f t="shared" si="2"/>
        <v>13059.5</v>
      </c>
      <c r="E18" s="447">
        <f t="shared" si="3"/>
        <v>3564875</v>
      </c>
      <c r="F18" s="140"/>
      <c r="G18" s="47">
        <v>0</v>
      </c>
      <c r="H18" s="141">
        <f t="shared" si="5"/>
        <v>0</v>
      </c>
      <c r="I18" s="47">
        <v>0</v>
      </c>
      <c r="J18" s="465">
        <f t="shared" si="6"/>
        <v>2000000</v>
      </c>
      <c r="K18" s="140">
        <f t="shared" si="4"/>
        <v>1398220</v>
      </c>
      <c r="L18" s="140">
        <f t="shared" si="7"/>
        <v>1564875</v>
      </c>
      <c r="M18" s="466" t="s">
        <v>4035</v>
      </c>
    </row>
    <row r="19" spans="1:13" ht="24" customHeight="1">
      <c r="A19" s="448">
        <v>41275</v>
      </c>
      <c r="B19" s="47">
        <v>530</v>
      </c>
      <c r="C19" s="47">
        <v>138870</v>
      </c>
      <c r="D19" s="447">
        <f t="shared" si="2"/>
        <v>13589.5</v>
      </c>
      <c r="E19" s="447">
        <f t="shared" si="3"/>
        <v>3703745</v>
      </c>
      <c r="F19" s="140"/>
      <c r="G19" s="47">
        <v>0</v>
      </c>
      <c r="H19" s="141">
        <f t="shared" si="5"/>
        <v>166655</v>
      </c>
      <c r="I19" s="47">
        <v>1000000</v>
      </c>
      <c r="J19" s="465">
        <f t="shared" si="6"/>
        <v>3000000</v>
      </c>
      <c r="K19" s="140">
        <f t="shared" si="4"/>
        <v>564875</v>
      </c>
      <c r="L19" s="140">
        <f t="shared" si="7"/>
        <v>703745</v>
      </c>
      <c r="M19" s="466"/>
    </row>
    <row r="20" spans="1:13" ht="24" customHeight="1">
      <c r="A20" s="448">
        <v>41306</v>
      </c>
      <c r="B20" s="47">
        <v>62</v>
      </c>
      <c r="C20" s="47">
        <v>17070</v>
      </c>
      <c r="D20" s="447">
        <f t="shared" si="2"/>
        <v>13651.5</v>
      </c>
      <c r="E20" s="447">
        <f t="shared" si="3"/>
        <v>3720815</v>
      </c>
      <c r="F20" s="140"/>
      <c r="G20" s="47">
        <v>0</v>
      </c>
      <c r="H20" s="141">
        <f t="shared" si="5"/>
        <v>138870</v>
      </c>
      <c r="I20" s="47">
        <v>0</v>
      </c>
      <c r="J20" s="465">
        <f t="shared" si="6"/>
        <v>3000000</v>
      </c>
      <c r="K20" s="140">
        <f t="shared" si="4"/>
        <v>703745</v>
      </c>
      <c r="L20" s="140">
        <f t="shared" si="7"/>
        <v>720815</v>
      </c>
      <c r="M20" s="466"/>
    </row>
    <row r="21" spans="1:13" ht="24" customHeight="1">
      <c r="A21" s="448">
        <v>41334</v>
      </c>
      <c r="B21" s="47">
        <v>9</v>
      </c>
      <c r="C21" s="47">
        <v>2295</v>
      </c>
      <c r="D21" s="447">
        <f t="shared" si="2"/>
        <v>13660.5</v>
      </c>
      <c r="E21" s="447">
        <f t="shared" si="3"/>
        <v>3723110</v>
      </c>
      <c r="F21" s="140"/>
      <c r="G21" s="47">
        <v>0</v>
      </c>
      <c r="H21" s="141">
        <f t="shared" si="5"/>
        <v>17070</v>
      </c>
      <c r="I21" s="47">
        <v>0</v>
      </c>
      <c r="J21" s="465">
        <f t="shared" si="6"/>
        <v>3000000</v>
      </c>
      <c r="K21" s="140">
        <f t="shared" si="4"/>
        <v>720815</v>
      </c>
      <c r="L21" s="140">
        <f t="shared" si="7"/>
        <v>723110</v>
      </c>
      <c r="M21" s="466"/>
    </row>
    <row r="22" spans="1:13" ht="24" customHeight="1">
      <c r="A22" s="448">
        <v>41365</v>
      </c>
      <c r="B22" s="47">
        <v>0</v>
      </c>
      <c r="C22" s="47">
        <v>0</v>
      </c>
      <c r="D22" s="447">
        <f t="shared" si="2"/>
        <v>13660.5</v>
      </c>
      <c r="E22" s="447">
        <f t="shared" si="3"/>
        <v>3723110</v>
      </c>
      <c r="F22" s="140"/>
      <c r="G22" s="47">
        <v>0</v>
      </c>
      <c r="H22" s="141">
        <f t="shared" si="5"/>
        <v>2295</v>
      </c>
      <c r="I22" s="47">
        <v>0</v>
      </c>
      <c r="J22" s="465">
        <f t="shared" si="6"/>
        <v>3000000</v>
      </c>
      <c r="K22" s="140">
        <f t="shared" si="4"/>
        <v>723110</v>
      </c>
      <c r="L22" s="140">
        <f t="shared" si="7"/>
        <v>723110</v>
      </c>
      <c r="M22" s="466"/>
    </row>
    <row r="23" spans="1:13" ht="24" customHeight="1">
      <c r="A23" s="448">
        <v>41395</v>
      </c>
      <c r="B23" s="47">
        <v>0</v>
      </c>
      <c r="C23" s="47">
        <v>0</v>
      </c>
      <c r="D23" s="447">
        <f t="shared" si="2"/>
        <v>13660.5</v>
      </c>
      <c r="E23" s="447">
        <f t="shared" si="3"/>
        <v>3723110</v>
      </c>
      <c r="F23" s="140"/>
      <c r="G23" s="47">
        <v>0</v>
      </c>
      <c r="H23" s="141">
        <f t="shared" si="5"/>
        <v>0</v>
      </c>
      <c r="I23" s="47">
        <v>0</v>
      </c>
      <c r="J23" s="465">
        <f t="shared" si="6"/>
        <v>3000000</v>
      </c>
      <c r="K23" s="140">
        <f t="shared" si="4"/>
        <v>723110</v>
      </c>
      <c r="L23" s="140">
        <f t="shared" si="7"/>
        <v>723110</v>
      </c>
      <c r="M23" s="466"/>
    </row>
    <row r="24" spans="1:13" ht="24" customHeight="1">
      <c r="A24" s="448">
        <v>41426</v>
      </c>
      <c r="B24" s="47">
        <v>0</v>
      </c>
      <c r="C24" s="47">
        <v>0</v>
      </c>
      <c r="D24" s="447">
        <f t="shared" si="2"/>
        <v>13660.5</v>
      </c>
      <c r="E24" s="447">
        <f t="shared" si="3"/>
        <v>3723110</v>
      </c>
      <c r="F24" s="140"/>
      <c r="G24" s="47">
        <v>0</v>
      </c>
      <c r="H24" s="141">
        <f t="shared" si="5"/>
        <v>0</v>
      </c>
      <c r="I24" s="47">
        <v>0</v>
      </c>
      <c r="J24" s="465">
        <f t="shared" si="6"/>
        <v>3000000</v>
      </c>
      <c r="K24" s="140">
        <f t="shared" si="4"/>
        <v>723110</v>
      </c>
      <c r="L24" s="140">
        <f t="shared" si="7"/>
        <v>723110</v>
      </c>
      <c r="M24" s="466"/>
    </row>
    <row r="25" spans="1:13" ht="24" customHeight="1">
      <c r="A25" s="448">
        <v>41456</v>
      </c>
      <c r="B25" s="47">
        <v>0</v>
      </c>
      <c r="C25" s="47">
        <v>0</v>
      </c>
      <c r="D25" s="447">
        <f t="shared" si="2"/>
        <v>13660.5</v>
      </c>
      <c r="E25" s="447">
        <f t="shared" si="3"/>
        <v>3723110</v>
      </c>
      <c r="F25" s="140"/>
      <c r="G25" s="47">
        <v>0</v>
      </c>
      <c r="H25" s="141">
        <f t="shared" si="5"/>
        <v>0</v>
      </c>
      <c r="I25" s="47">
        <v>0</v>
      </c>
      <c r="J25" s="465">
        <f t="shared" si="6"/>
        <v>3000000</v>
      </c>
      <c r="K25" s="140">
        <f t="shared" si="4"/>
        <v>723110</v>
      </c>
      <c r="L25" s="140">
        <f t="shared" si="7"/>
        <v>723110</v>
      </c>
      <c r="M25" s="466"/>
    </row>
    <row r="26" spans="1:13" ht="24" customHeight="1">
      <c r="A26" s="448">
        <v>41487</v>
      </c>
      <c r="B26" s="47">
        <v>0</v>
      </c>
      <c r="C26" s="47">
        <v>0</v>
      </c>
      <c r="D26" s="447">
        <f t="shared" si="2"/>
        <v>13660.5</v>
      </c>
      <c r="E26" s="447">
        <f t="shared" si="3"/>
        <v>3723110</v>
      </c>
      <c r="F26" s="140"/>
      <c r="G26" s="47">
        <v>0</v>
      </c>
      <c r="H26" s="141">
        <f t="shared" si="5"/>
        <v>0</v>
      </c>
      <c r="I26" s="47">
        <v>0</v>
      </c>
      <c r="J26" s="465">
        <f t="shared" si="6"/>
        <v>3000000</v>
      </c>
      <c r="K26" s="140">
        <f t="shared" si="4"/>
        <v>723110</v>
      </c>
      <c r="L26" s="140">
        <f t="shared" si="7"/>
        <v>723110</v>
      </c>
      <c r="M26" s="466"/>
    </row>
    <row r="27" spans="1:13" ht="24" customHeight="1">
      <c r="A27" s="448">
        <v>41640</v>
      </c>
      <c r="B27" s="47">
        <v>0</v>
      </c>
      <c r="C27" s="47">
        <v>0</v>
      </c>
      <c r="D27" s="447">
        <f t="shared" si="2"/>
        <v>13660.5</v>
      </c>
      <c r="E27" s="447">
        <f t="shared" si="3"/>
        <v>3723110</v>
      </c>
      <c r="F27" s="140"/>
      <c r="G27" s="47">
        <v>0</v>
      </c>
      <c r="H27" s="141">
        <f t="shared" si="5"/>
        <v>0</v>
      </c>
      <c r="I27" s="47">
        <v>650000</v>
      </c>
      <c r="J27" s="465">
        <f t="shared" si="6"/>
        <v>3650000</v>
      </c>
      <c r="K27" s="140">
        <f t="shared" si="4"/>
        <v>73110</v>
      </c>
      <c r="L27" s="140">
        <f t="shared" si="7"/>
        <v>73110</v>
      </c>
      <c r="M27" s="466" t="s">
        <v>4036</v>
      </c>
    </row>
    <row r="28" spans="1:13" ht="42.95" customHeight="1">
      <c r="A28" s="449">
        <v>41671</v>
      </c>
      <c r="B28" s="47">
        <v>0</v>
      </c>
      <c r="C28" s="47">
        <v>0</v>
      </c>
      <c r="D28" s="447">
        <f t="shared" si="2"/>
        <v>13660.5</v>
      </c>
      <c r="E28" s="447">
        <f t="shared" si="3"/>
        <v>3723110</v>
      </c>
      <c r="F28" s="140"/>
      <c r="G28" s="47">
        <v>0</v>
      </c>
      <c r="H28" s="141">
        <f t="shared" si="5"/>
        <v>0</v>
      </c>
      <c r="I28" s="54">
        <v>0</v>
      </c>
      <c r="J28" s="465">
        <f t="shared" si="6"/>
        <v>3650000</v>
      </c>
      <c r="K28" s="140">
        <f t="shared" si="4"/>
        <v>73110</v>
      </c>
      <c r="L28" s="140">
        <f t="shared" si="7"/>
        <v>73110</v>
      </c>
      <c r="M28" s="467" t="s">
        <v>4037</v>
      </c>
    </row>
    <row r="29" spans="1:13" ht="132.94999999999999" customHeight="1">
      <c r="A29" s="2177" t="s">
        <v>4038</v>
      </c>
      <c r="B29" s="2178"/>
      <c r="C29" s="2194" t="s">
        <v>4039</v>
      </c>
      <c r="D29" s="2194"/>
      <c r="E29" s="451" t="s">
        <v>4040</v>
      </c>
      <c r="F29" s="2195"/>
      <c r="G29" s="2195"/>
      <c r="H29" s="2195"/>
      <c r="I29" s="57" t="s">
        <v>237</v>
      </c>
      <c r="J29" s="1635" t="s">
        <v>4041</v>
      </c>
      <c r="K29" s="1635"/>
      <c r="L29" s="1635"/>
      <c r="M29" s="460" t="s">
        <v>4042</v>
      </c>
    </row>
    <row r="30" spans="1:13" ht="45" customHeight="1">
      <c r="A30" s="39" t="s">
        <v>240</v>
      </c>
      <c r="B30" s="1637" t="s">
        <v>3029</v>
      </c>
      <c r="C30" s="1637"/>
      <c r="D30" s="41" t="s">
        <v>242</v>
      </c>
      <c r="E30" s="1637"/>
      <c r="F30" s="1637"/>
      <c r="G30" s="1637"/>
      <c r="H30" s="1637"/>
      <c r="I30" s="1637"/>
      <c r="J30" s="41" t="s">
        <v>243</v>
      </c>
      <c r="K30" s="59" t="s">
        <v>4043</v>
      </c>
      <c r="L30" s="41" t="s">
        <v>245</v>
      </c>
      <c r="M30" s="461" t="s">
        <v>4044</v>
      </c>
    </row>
    <row r="31" spans="1:13" ht="36" customHeight="1">
      <c r="A31" s="39" t="s">
        <v>247</v>
      </c>
      <c r="B31" s="1637" t="s">
        <v>4045</v>
      </c>
      <c r="C31" s="1637"/>
      <c r="D31" s="41" t="s">
        <v>249</v>
      </c>
      <c r="E31" s="43" t="s">
        <v>4046</v>
      </c>
      <c r="F31" s="41" t="s">
        <v>251</v>
      </c>
      <c r="G31" s="41"/>
      <c r="H31" s="41" t="s">
        <v>252</v>
      </c>
      <c r="I31" s="41"/>
      <c r="J31" s="41" t="s">
        <v>565</v>
      </c>
      <c r="K31" s="468" t="s">
        <v>4047</v>
      </c>
      <c r="L31" s="41" t="s">
        <v>255</v>
      </c>
      <c r="M31" s="105" t="s">
        <v>4048</v>
      </c>
    </row>
    <row r="32" spans="1:13" ht="42.95" customHeight="1">
      <c r="A32" s="39" t="s">
        <v>260</v>
      </c>
      <c r="B32" s="1633" t="s">
        <v>4049</v>
      </c>
      <c r="C32" s="1633"/>
      <c r="D32" s="1633"/>
      <c r="E32" s="1633"/>
      <c r="F32" s="1633"/>
      <c r="G32" s="1633"/>
      <c r="H32" s="1633"/>
      <c r="I32" s="2132" t="s">
        <v>4050</v>
      </c>
      <c r="J32" s="2132"/>
      <c r="K32" s="2132"/>
      <c r="L32" s="2156"/>
      <c r="M32" s="2181"/>
    </row>
    <row r="33" spans="1:13" ht="57.95" customHeight="1">
      <c r="A33" s="39" t="s">
        <v>760</v>
      </c>
      <c r="B33" s="1649" t="s">
        <v>4051</v>
      </c>
      <c r="C33" s="1650"/>
      <c r="D33" s="1650"/>
      <c r="E33" s="1650"/>
      <c r="F33" s="1651"/>
      <c r="G33" s="60"/>
      <c r="H33" s="60"/>
      <c r="I33" s="44"/>
      <c r="J33" s="44"/>
      <c r="K33" s="44"/>
      <c r="L33" s="187"/>
      <c r="M33" s="469"/>
    </row>
    <row r="34" spans="1:13" ht="38.1" customHeight="1">
      <c r="A34" s="19" t="s">
        <v>266</v>
      </c>
      <c r="B34" s="20" t="s">
        <v>267</v>
      </c>
      <c r="C34" s="20" t="s">
        <v>268</v>
      </c>
      <c r="D34" s="20" t="s">
        <v>269</v>
      </c>
      <c r="E34" s="20" t="s">
        <v>270</v>
      </c>
      <c r="F34" s="20" t="s">
        <v>271</v>
      </c>
      <c r="G34" s="21" t="s">
        <v>272</v>
      </c>
      <c r="H34" s="22" t="s">
        <v>273</v>
      </c>
      <c r="I34" s="20" t="s">
        <v>274</v>
      </c>
      <c r="J34" s="70" t="s">
        <v>275</v>
      </c>
      <c r="K34" s="70" t="s">
        <v>276</v>
      </c>
      <c r="L34" s="20" t="s">
        <v>277</v>
      </c>
      <c r="M34" s="71" t="s">
        <v>278</v>
      </c>
    </row>
    <row r="35" spans="1:13" ht="23.1" customHeight="1">
      <c r="A35" s="452">
        <v>41334</v>
      </c>
      <c r="B35" s="47">
        <f>806+86</f>
        <v>892</v>
      </c>
      <c r="C35" s="47">
        <v>290461</v>
      </c>
      <c r="D35" s="447">
        <f>B35</f>
        <v>892</v>
      </c>
      <c r="E35" s="447">
        <f>C35</f>
        <v>290461</v>
      </c>
      <c r="F35" s="140">
        <f t="shared" ref="F35:F42" si="8">29000-D35</f>
        <v>28108</v>
      </c>
      <c r="G35" s="47">
        <f>C35</f>
        <v>290461</v>
      </c>
      <c r="H35" s="47"/>
      <c r="I35" s="47"/>
      <c r="J35" s="465"/>
      <c r="K35" s="47"/>
      <c r="L35" s="140">
        <f t="shared" ref="L35:L88" si="9">E35-J35</f>
        <v>290461</v>
      </c>
      <c r="M35" s="470" t="s">
        <v>4052</v>
      </c>
    </row>
    <row r="36" spans="1:13" ht="23.1" customHeight="1">
      <c r="A36" s="452">
        <v>41365</v>
      </c>
      <c r="B36" s="47">
        <v>3661.5</v>
      </c>
      <c r="C36" s="47">
        <v>1201204.5</v>
      </c>
      <c r="D36" s="447">
        <f t="shared" ref="D36:D88" si="10">D35+B36</f>
        <v>4553.5</v>
      </c>
      <c r="E36" s="447">
        <f t="shared" ref="E36:E88" si="11">E35+C36</f>
        <v>1491665.5</v>
      </c>
      <c r="F36" s="140">
        <f t="shared" si="8"/>
        <v>24446.5</v>
      </c>
      <c r="G36" s="47">
        <f>E36</f>
        <v>1491665.5</v>
      </c>
      <c r="H36" s="47">
        <v>0</v>
      </c>
      <c r="I36" s="47"/>
      <c r="J36" s="465"/>
      <c r="K36" s="47">
        <f t="shared" ref="K36:K63" si="12">K35+H36-I36</f>
        <v>0</v>
      </c>
      <c r="L36" s="140">
        <f t="shared" si="9"/>
        <v>1491665.5</v>
      </c>
      <c r="M36" s="471" t="s">
        <v>4053</v>
      </c>
    </row>
    <row r="37" spans="1:13" ht="23.1" customHeight="1">
      <c r="A37" s="452">
        <v>41395</v>
      </c>
      <c r="B37" s="110">
        <f>5209-42</f>
        <v>5167</v>
      </c>
      <c r="C37" s="110">
        <f>1743372-13566</f>
        <v>1729806</v>
      </c>
      <c r="D37" s="447">
        <f t="shared" si="10"/>
        <v>9720.5</v>
      </c>
      <c r="E37" s="447">
        <f t="shared" si="11"/>
        <v>3221471.5</v>
      </c>
      <c r="F37" s="140">
        <f t="shared" si="8"/>
        <v>19279.5</v>
      </c>
      <c r="G37" s="47">
        <v>1500000</v>
      </c>
      <c r="H37" s="47">
        <v>0</v>
      </c>
      <c r="I37" s="47"/>
      <c r="J37" s="465"/>
      <c r="K37" s="47">
        <f t="shared" si="12"/>
        <v>0</v>
      </c>
      <c r="L37" s="140">
        <f t="shared" si="9"/>
        <v>3221471.5</v>
      </c>
      <c r="M37" s="470" t="s">
        <v>4054</v>
      </c>
    </row>
    <row r="38" spans="1:13" ht="23.1" customHeight="1">
      <c r="A38" s="452">
        <v>41426</v>
      </c>
      <c r="B38" s="47">
        <v>4157</v>
      </c>
      <c r="C38" s="47">
        <v>1388176</v>
      </c>
      <c r="D38" s="447">
        <f t="shared" si="10"/>
        <v>13877.5</v>
      </c>
      <c r="E38" s="447">
        <f t="shared" si="11"/>
        <v>4609647.5</v>
      </c>
      <c r="F38" s="140">
        <f t="shared" si="8"/>
        <v>15122.5</v>
      </c>
      <c r="G38" s="47">
        <v>0</v>
      </c>
      <c r="H38" s="47">
        <f>E37-G37</f>
        <v>1721471.5</v>
      </c>
      <c r="I38" s="47">
        <v>1500000</v>
      </c>
      <c r="J38" s="465">
        <f t="shared" ref="J38:J88" si="13">J37+I38</f>
        <v>1500000</v>
      </c>
      <c r="K38" s="47">
        <f t="shared" si="12"/>
        <v>221471.5</v>
      </c>
      <c r="L38" s="140">
        <f t="shared" si="9"/>
        <v>3109647.5</v>
      </c>
      <c r="M38" s="470"/>
    </row>
    <row r="39" spans="1:13" ht="23.1" customHeight="1">
      <c r="A39" s="452">
        <v>41456</v>
      </c>
      <c r="B39" s="47">
        <v>5762.5</v>
      </c>
      <c r="C39" s="47">
        <v>1912197.5</v>
      </c>
      <c r="D39" s="447">
        <f t="shared" si="10"/>
        <v>19640</v>
      </c>
      <c r="E39" s="447">
        <f t="shared" si="11"/>
        <v>6521845</v>
      </c>
      <c r="F39" s="140">
        <f t="shared" si="8"/>
        <v>9360</v>
      </c>
      <c r="G39" s="47">
        <v>0</v>
      </c>
      <c r="H39" s="47">
        <f>1500000+C38</f>
        <v>2888176</v>
      </c>
      <c r="I39" s="47">
        <v>0</v>
      </c>
      <c r="J39" s="465">
        <f t="shared" si="13"/>
        <v>1500000</v>
      </c>
      <c r="K39" s="47">
        <f t="shared" si="12"/>
        <v>3109647.5</v>
      </c>
      <c r="L39" s="140">
        <f t="shared" si="9"/>
        <v>5021845</v>
      </c>
      <c r="M39" s="470" t="s">
        <v>4055</v>
      </c>
    </row>
    <row r="40" spans="1:13" ht="23.1" customHeight="1">
      <c r="A40" s="452">
        <v>41487</v>
      </c>
      <c r="B40" s="47">
        <v>2928</v>
      </c>
      <c r="C40" s="47">
        <v>940349</v>
      </c>
      <c r="D40" s="447">
        <f t="shared" si="10"/>
        <v>22568</v>
      </c>
      <c r="E40" s="447">
        <f t="shared" si="11"/>
        <v>7462194</v>
      </c>
      <c r="F40" s="140">
        <f t="shared" si="8"/>
        <v>6432</v>
      </c>
      <c r="G40" s="47">
        <v>0</v>
      </c>
      <c r="H40" s="47">
        <f t="shared" ref="H40:H63" si="14">C39</f>
        <v>1912197.5</v>
      </c>
      <c r="I40" s="47">
        <v>2000000</v>
      </c>
      <c r="J40" s="465">
        <f t="shared" si="13"/>
        <v>3500000</v>
      </c>
      <c r="K40" s="47">
        <f t="shared" si="12"/>
        <v>3021845</v>
      </c>
      <c r="L40" s="140">
        <f t="shared" si="9"/>
        <v>3962194</v>
      </c>
      <c r="M40" s="470" t="s">
        <v>4056</v>
      </c>
    </row>
    <row r="41" spans="1:13" ht="23.1" customHeight="1">
      <c r="A41" s="452">
        <v>41518</v>
      </c>
      <c r="B41" s="47">
        <v>2046</v>
      </c>
      <c r="C41" s="47">
        <v>607738</v>
      </c>
      <c r="D41" s="447">
        <f t="shared" si="10"/>
        <v>24614</v>
      </c>
      <c r="E41" s="447">
        <f t="shared" si="11"/>
        <v>8069932</v>
      </c>
      <c r="F41" s="140">
        <f t="shared" si="8"/>
        <v>4386</v>
      </c>
      <c r="G41" s="47">
        <v>0</v>
      </c>
      <c r="H41" s="47">
        <f t="shared" si="14"/>
        <v>940349</v>
      </c>
      <c r="I41" s="47">
        <v>2000000</v>
      </c>
      <c r="J41" s="465">
        <f t="shared" si="13"/>
        <v>5500000</v>
      </c>
      <c r="K41" s="47">
        <f t="shared" si="12"/>
        <v>1962194</v>
      </c>
      <c r="L41" s="140">
        <f t="shared" si="9"/>
        <v>2569932</v>
      </c>
      <c r="M41" s="470"/>
    </row>
    <row r="42" spans="1:13" ht="23.1" customHeight="1">
      <c r="A42" s="452">
        <v>41548</v>
      </c>
      <c r="B42" s="47">
        <v>1541.5</v>
      </c>
      <c r="C42" s="47">
        <v>431362</v>
      </c>
      <c r="D42" s="447">
        <f t="shared" si="10"/>
        <v>26155.5</v>
      </c>
      <c r="E42" s="447">
        <f t="shared" si="11"/>
        <v>8501294</v>
      </c>
      <c r="F42" s="140">
        <f t="shared" si="8"/>
        <v>2844.5</v>
      </c>
      <c r="G42" s="47">
        <v>0</v>
      </c>
      <c r="H42" s="47">
        <f t="shared" si="14"/>
        <v>607738</v>
      </c>
      <c r="I42" s="47">
        <v>0</v>
      </c>
      <c r="J42" s="465">
        <f t="shared" si="13"/>
        <v>5500000</v>
      </c>
      <c r="K42" s="47">
        <f t="shared" si="12"/>
        <v>2569932</v>
      </c>
      <c r="L42" s="140">
        <f t="shared" si="9"/>
        <v>3001294</v>
      </c>
      <c r="M42" s="470"/>
    </row>
    <row r="43" spans="1:13" ht="23.1" customHeight="1">
      <c r="A43" s="452">
        <v>41579</v>
      </c>
      <c r="B43" s="47">
        <v>10953</v>
      </c>
      <c r="C43" s="47">
        <v>3836344</v>
      </c>
      <c r="D43" s="447">
        <f t="shared" si="10"/>
        <v>37108.5</v>
      </c>
      <c r="E43" s="447">
        <f t="shared" si="11"/>
        <v>12337638</v>
      </c>
      <c r="F43" s="140"/>
      <c r="G43" s="47"/>
      <c r="H43" s="47">
        <f t="shared" si="14"/>
        <v>431362</v>
      </c>
      <c r="I43" s="47">
        <v>0</v>
      </c>
      <c r="J43" s="465">
        <f t="shared" si="13"/>
        <v>5500000</v>
      </c>
      <c r="K43" s="47">
        <f t="shared" si="12"/>
        <v>3001294</v>
      </c>
      <c r="L43" s="140">
        <f t="shared" si="9"/>
        <v>6837638</v>
      </c>
      <c r="M43" s="470" t="s">
        <v>4057</v>
      </c>
    </row>
    <row r="44" spans="1:13" ht="23.1" customHeight="1">
      <c r="A44" s="452">
        <v>41609</v>
      </c>
      <c r="B44" s="47">
        <v>13599</v>
      </c>
      <c r="C44" s="47">
        <v>5089612</v>
      </c>
      <c r="D44" s="447">
        <f t="shared" si="10"/>
        <v>50707.5</v>
      </c>
      <c r="E44" s="447">
        <f t="shared" si="11"/>
        <v>17427250</v>
      </c>
      <c r="F44" s="140"/>
      <c r="G44" s="47"/>
      <c r="H44" s="47">
        <f t="shared" si="14"/>
        <v>3836344</v>
      </c>
      <c r="I44" s="47">
        <f>500000+2500000</f>
        <v>3000000</v>
      </c>
      <c r="J44" s="465">
        <f t="shared" si="13"/>
        <v>8500000</v>
      </c>
      <c r="K44" s="47">
        <f t="shared" si="12"/>
        <v>3837638</v>
      </c>
      <c r="L44" s="140">
        <f t="shared" si="9"/>
        <v>8927250</v>
      </c>
      <c r="M44" s="470" t="s">
        <v>4058</v>
      </c>
    </row>
    <row r="45" spans="1:13" ht="23.1" customHeight="1">
      <c r="A45" s="452">
        <v>41640</v>
      </c>
      <c r="B45" s="47">
        <v>8003.5</v>
      </c>
      <c r="C45" s="47">
        <v>2890090.5</v>
      </c>
      <c r="D45" s="447">
        <f t="shared" si="10"/>
        <v>58711</v>
      </c>
      <c r="E45" s="447">
        <f t="shared" si="11"/>
        <v>20317340.5</v>
      </c>
      <c r="F45" s="140"/>
      <c r="G45" s="47"/>
      <c r="H45" s="47">
        <f t="shared" si="14"/>
        <v>5089612</v>
      </c>
      <c r="I45" s="47">
        <f>2000000+4000000</f>
        <v>6000000</v>
      </c>
      <c r="J45" s="465">
        <f t="shared" si="13"/>
        <v>14500000</v>
      </c>
      <c r="K45" s="47">
        <f t="shared" si="12"/>
        <v>2927250</v>
      </c>
      <c r="L45" s="140">
        <f t="shared" si="9"/>
        <v>5817340.5</v>
      </c>
      <c r="M45" s="470" t="s">
        <v>4059</v>
      </c>
    </row>
    <row r="46" spans="1:13" ht="23.1" customHeight="1">
      <c r="A46" s="452">
        <v>41671</v>
      </c>
      <c r="B46" s="47">
        <v>252</v>
      </c>
      <c r="C46" s="47">
        <v>79046</v>
      </c>
      <c r="D46" s="447">
        <f t="shared" si="10"/>
        <v>58963</v>
      </c>
      <c r="E46" s="447">
        <f t="shared" si="11"/>
        <v>20396386.5</v>
      </c>
      <c r="F46" s="140"/>
      <c r="G46" s="47"/>
      <c r="H46" s="47">
        <f t="shared" si="14"/>
        <v>2890090.5</v>
      </c>
      <c r="I46" s="47">
        <v>0</v>
      </c>
      <c r="J46" s="465">
        <f t="shared" si="13"/>
        <v>14500000</v>
      </c>
      <c r="K46" s="47">
        <f t="shared" si="12"/>
        <v>5817340.5</v>
      </c>
      <c r="L46" s="140">
        <f t="shared" si="9"/>
        <v>5896386.5</v>
      </c>
      <c r="M46" s="470" t="s">
        <v>4060</v>
      </c>
    </row>
    <row r="47" spans="1:13" ht="23.1" customHeight="1">
      <c r="A47" s="452">
        <v>41699</v>
      </c>
      <c r="B47" s="47">
        <v>7695</v>
      </c>
      <c r="C47" s="47">
        <v>2905725</v>
      </c>
      <c r="D47" s="447">
        <f t="shared" si="10"/>
        <v>66658</v>
      </c>
      <c r="E47" s="447">
        <f t="shared" si="11"/>
        <v>23302111.5</v>
      </c>
      <c r="F47" s="140"/>
      <c r="G47" s="47"/>
      <c r="H47" s="47">
        <f t="shared" si="14"/>
        <v>79046</v>
      </c>
      <c r="I47" s="47">
        <v>2500000</v>
      </c>
      <c r="J47" s="465">
        <f t="shared" si="13"/>
        <v>17000000</v>
      </c>
      <c r="K47" s="47">
        <f t="shared" si="12"/>
        <v>3396386.5</v>
      </c>
      <c r="L47" s="140">
        <f t="shared" si="9"/>
        <v>6302111.5</v>
      </c>
      <c r="M47" s="470" t="s">
        <v>4061</v>
      </c>
    </row>
    <row r="48" spans="1:13" ht="23.1" customHeight="1">
      <c r="A48" s="453">
        <v>41730</v>
      </c>
      <c r="B48" s="181">
        <v>7714.5</v>
      </c>
      <c r="C48" s="284">
        <f>2805633.5-327.5</f>
        <v>2805306</v>
      </c>
      <c r="D48" s="454">
        <f t="shared" si="10"/>
        <v>74372.5</v>
      </c>
      <c r="E48" s="454">
        <f t="shared" si="11"/>
        <v>26107417.5</v>
      </c>
      <c r="F48" s="200"/>
      <c r="G48" s="181"/>
      <c r="H48" s="181">
        <f t="shared" si="14"/>
        <v>2905725</v>
      </c>
      <c r="I48" s="181">
        <v>0</v>
      </c>
      <c r="J48" s="262">
        <f t="shared" si="13"/>
        <v>17000000</v>
      </c>
      <c r="K48" s="181">
        <f t="shared" si="12"/>
        <v>6302111.5</v>
      </c>
      <c r="L48" s="200">
        <f t="shared" si="9"/>
        <v>9107417.5</v>
      </c>
      <c r="M48" s="472"/>
    </row>
    <row r="49" spans="1:13" ht="23.1" customHeight="1">
      <c r="A49" s="455">
        <v>41760</v>
      </c>
      <c r="B49" s="456">
        <v>6677.5</v>
      </c>
      <c r="C49" s="456">
        <v>2416639</v>
      </c>
      <c r="D49" s="454">
        <f t="shared" si="10"/>
        <v>81050</v>
      </c>
      <c r="E49" s="454">
        <f t="shared" si="11"/>
        <v>28524056.5</v>
      </c>
      <c r="F49" s="200"/>
      <c r="G49" s="181"/>
      <c r="H49" s="181">
        <f t="shared" si="14"/>
        <v>2805306</v>
      </c>
      <c r="I49" s="181">
        <v>3000000</v>
      </c>
      <c r="J49" s="262">
        <f t="shared" si="13"/>
        <v>20000000</v>
      </c>
      <c r="K49" s="181">
        <f t="shared" si="12"/>
        <v>6107417.5</v>
      </c>
      <c r="L49" s="200">
        <f t="shared" si="9"/>
        <v>8524056.5</v>
      </c>
      <c r="M49" s="472" t="s">
        <v>4062</v>
      </c>
    </row>
    <row r="50" spans="1:13" ht="23.1" customHeight="1">
      <c r="A50" s="455">
        <v>41791</v>
      </c>
      <c r="B50" s="181">
        <v>8016</v>
      </c>
      <c r="C50" s="181">
        <v>2907958</v>
      </c>
      <c r="D50" s="454">
        <f t="shared" si="10"/>
        <v>89066</v>
      </c>
      <c r="E50" s="454">
        <f t="shared" si="11"/>
        <v>31432014.5</v>
      </c>
      <c r="F50" s="200"/>
      <c r="G50" s="181"/>
      <c r="H50" s="181">
        <f t="shared" si="14"/>
        <v>2416639</v>
      </c>
      <c r="I50" s="181">
        <v>3000000</v>
      </c>
      <c r="J50" s="262">
        <f t="shared" si="13"/>
        <v>23000000</v>
      </c>
      <c r="K50" s="181">
        <f t="shared" si="12"/>
        <v>5524056.5</v>
      </c>
      <c r="L50" s="200">
        <f t="shared" si="9"/>
        <v>8432014.5</v>
      </c>
      <c r="M50" s="472" t="s">
        <v>4063</v>
      </c>
    </row>
    <row r="51" spans="1:13" ht="23.1" customHeight="1">
      <c r="A51" s="455">
        <v>41821</v>
      </c>
      <c r="B51" s="181">
        <v>8694</v>
      </c>
      <c r="C51" s="181">
        <v>3145407</v>
      </c>
      <c r="D51" s="454">
        <f t="shared" si="10"/>
        <v>97760</v>
      </c>
      <c r="E51" s="454">
        <f t="shared" si="11"/>
        <v>34577421.5</v>
      </c>
      <c r="F51" s="200"/>
      <c r="G51" s="181"/>
      <c r="H51" s="181">
        <f t="shared" si="14"/>
        <v>2907958</v>
      </c>
      <c r="I51" s="181">
        <v>2000000</v>
      </c>
      <c r="J51" s="262">
        <f t="shared" si="13"/>
        <v>25000000</v>
      </c>
      <c r="K51" s="181">
        <f t="shared" si="12"/>
        <v>6432014.5</v>
      </c>
      <c r="L51" s="200">
        <f t="shared" si="9"/>
        <v>9577421.5</v>
      </c>
      <c r="M51" s="473" t="s">
        <v>4064</v>
      </c>
    </row>
    <row r="52" spans="1:13" ht="23.1" customHeight="1">
      <c r="A52" s="455">
        <v>41852</v>
      </c>
      <c r="B52" s="457">
        <v>7836</v>
      </c>
      <c r="C52" s="457">
        <v>2733528</v>
      </c>
      <c r="D52" s="454">
        <f t="shared" si="10"/>
        <v>105596</v>
      </c>
      <c r="E52" s="454">
        <f t="shared" si="11"/>
        <v>37310949.5</v>
      </c>
      <c r="F52" s="338"/>
      <c r="G52" s="457"/>
      <c r="H52" s="181">
        <f t="shared" si="14"/>
        <v>3145407</v>
      </c>
      <c r="I52" s="457">
        <v>2000000</v>
      </c>
      <c r="J52" s="262">
        <f t="shared" si="13"/>
        <v>27000000</v>
      </c>
      <c r="K52" s="181">
        <f t="shared" si="12"/>
        <v>7577421.5</v>
      </c>
      <c r="L52" s="200">
        <f t="shared" si="9"/>
        <v>10310949.5</v>
      </c>
      <c r="M52" s="474" t="s">
        <v>4065</v>
      </c>
    </row>
    <row r="53" spans="1:13" ht="23.1" customHeight="1">
      <c r="A53" s="455">
        <v>41883</v>
      </c>
      <c r="B53" s="457">
        <v>5887.5</v>
      </c>
      <c r="C53" s="457">
        <v>2052497.5</v>
      </c>
      <c r="D53" s="454">
        <f t="shared" si="10"/>
        <v>111483.5</v>
      </c>
      <c r="E53" s="454">
        <f t="shared" si="11"/>
        <v>39363447</v>
      </c>
      <c r="F53" s="338"/>
      <c r="G53" s="457"/>
      <c r="H53" s="181">
        <f t="shared" si="14"/>
        <v>2733528</v>
      </c>
      <c r="I53" s="457">
        <v>5000000</v>
      </c>
      <c r="J53" s="262">
        <f t="shared" si="13"/>
        <v>32000000</v>
      </c>
      <c r="K53" s="181">
        <f t="shared" si="12"/>
        <v>5310949.5</v>
      </c>
      <c r="L53" s="200">
        <f t="shared" si="9"/>
        <v>7363447</v>
      </c>
      <c r="M53" s="474" t="s">
        <v>4066</v>
      </c>
    </row>
    <row r="54" spans="1:13" ht="23.1" customHeight="1">
      <c r="A54" s="455">
        <v>41913</v>
      </c>
      <c r="B54" s="457">
        <v>4598.5</v>
      </c>
      <c r="C54" s="457">
        <v>1604465.5</v>
      </c>
      <c r="D54" s="454">
        <f t="shared" si="10"/>
        <v>116082</v>
      </c>
      <c r="E54" s="454">
        <f t="shared" si="11"/>
        <v>40967912.5</v>
      </c>
      <c r="F54" s="338"/>
      <c r="G54" s="457"/>
      <c r="H54" s="181">
        <f t="shared" si="14"/>
        <v>2052497.5</v>
      </c>
      <c r="I54" s="457">
        <v>3000000</v>
      </c>
      <c r="J54" s="262">
        <f t="shared" si="13"/>
        <v>35000000</v>
      </c>
      <c r="K54" s="181">
        <f t="shared" si="12"/>
        <v>4363447</v>
      </c>
      <c r="L54" s="200">
        <f t="shared" si="9"/>
        <v>5967912.5</v>
      </c>
      <c r="M54" s="474" t="s">
        <v>4067</v>
      </c>
    </row>
    <row r="55" spans="1:13" ht="23.1" customHeight="1">
      <c r="A55" s="455">
        <v>41944</v>
      </c>
      <c r="B55" s="457">
        <v>4985</v>
      </c>
      <c r="C55" s="457">
        <v>1686441</v>
      </c>
      <c r="D55" s="454">
        <f t="shared" si="10"/>
        <v>121067</v>
      </c>
      <c r="E55" s="454">
        <f t="shared" si="11"/>
        <v>42654353.5</v>
      </c>
      <c r="F55" s="338"/>
      <c r="G55" s="457"/>
      <c r="H55" s="181">
        <f t="shared" si="14"/>
        <v>1604465.5</v>
      </c>
      <c r="I55" s="457">
        <v>2000000</v>
      </c>
      <c r="J55" s="262">
        <f t="shared" si="13"/>
        <v>37000000</v>
      </c>
      <c r="K55" s="181">
        <f t="shared" si="12"/>
        <v>3967912.5</v>
      </c>
      <c r="L55" s="200">
        <f t="shared" si="9"/>
        <v>5654353.5</v>
      </c>
      <c r="M55" s="474" t="s">
        <v>4068</v>
      </c>
    </row>
    <row r="56" spans="1:13" ht="23.1" customHeight="1">
      <c r="A56" s="455">
        <v>41974</v>
      </c>
      <c r="B56" s="457">
        <v>4867</v>
      </c>
      <c r="C56" s="457">
        <v>1646388.5</v>
      </c>
      <c r="D56" s="454">
        <f t="shared" si="10"/>
        <v>125934</v>
      </c>
      <c r="E56" s="454">
        <f t="shared" si="11"/>
        <v>44300742</v>
      </c>
      <c r="F56" s="338"/>
      <c r="G56" s="457"/>
      <c r="H56" s="181">
        <f t="shared" si="14"/>
        <v>1686441</v>
      </c>
      <c r="I56" s="457"/>
      <c r="J56" s="262">
        <f t="shared" si="13"/>
        <v>37000000</v>
      </c>
      <c r="K56" s="181">
        <f t="shared" si="12"/>
        <v>5654353.5</v>
      </c>
      <c r="L56" s="200">
        <f t="shared" si="9"/>
        <v>7300742</v>
      </c>
      <c r="M56" s="474"/>
    </row>
    <row r="57" spans="1:13" ht="23.1" customHeight="1">
      <c r="A57" s="458">
        <v>42005</v>
      </c>
      <c r="B57" s="457">
        <v>3397</v>
      </c>
      <c r="C57" s="457">
        <v>1175588.5</v>
      </c>
      <c r="D57" s="454">
        <f t="shared" si="10"/>
        <v>129331</v>
      </c>
      <c r="E57" s="454">
        <f t="shared" si="11"/>
        <v>45476330.5</v>
      </c>
      <c r="F57" s="338"/>
      <c r="G57" s="457"/>
      <c r="H57" s="181">
        <f t="shared" si="14"/>
        <v>1646388.5</v>
      </c>
      <c r="I57" s="457">
        <v>2000000</v>
      </c>
      <c r="J57" s="262">
        <f t="shared" si="13"/>
        <v>39000000</v>
      </c>
      <c r="K57" s="181">
        <f t="shared" si="12"/>
        <v>5300742</v>
      </c>
      <c r="L57" s="200">
        <f t="shared" si="9"/>
        <v>6476330.5</v>
      </c>
      <c r="M57" s="474" t="s">
        <v>4069</v>
      </c>
    </row>
    <row r="58" spans="1:13" ht="23.1" customHeight="1">
      <c r="A58" s="458">
        <v>42037</v>
      </c>
      <c r="B58" s="316">
        <v>1375</v>
      </c>
      <c r="C58" s="316">
        <v>475032</v>
      </c>
      <c r="D58" s="454">
        <f t="shared" si="10"/>
        <v>130706</v>
      </c>
      <c r="E58" s="454">
        <f t="shared" si="11"/>
        <v>45951362.5</v>
      </c>
      <c r="F58" s="338"/>
      <c r="G58" s="457"/>
      <c r="H58" s="181">
        <f t="shared" si="14"/>
        <v>1175588.5</v>
      </c>
      <c r="I58" s="457">
        <v>3000000</v>
      </c>
      <c r="J58" s="262">
        <f t="shared" si="13"/>
        <v>42000000</v>
      </c>
      <c r="K58" s="181">
        <f t="shared" si="12"/>
        <v>3476330.5</v>
      </c>
      <c r="L58" s="200">
        <f t="shared" si="9"/>
        <v>3951362.5</v>
      </c>
      <c r="M58" s="474" t="s">
        <v>4070</v>
      </c>
    </row>
    <row r="59" spans="1:13" ht="23.1" customHeight="1">
      <c r="A59" s="458">
        <v>42069</v>
      </c>
      <c r="B59" s="457">
        <f>574.5+27</f>
        <v>601.5</v>
      </c>
      <c r="C59" s="457">
        <f>200346+9396</f>
        <v>209742</v>
      </c>
      <c r="D59" s="454">
        <f t="shared" si="10"/>
        <v>131307.5</v>
      </c>
      <c r="E59" s="454">
        <f t="shared" si="11"/>
        <v>46161104.5</v>
      </c>
      <c r="F59" s="338"/>
      <c r="G59" s="457"/>
      <c r="H59" s="181">
        <f t="shared" si="14"/>
        <v>475032</v>
      </c>
      <c r="I59" s="457"/>
      <c r="J59" s="262">
        <f t="shared" si="13"/>
        <v>42000000</v>
      </c>
      <c r="K59" s="181">
        <f t="shared" si="12"/>
        <v>3951362.5</v>
      </c>
      <c r="L59" s="200">
        <f t="shared" si="9"/>
        <v>4161104.5</v>
      </c>
      <c r="M59" s="475"/>
    </row>
    <row r="60" spans="1:13" ht="23.1" customHeight="1">
      <c r="A60" s="458">
        <v>42100</v>
      </c>
      <c r="B60" s="457">
        <v>833.5</v>
      </c>
      <c r="C60" s="457">
        <v>271115</v>
      </c>
      <c r="D60" s="454">
        <f t="shared" si="10"/>
        <v>132141</v>
      </c>
      <c r="E60" s="454">
        <f t="shared" si="11"/>
        <v>46432219.5</v>
      </c>
      <c r="F60" s="338"/>
      <c r="G60" s="457"/>
      <c r="H60" s="181">
        <f t="shared" si="14"/>
        <v>209742</v>
      </c>
      <c r="I60" s="457">
        <v>1000000</v>
      </c>
      <c r="J60" s="262">
        <f t="shared" si="13"/>
        <v>43000000</v>
      </c>
      <c r="K60" s="181">
        <f t="shared" si="12"/>
        <v>3161104.5</v>
      </c>
      <c r="L60" s="213">
        <f t="shared" si="9"/>
        <v>3432219.5</v>
      </c>
      <c r="M60" s="476" t="s">
        <v>4071</v>
      </c>
    </row>
    <row r="61" spans="1:13" ht="23.1" customHeight="1">
      <c r="A61" s="458">
        <v>42130</v>
      </c>
      <c r="B61" s="457">
        <v>769</v>
      </c>
      <c r="C61" s="457">
        <v>254370</v>
      </c>
      <c r="D61" s="454">
        <f t="shared" si="10"/>
        <v>132910</v>
      </c>
      <c r="E61" s="454">
        <f t="shared" si="11"/>
        <v>46686589.5</v>
      </c>
      <c r="F61" s="338"/>
      <c r="G61" s="457"/>
      <c r="H61" s="181">
        <f t="shared" si="14"/>
        <v>271115</v>
      </c>
      <c r="I61" s="457"/>
      <c r="J61" s="262">
        <f t="shared" si="13"/>
        <v>43000000</v>
      </c>
      <c r="K61" s="181">
        <f t="shared" si="12"/>
        <v>3432219.5</v>
      </c>
      <c r="L61" s="213">
        <f t="shared" si="9"/>
        <v>3686589.5</v>
      </c>
      <c r="M61" s="476"/>
    </row>
    <row r="62" spans="1:13" ht="23.1" customHeight="1">
      <c r="A62" s="459">
        <v>42156</v>
      </c>
      <c r="B62" s="457">
        <v>1424</v>
      </c>
      <c r="C62" s="457">
        <v>473045</v>
      </c>
      <c r="D62" s="454">
        <f t="shared" si="10"/>
        <v>134334</v>
      </c>
      <c r="E62" s="454">
        <f t="shared" si="11"/>
        <v>47159634.5</v>
      </c>
      <c r="F62" s="338"/>
      <c r="G62" s="457"/>
      <c r="H62" s="181">
        <f t="shared" si="14"/>
        <v>254370</v>
      </c>
      <c r="I62" s="457">
        <v>1000000</v>
      </c>
      <c r="J62" s="262">
        <f t="shared" si="13"/>
        <v>44000000</v>
      </c>
      <c r="K62" s="181">
        <f t="shared" si="12"/>
        <v>2686589.5</v>
      </c>
      <c r="L62" s="213">
        <f t="shared" si="9"/>
        <v>3159634.5</v>
      </c>
      <c r="M62" s="476" t="s">
        <v>2215</v>
      </c>
    </row>
    <row r="63" spans="1:13" ht="23.1" customHeight="1">
      <c r="A63" s="459">
        <v>42186</v>
      </c>
      <c r="B63" s="457">
        <v>1442</v>
      </c>
      <c r="C63" s="457">
        <v>473715</v>
      </c>
      <c r="D63" s="454">
        <f t="shared" si="10"/>
        <v>135776</v>
      </c>
      <c r="E63" s="454">
        <f t="shared" si="11"/>
        <v>47633349.5</v>
      </c>
      <c r="F63" s="338"/>
      <c r="G63" s="457"/>
      <c r="H63" s="181">
        <f t="shared" si="14"/>
        <v>473045</v>
      </c>
      <c r="I63" s="457"/>
      <c r="J63" s="262">
        <f t="shared" si="13"/>
        <v>44000000</v>
      </c>
      <c r="K63" s="181">
        <f t="shared" si="12"/>
        <v>3159634.5</v>
      </c>
      <c r="L63" s="213">
        <f t="shared" si="9"/>
        <v>3633349.5</v>
      </c>
      <c r="M63" s="476"/>
    </row>
    <row r="64" spans="1:13" ht="23.1" customHeight="1">
      <c r="A64" s="459" t="s">
        <v>4072</v>
      </c>
      <c r="B64" s="457"/>
      <c r="C64" s="457">
        <v>-97573.13</v>
      </c>
      <c r="D64" s="454">
        <f t="shared" si="10"/>
        <v>135776</v>
      </c>
      <c r="E64" s="454">
        <f t="shared" si="11"/>
        <v>47535776.369999997</v>
      </c>
      <c r="F64" s="338"/>
      <c r="G64" s="457"/>
      <c r="H64" s="181">
        <f t="shared" ref="H64:H89" si="15">C63</f>
        <v>473715</v>
      </c>
      <c r="I64" s="457"/>
      <c r="J64" s="262">
        <f t="shared" si="13"/>
        <v>44000000</v>
      </c>
      <c r="K64" s="181">
        <f t="shared" ref="K64:K89" si="16">K63+H64-I64</f>
        <v>3633349.5</v>
      </c>
      <c r="L64" s="213">
        <f t="shared" si="9"/>
        <v>3535776.3699999973</v>
      </c>
      <c r="M64" s="476"/>
    </row>
    <row r="65" spans="1:13" ht="23.1" customHeight="1">
      <c r="A65" s="459" t="s">
        <v>4073</v>
      </c>
      <c r="B65" s="457"/>
      <c r="C65" s="457">
        <v>-90326.25</v>
      </c>
      <c r="D65" s="454">
        <f t="shared" si="10"/>
        <v>135776</v>
      </c>
      <c r="E65" s="454">
        <f t="shared" si="11"/>
        <v>47445450.119999997</v>
      </c>
      <c r="F65" s="338"/>
      <c r="G65" s="457"/>
      <c r="H65" s="181">
        <f t="shared" si="15"/>
        <v>-97573.13</v>
      </c>
      <c r="I65" s="457"/>
      <c r="J65" s="262">
        <f t="shared" si="13"/>
        <v>44000000</v>
      </c>
      <c r="K65" s="181">
        <f t="shared" si="16"/>
        <v>3535776.37</v>
      </c>
      <c r="L65" s="213">
        <f t="shared" si="9"/>
        <v>3445450.1199999973</v>
      </c>
      <c r="M65" s="476"/>
    </row>
    <row r="66" spans="1:13" ht="23.1" customHeight="1">
      <c r="A66" s="459" t="s">
        <v>4074</v>
      </c>
      <c r="B66" s="457"/>
      <c r="C66" s="316">
        <v>-471792.25</v>
      </c>
      <c r="D66" s="454">
        <f t="shared" si="10"/>
        <v>135776</v>
      </c>
      <c r="E66" s="454">
        <f t="shared" si="11"/>
        <v>46973657.869999997</v>
      </c>
      <c r="F66" s="338"/>
      <c r="G66" s="457"/>
      <c r="H66" s="181">
        <f t="shared" si="15"/>
        <v>-90326.25</v>
      </c>
      <c r="I66" s="457"/>
      <c r="J66" s="262">
        <f t="shared" si="13"/>
        <v>44000000</v>
      </c>
      <c r="K66" s="181">
        <f t="shared" si="16"/>
        <v>3445450.12</v>
      </c>
      <c r="L66" s="213">
        <f t="shared" si="9"/>
        <v>2973657.8699999973</v>
      </c>
      <c r="M66" s="476"/>
    </row>
    <row r="67" spans="1:13" ht="23.1" customHeight="1">
      <c r="A67" s="459" t="s">
        <v>4075</v>
      </c>
      <c r="B67" s="457"/>
      <c r="C67" s="262">
        <v>-628085.63</v>
      </c>
      <c r="D67" s="454">
        <f t="shared" si="10"/>
        <v>135776</v>
      </c>
      <c r="E67" s="454">
        <f t="shared" si="11"/>
        <v>46345572.239999995</v>
      </c>
      <c r="F67" s="338"/>
      <c r="G67" s="457"/>
      <c r="H67" s="181">
        <f t="shared" si="15"/>
        <v>-471792.25</v>
      </c>
      <c r="I67" s="457"/>
      <c r="J67" s="262">
        <f t="shared" si="13"/>
        <v>44000000</v>
      </c>
      <c r="K67" s="181">
        <f t="shared" si="16"/>
        <v>2973657.87</v>
      </c>
      <c r="L67" s="213">
        <f t="shared" si="9"/>
        <v>2345572.2399999946</v>
      </c>
      <c r="M67" s="476"/>
    </row>
    <row r="68" spans="1:13" ht="23.1" customHeight="1">
      <c r="A68" s="459" t="s">
        <v>4076</v>
      </c>
      <c r="B68" s="457"/>
      <c r="C68" s="262">
        <v>-343754.5</v>
      </c>
      <c r="D68" s="454">
        <f t="shared" si="10"/>
        <v>135776</v>
      </c>
      <c r="E68" s="454">
        <f t="shared" si="11"/>
        <v>46001817.739999995</v>
      </c>
      <c r="F68" s="338"/>
      <c r="G68" s="457"/>
      <c r="H68" s="181">
        <f t="shared" si="15"/>
        <v>-628085.63</v>
      </c>
      <c r="I68" s="457"/>
      <c r="J68" s="262">
        <f t="shared" si="13"/>
        <v>44000000</v>
      </c>
      <c r="K68" s="181">
        <f t="shared" si="16"/>
        <v>2345572.2400000002</v>
      </c>
      <c r="L68" s="213">
        <f t="shared" si="9"/>
        <v>2001817.7399999946</v>
      </c>
      <c r="M68" s="476"/>
    </row>
    <row r="69" spans="1:13" ht="23.1" customHeight="1">
      <c r="A69" s="459">
        <v>42217</v>
      </c>
      <c r="B69" s="457">
        <v>1035</v>
      </c>
      <c r="C69" s="457">
        <v>335310</v>
      </c>
      <c r="D69" s="454">
        <f t="shared" si="10"/>
        <v>136811</v>
      </c>
      <c r="E69" s="454">
        <f t="shared" si="11"/>
        <v>46337127.739999995</v>
      </c>
      <c r="F69" s="338"/>
      <c r="G69" s="457"/>
      <c r="H69" s="181">
        <f t="shared" si="15"/>
        <v>-343754.5</v>
      </c>
      <c r="I69" s="457">
        <v>1430.6</v>
      </c>
      <c r="J69" s="262">
        <f t="shared" si="13"/>
        <v>44001430.600000001</v>
      </c>
      <c r="K69" s="181">
        <f t="shared" si="16"/>
        <v>2000387.1400000001</v>
      </c>
      <c r="L69" s="213">
        <f t="shared" si="9"/>
        <v>2335697.1399999931</v>
      </c>
      <c r="M69" s="476" t="s">
        <v>4077</v>
      </c>
    </row>
    <row r="70" spans="1:13" ht="23.1" customHeight="1">
      <c r="A70" s="459">
        <v>42248</v>
      </c>
      <c r="B70" s="457">
        <v>566</v>
      </c>
      <c r="C70" s="457">
        <v>173145</v>
      </c>
      <c r="D70" s="454">
        <f t="shared" si="10"/>
        <v>137377</v>
      </c>
      <c r="E70" s="454">
        <f t="shared" si="11"/>
        <v>46510272.739999995</v>
      </c>
      <c r="F70" s="338"/>
      <c r="G70" s="457"/>
      <c r="H70" s="181">
        <f t="shared" si="15"/>
        <v>335310</v>
      </c>
      <c r="I70" s="457"/>
      <c r="J70" s="262">
        <f t="shared" si="13"/>
        <v>44001430.600000001</v>
      </c>
      <c r="K70" s="181">
        <f t="shared" si="16"/>
        <v>2335697.14</v>
      </c>
      <c r="L70" s="213">
        <f t="shared" si="9"/>
        <v>2508842.1399999931</v>
      </c>
      <c r="M70" s="476"/>
    </row>
    <row r="71" spans="1:13" ht="23.1" customHeight="1">
      <c r="A71" s="459">
        <v>42278</v>
      </c>
      <c r="B71" s="457">
        <v>3310.5</v>
      </c>
      <c r="C71" s="457">
        <v>1054322.5</v>
      </c>
      <c r="D71" s="454">
        <f t="shared" si="10"/>
        <v>140687.5</v>
      </c>
      <c r="E71" s="454">
        <f t="shared" si="11"/>
        <v>47564595.239999995</v>
      </c>
      <c r="F71" s="338"/>
      <c r="G71" s="457"/>
      <c r="H71" s="181">
        <f t="shared" si="15"/>
        <v>173145</v>
      </c>
      <c r="I71" s="457"/>
      <c r="J71" s="262">
        <f t="shared" si="13"/>
        <v>44001430.600000001</v>
      </c>
      <c r="K71" s="181">
        <f t="shared" si="16"/>
        <v>2508842.14</v>
      </c>
      <c r="L71" s="213">
        <f t="shared" si="9"/>
        <v>3563164.6399999931</v>
      </c>
      <c r="M71" s="476"/>
    </row>
    <row r="72" spans="1:13" ht="23.1" customHeight="1">
      <c r="A72" s="459">
        <v>42309</v>
      </c>
      <c r="B72" s="457">
        <f>2352.5+428</f>
        <v>2780.5</v>
      </c>
      <c r="C72" s="457">
        <f>747960+137685</f>
        <v>885645</v>
      </c>
      <c r="D72" s="454">
        <f t="shared" si="10"/>
        <v>143468</v>
      </c>
      <c r="E72" s="454">
        <f t="shared" si="11"/>
        <v>48450240.239999995</v>
      </c>
      <c r="F72" s="338"/>
      <c r="G72" s="457"/>
      <c r="H72" s="181">
        <f t="shared" si="15"/>
        <v>1054322.5</v>
      </c>
      <c r="I72" s="457">
        <v>800000</v>
      </c>
      <c r="J72" s="262">
        <f t="shared" si="13"/>
        <v>44801430.600000001</v>
      </c>
      <c r="K72" s="181">
        <f t="shared" si="16"/>
        <v>2763164.64</v>
      </c>
      <c r="L72" s="213">
        <f t="shared" si="9"/>
        <v>3648809.6399999931</v>
      </c>
      <c r="M72" s="487" t="s">
        <v>4078</v>
      </c>
    </row>
    <row r="73" spans="1:13" ht="23.1" customHeight="1">
      <c r="A73" s="477">
        <v>42339</v>
      </c>
      <c r="B73" s="478">
        <f>1589+181</f>
        <v>1770</v>
      </c>
      <c r="C73" s="478">
        <f>500305+59390</f>
        <v>559695</v>
      </c>
      <c r="D73" s="479">
        <f t="shared" si="10"/>
        <v>145238</v>
      </c>
      <c r="E73" s="479">
        <f t="shared" si="11"/>
        <v>49009935.239999995</v>
      </c>
      <c r="F73" s="480"/>
      <c r="G73" s="478"/>
      <c r="H73" s="252">
        <f t="shared" si="15"/>
        <v>885645</v>
      </c>
      <c r="I73" s="478"/>
      <c r="J73" s="278">
        <f t="shared" si="13"/>
        <v>44801430.600000001</v>
      </c>
      <c r="K73" s="252">
        <f t="shared" si="16"/>
        <v>3648809.64</v>
      </c>
      <c r="L73" s="243">
        <f t="shared" si="9"/>
        <v>4208504.6399999931</v>
      </c>
      <c r="M73" s="488" t="s">
        <v>4079</v>
      </c>
    </row>
    <row r="74" spans="1:13" s="285" customFormat="1" ht="23.1" customHeight="1">
      <c r="A74" s="481">
        <v>42370</v>
      </c>
      <c r="B74" s="181">
        <f>1777+120</f>
        <v>1897</v>
      </c>
      <c r="C74" s="437">
        <f>560550+38940</f>
        <v>599490</v>
      </c>
      <c r="D74" s="454">
        <f t="shared" si="10"/>
        <v>147135</v>
      </c>
      <c r="E74" s="454">
        <f t="shared" si="11"/>
        <v>49609425.239999995</v>
      </c>
      <c r="F74" s="482"/>
      <c r="G74" s="181"/>
      <c r="H74" s="181">
        <f t="shared" si="15"/>
        <v>559695</v>
      </c>
      <c r="I74" s="437">
        <v>200000</v>
      </c>
      <c r="J74" s="262">
        <f t="shared" si="13"/>
        <v>45001430.600000001</v>
      </c>
      <c r="K74" s="489">
        <f t="shared" si="16"/>
        <v>4008504.6400000006</v>
      </c>
      <c r="L74" s="200">
        <f t="shared" si="9"/>
        <v>4607994.6399999931</v>
      </c>
      <c r="M74" s="490" t="s">
        <v>4080</v>
      </c>
    </row>
    <row r="75" spans="1:13" ht="23.1" customHeight="1">
      <c r="A75" s="483">
        <v>42401</v>
      </c>
      <c r="B75" s="457">
        <v>0</v>
      </c>
      <c r="C75" s="484">
        <v>0</v>
      </c>
      <c r="D75" s="454">
        <f t="shared" si="10"/>
        <v>147135</v>
      </c>
      <c r="E75" s="454">
        <f t="shared" si="11"/>
        <v>49609425.239999995</v>
      </c>
      <c r="F75" s="485"/>
      <c r="G75" s="457"/>
      <c r="H75" s="181">
        <f t="shared" si="15"/>
        <v>599490</v>
      </c>
      <c r="I75" s="484">
        <v>1000000</v>
      </c>
      <c r="J75" s="262">
        <f t="shared" si="13"/>
        <v>46001430.600000001</v>
      </c>
      <c r="K75" s="489">
        <f t="shared" si="16"/>
        <v>3607994.6400000006</v>
      </c>
      <c r="L75" s="200">
        <f t="shared" si="9"/>
        <v>3607994.6399999931</v>
      </c>
      <c r="M75" s="491"/>
    </row>
    <row r="76" spans="1:13" ht="23.1" customHeight="1">
      <c r="A76" s="483">
        <v>42430</v>
      </c>
      <c r="B76" s="457">
        <v>46</v>
      </c>
      <c r="C76" s="457">
        <v>14215</v>
      </c>
      <c r="D76" s="454">
        <f t="shared" si="10"/>
        <v>147181</v>
      </c>
      <c r="E76" s="454">
        <f t="shared" si="11"/>
        <v>49623640.239999995</v>
      </c>
      <c r="F76" s="338"/>
      <c r="G76" s="457"/>
      <c r="H76" s="181">
        <f t="shared" si="15"/>
        <v>0</v>
      </c>
      <c r="I76" s="457"/>
      <c r="J76" s="262">
        <f t="shared" si="13"/>
        <v>46001430.600000001</v>
      </c>
      <c r="K76" s="489">
        <f t="shared" si="16"/>
        <v>3607994.6400000006</v>
      </c>
      <c r="L76" s="200">
        <f t="shared" si="9"/>
        <v>3622209.6399999931</v>
      </c>
      <c r="M76" s="492"/>
    </row>
    <row r="77" spans="1:13" ht="23.1" customHeight="1">
      <c r="A77" s="483">
        <v>42461</v>
      </c>
      <c r="B77" s="457">
        <f>92+286</f>
        <v>378</v>
      </c>
      <c r="C77" s="457">
        <f>29720+88445</f>
        <v>118165</v>
      </c>
      <c r="D77" s="454">
        <f t="shared" si="10"/>
        <v>147559</v>
      </c>
      <c r="E77" s="454">
        <f t="shared" si="11"/>
        <v>49741805.239999995</v>
      </c>
      <c r="F77" s="338"/>
      <c r="G77" s="457"/>
      <c r="H77" s="181">
        <f t="shared" si="15"/>
        <v>14215</v>
      </c>
      <c r="I77" s="457"/>
      <c r="J77" s="262">
        <f t="shared" si="13"/>
        <v>46001430.600000001</v>
      </c>
      <c r="K77" s="489">
        <f t="shared" si="16"/>
        <v>3622209.6400000006</v>
      </c>
      <c r="L77" s="200">
        <f t="shared" si="9"/>
        <v>3740374.6399999931</v>
      </c>
      <c r="M77" s="492"/>
    </row>
    <row r="78" spans="1:13" ht="23.1" customHeight="1">
      <c r="A78" s="483">
        <v>42491</v>
      </c>
      <c r="B78" s="457">
        <v>323</v>
      </c>
      <c r="C78" s="457">
        <v>101730</v>
      </c>
      <c r="D78" s="454">
        <f t="shared" si="10"/>
        <v>147882</v>
      </c>
      <c r="E78" s="454">
        <f t="shared" si="11"/>
        <v>49843535.239999995</v>
      </c>
      <c r="F78" s="338"/>
      <c r="G78" s="457"/>
      <c r="H78" s="181">
        <f t="shared" si="15"/>
        <v>118165</v>
      </c>
      <c r="I78" s="457">
        <v>800000</v>
      </c>
      <c r="J78" s="262">
        <f t="shared" si="13"/>
        <v>46801430.600000001</v>
      </c>
      <c r="K78" s="489">
        <f t="shared" si="16"/>
        <v>2940374.6400000006</v>
      </c>
      <c r="L78" s="200">
        <f t="shared" si="9"/>
        <v>3042104.6399999931</v>
      </c>
      <c r="M78" s="492" t="s">
        <v>4081</v>
      </c>
    </row>
    <row r="79" spans="1:13" ht="23.1" customHeight="1">
      <c r="A79" s="483">
        <v>42522</v>
      </c>
      <c r="B79" s="457">
        <f>6+163.5</f>
        <v>169.5</v>
      </c>
      <c r="C79" s="457">
        <f>1890+50785</f>
        <v>52675</v>
      </c>
      <c r="D79" s="454">
        <f t="shared" si="10"/>
        <v>148051.5</v>
      </c>
      <c r="E79" s="454">
        <f t="shared" si="11"/>
        <v>49896210.239999995</v>
      </c>
      <c r="F79" s="338"/>
      <c r="G79" s="457"/>
      <c r="H79" s="181">
        <f t="shared" si="15"/>
        <v>101730</v>
      </c>
      <c r="I79" s="457"/>
      <c r="J79" s="262">
        <f t="shared" si="13"/>
        <v>46801430.600000001</v>
      </c>
      <c r="K79" s="489">
        <f t="shared" si="16"/>
        <v>3042104.6400000006</v>
      </c>
      <c r="L79" s="200">
        <f t="shared" si="9"/>
        <v>3094779.6399999931</v>
      </c>
      <c r="M79" s="492"/>
    </row>
    <row r="80" spans="1:13" ht="23.1" customHeight="1">
      <c r="A80" s="483">
        <v>42552</v>
      </c>
      <c r="B80" s="457">
        <v>312</v>
      </c>
      <c r="C80" s="457">
        <v>96515</v>
      </c>
      <c r="D80" s="454">
        <f t="shared" si="10"/>
        <v>148363.5</v>
      </c>
      <c r="E80" s="454">
        <f t="shared" si="11"/>
        <v>49992725.239999995</v>
      </c>
      <c r="F80" s="338"/>
      <c r="G80" s="457"/>
      <c r="H80" s="181">
        <f t="shared" si="15"/>
        <v>52675</v>
      </c>
      <c r="I80" s="457"/>
      <c r="J80" s="262">
        <f t="shared" si="13"/>
        <v>46801430.600000001</v>
      </c>
      <c r="K80" s="489">
        <f t="shared" si="16"/>
        <v>3094779.6400000006</v>
      </c>
      <c r="L80" s="200">
        <f t="shared" si="9"/>
        <v>3191294.6399999931</v>
      </c>
      <c r="M80" s="492"/>
    </row>
    <row r="81" spans="1:13" ht="23.1" customHeight="1">
      <c r="A81" s="483">
        <v>42583</v>
      </c>
      <c r="B81" s="457">
        <v>300</v>
      </c>
      <c r="C81" s="457">
        <v>91525</v>
      </c>
      <c r="D81" s="454">
        <f t="shared" si="10"/>
        <v>148663.5</v>
      </c>
      <c r="E81" s="454">
        <f t="shared" si="11"/>
        <v>50084250.239999995</v>
      </c>
      <c r="F81" s="338"/>
      <c r="G81" s="457"/>
      <c r="H81" s="181">
        <f t="shared" si="15"/>
        <v>96515</v>
      </c>
      <c r="I81" s="457">
        <v>500000</v>
      </c>
      <c r="J81" s="262">
        <f t="shared" si="13"/>
        <v>47301430.600000001</v>
      </c>
      <c r="K81" s="489">
        <f t="shared" si="16"/>
        <v>2691294.6400000006</v>
      </c>
      <c r="L81" s="200">
        <f t="shared" si="9"/>
        <v>2782819.6399999931</v>
      </c>
      <c r="M81" s="492" t="s">
        <v>4082</v>
      </c>
    </row>
    <row r="82" spans="1:13" ht="23.1" customHeight="1">
      <c r="A82" s="483">
        <v>42614</v>
      </c>
      <c r="B82" s="457">
        <v>208.5</v>
      </c>
      <c r="C82" s="457">
        <v>64212.5</v>
      </c>
      <c r="D82" s="454">
        <f t="shared" si="10"/>
        <v>148872</v>
      </c>
      <c r="E82" s="454">
        <f t="shared" si="11"/>
        <v>50148462.739999995</v>
      </c>
      <c r="F82" s="338"/>
      <c r="G82" s="457"/>
      <c r="H82" s="181">
        <f t="shared" si="15"/>
        <v>91525</v>
      </c>
      <c r="I82" s="457"/>
      <c r="J82" s="262">
        <f t="shared" si="13"/>
        <v>47301430.600000001</v>
      </c>
      <c r="K82" s="489">
        <f t="shared" si="16"/>
        <v>2782819.6400000006</v>
      </c>
      <c r="L82" s="200">
        <f t="shared" si="9"/>
        <v>2847032.1399999931</v>
      </c>
      <c r="M82" s="492" t="s">
        <v>4083</v>
      </c>
    </row>
    <row r="83" spans="1:13" ht="23.1" customHeight="1">
      <c r="A83" s="483">
        <v>42644</v>
      </c>
      <c r="B83" s="457">
        <f>177.5+60</f>
        <v>237.5</v>
      </c>
      <c r="C83" s="457">
        <f>52075+16200</f>
        <v>68275</v>
      </c>
      <c r="D83" s="454">
        <f t="shared" si="10"/>
        <v>149109.5</v>
      </c>
      <c r="E83" s="454">
        <f t="shared" si="11"/>
        <v>50216737.739999995</v>
      </c>
      <c r="F83" s="338"/>
      <c r="G83" s="457"/>
      <c r="H83" s="181">
        <f t="shared" si="15"/>
        <v>64212.5</v>
      </c>
      <c r="I83" s="457">
        <v>400000</v>
      </c>
      <c r="J83" s="262">
        <f t="shared" si="13"/>
        <v>47701430.600000001</v>
      </c>
      <c r="K83" s="489">
        <f t="shared" si="16"/>
        <v>2447032.1400000006</v>
      </c>
      <c r="L83" s="200">
        <f t="shared" si="9"/>
        <v>2515307.1399999931</v>
      </c>
      <c r="M83" s="492"/>
    </row>
    <row r="84" spans="1:13" ht="23.1" customHeight="1">
      <c r="A84" s="483">
        <v>42675</v>
      </c>
      <c r="B84" s="457">
        <v>304</v>
      </c>
      <c r="C84" s="457">
        <v>95760</v>
      </c>
      <c r="D84" s="454">
        <f t="shared" si="10"/>
        <v>149413.5</v>
      </c>
      <c r="E84" s="454">
        <f t="shared" si="11"/>
        <v>50312497.739999995</v>
      </c>
      <c r="F84" s="338"/>
      <c r="G84" s="457"/>
      <c r="H84" s="181">
        <f t="shared" si="15"/>
        <v>68275</v>
      </c>
      <c r="I84" s="457"/>
      <c r="J84" s="262">
        <f t="shared" si="13"/>
        <v>47701430.600000001</v>
      </c>
      <c r="K84" s="489">
        <f t="shared" si="16"/>
        <v>2515307.1400000006</v>
      </c>
      <c r="L84" s="200">
        <f t="shared" si="9"/>
        <v>2611067.1399999931</v>
      </c>
      <c r="M84" s="492" t="s">
        <v>4084</v>
      </c>
    </row>
    <row r="85" spans="1:13" ht="23.1" customHeight="1">
      <c r="A85" s="483">
        <v>42705</v>
      </c>
      <c r="B85" s="457">
        <v>135</v>
      </c>
      <c r="C85" s="457">
        <v>43827.5</v>
      </c>
      <c r="D85" s="454">
        <f t="shared" si="10"/>
        <v>149548.5</v>
      </c>
      <c r="E85" s="454">
        <f t="shared" si="11"/>
        <v>50356325.239999995</v>
      </c>
      <c r="F85" s="338"/>
      <c r="G85" s="457"/>
      <c r="H85" s="181">
        <f t="shared" si="15"/>
        <v>95760</v>
      </c>
      <c r="I85" s="457">
        <v>300000</v>
      </c>
      <c r="J85" s="262">
        <f t="shared" si="13"/>
        <v>48001430.600000001</v>
      </c>
      <c r="K85" s="489">
        <f t="shared" si="16"/>
        <v>2311067.1400000006</v>
      </c>
      <c r="L85" s="200">
        <f t="shared" si="9"/>
        <v>2354894.6399999931</v>
      </c>
      <c r="M85" s="492" t="s">
        <v>4085</v>
      </c>
    </row>
    <row r="86" spans="1:13" ht="23.1" customHeight="1">
      <c r="A86" s="483">
        <v>42736</v>
      </c>
      <c r="B86" s="457">
        <v>9</v>
      </c>
      <c r="C86" s="457">
        <v>2700</v>
      </c>
      <c r="D86" s="454">
        <f t="shared" si="10"/>
        <v>149557.5</v>
      </c>
      <c r="E86" s="454">
        <f t="shared" si="11"/>
        <v>50359025.239999995</v>
      </c>
      <c r="F86" s="338"/>
      <c r="G86" s="457"/>
      <c r="H86" s="181">
        <f t="shared" si="15"/>
        <v>43827.5</v>
      </c>
      <c r="I86" s="457">
        <v>1200000</v>
      </c>
      <c r="J86" s="262">
        <f t="shared" si="13"/>
        <v>49201430.600000001</v>
      </c>
      <c r="K86" s="489">
        <f t="shared" si="16"/>
        <v>1154894.6400000006</v>
      </c>
      <c r="L86" s="200">
        <f t="shared" si="9"/>
        <v>1157594.6399999931</v>
      </c>
      <c r="M86" s="493"/>
    </row>
    <row r="87" spans="1:13" ht="23.1" customHeight="1">
      <c r="A87" s="483">
        <v>42767</v>
      </c>
      <c r="B87" s="457">
        <v>5</v>
      </c>
      <c r="C87" s="457">
        <v>1400</v>
      </c>
      <c r="D87" s="454">
        <f t="shared" si="10"/>
        <v>149562.5</v>
      </c>
      <c r="E87" s="454">
        <f t="shared" si="11"/>
        <v>50360425.239999995</v>
      </c>
      <c r="F87" s="338"/>
      <c r="G87" s="457"/>
      <c r="H87" s="181">
        <f t="shared" si="15"/>
        <v>2700</v>
      </c>
      <c r="I87" s="457"/>
      <c r="J87" s="262">
        <f t="shared" si="13"/>
        <v>49201430.600000001</v>
      </c>
      <c r="K87" s="489">
        <f t="shared" si="16"/>
        <v>1157594.6400000006</v>
      </c>
      <c r="L87" s="200">
        <f t="shared" si="9"/>
        <v>1158994.6399999931</v>
      </c>
      <c r="M87" s="493"/>
    </row>
    <row r="88" spans="1:13" ht="23.1" customHeight="1">
      <c r="A88" s="483">
        <v>42856</v>
      </c>
      <c r="B88" s="457">
        <v>39</v>
      </c>
      <c r="C88" s="457">
        <v>11700</v>
      </c>
      <c r="D88" s="454">
        <f t="shared" si="10"/>
        <v>149601.5</v>
      </c>
      <c r="E88" s="454">
        <f t="shared" si="11"/>
        <v>50372125.239999995</v>
      </c>
      <c r="F88" s="338"/>
      <c r="G88" s="457"/>
      <c r="H88" s="181">
        <f t="shared" si="15"/>
        <v>1400</v>
      </c>
      <c r="I88" s="457">
        <v>210907.32</v>
      </c>
      <c r="J88" s="262">
        <f t="shared" si="13"/>
        <v>49412337.920000002</v>
      </c>
      <c r="K88" s="489">
        <f t="shared" si="16"/>
        <v>948087.32000000053</v>
      </c>
      <c r="L88" s="200">
        <f t="shared" si="9"/>
        <v>959787.31999999285</v>
      </c>
      <c r="M88" s="493" t="s">
        <v>4086</v>
      </c>
    </row>
    <row r="89" spans="1:13" ht="23.1" customHeight="1">
      <c r="A89" s="483"/>
      <c r="B89" s="457"/>
      <c r="C89" s="457"/>
      <c r="D89" s="486"/>
      <c r="E89" s="486"/>
      <c r="F89" s="338"/>
      <c r="G89" s="457"/>
      <c r="H89" s="181">
        <f t="shared" si="15"/>
        <v>11700</v>
      </c>
      <c r="I89" s="457"/>
      <c r="J89" s="316"/>
      <c r="K89" s="489">
        <f t="shared" si="16"/>
        <v>959787.32000000053</v>
      </c>
      <c r="L89" s="494"/>
      <c r="M89" s="493"/>
    </row>
    <row r="90" spans="1:13" ht="23.1" customHeight="1">
      <c r="A90" s="483"/>
      <c r="B90" s="457"/>
      <c r="C90" s="457"/>
      <c r="D90" s="486"/>
      <c r="E90" s="486"/>
      <c r="F90" s="338"/>
      <c r="G90" s="457"/>
      <c r="H90" s="457"/>
      <c r="I90" s="457"/>
      <c r="J90" s="316"/>
      <c r="K90" s="457"/>
      <c r="L90" s="494"/>
      <c r="M90" s="493"/>
    </row>
  </sheetData>
  <mergeCells count="20">
    <mergeCell ref="B33:F33"/>
    <mergeCell ref="B30:C30"/>
    <mergeCell ref="E30:I30"/>
    <mergeCell ref="B31:C31"/>
    <mergeCell ref="B32:H32"/>
    <mergeCell ref="I32:K32"/>
    <mergeCell ref="L32:M32"/>
    <mergeCell ref="B4:I4"/>
    <mergeCell ref="J4:L4"/>
    <mergeCell ref="B5:D5"/>
    <mergeCell ref="A29:B29"/>
    <mergeCell ref="C29:D29"/>
    <mergeCell ref="F29:H29"/>
    <mergeCell ref="J29:L29"/>
    <mergeCell ref="F1:H1"/>
    <mergeCell ref="J1:L1"/>
    <mergeCell ref="B2:C2"/>
    <mergeCell ref="E2:H2"/>
    <mergeCell ref="J2:K2"/>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18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view="pageBreakPreview" topLeftCell="A34" zoomScaleNormal="100" workbookViewId="0">
      <selection activeCell="B41" sqref="B41:M41"/>
    </sheetView>
  </sheetViews>
  <sheetFormatPr defaultColWidth="9" defaultRowHeight="14.25"/>
  <cols>
    <col min="1" max="1" width="18.125" customWidth="1"/>
    <col min="2" max="2" width="13.125" customWidth="1"/>
    <col min="3" max="3" width="13.5" customWidth="1"/>
    <col min="4" max="4" width="13.375" customWidth="1"/>
    <col min="5" max="5" width="14.75" customWidth="1"/>
    <col min="6" max="6" width="12.25" customWidth="1"/>
    <col min="7" max="7" width="14.75" customWidth="1"/>
    <col min="8" max="8" width="14.75" style="434" customWidth="1"/>
    <col min="9" max="9" width="15.25" customWidth="1"/>
    <col min="10" max="10" width="14.625" customWidth="1"/>
    <col min="11" max="11" width="13.5" customWidth="1"/>
    <col min="12" max="12" width="12" customWidth="1"/>
    <col min="13" max="13" width="29" customWidth="1"/>
  </cols>
  <sheetData>
    <row r="1" spans="1:13" ht="81.95" customHeight="1">
      <c r="A1" s="349" t="s">
        <v>556</v>
      </c>
      <c r="B1" s="350"/>
      <c r="C1" s="377" t="s">
        <v>4087</v>
      </c>
      <c r="D1" s="350" t="s">
        <v>236</v>
      </c>
      <c r="E1" s="2196" t="s">
        <v>4088</v>
      </c>
      <c r="F1" s="2197"/>
      <c r="G1" s="2123" t="s">
        <v>4089</v>
      </c>
      <c r="H1" s="2198"/>
      <c r="I1" s="306" t="s">
        <v>237</v>
      </c>
      <c r="J1" s="2199" t="s">
        <v>4090</v>
      </c>
      <c r="K1" s="2200"/>
      <c r="L1" s="2201"/>
      <c r="M1" s="441" t="s">
        <v>4091</v>
      </c>
    </row>
    <row r="2" spans="1:13" ht="48" customHeight="1">
      <c r="A2" s="133" t="s">
        <v>240</v>
      </c>
      <c r="B2" s="1682" t="s">
        <v>4092</v>
      </c>
      <c r="C2" s="1682"/>
      <c r="D2" s="134" t="s">
        <v>242</v>
      </c>
      <c r="E2" s="1706"/>
      <c r="F2" s="1706"/>
      <c r="G2" s="1706"/>
      <c r="H2" s="2202"/>
      <c r="I2" s="166" t="s">
        <v>243</v>
      </c>
      <c r="J2" s="166"/>
      <c r="K2" s="310"/>
      <c r="L2" s="166" t="s">
        <v>245</v>
      </c>
      <c r="M2" s="241" t="s">
        <v>4093</v>
      </c>
    </row>
    <row r="3" spans="1:13" ht="48" customHeight="1">
      <c r="A3" s="133" t="s">
        <v>247</v>
      </c>
      <c r="B3" s="1682" t="s">
        <v>4094</v>
      </c>
      <c r="C3" s="1682"/>
      <c r="D3" s="134" t="s">
        <v>249</v>
      </c>
      <c r="E3" s="416">
        <v>33000</v>
      </c>
      <c r="F3" s="134" t="s">
        <v>251</v>
      </c>
      <c r="G3" s="134"/>
      <c r="H3" s="435" t="s">
        <v>252</v>
      </c>
      <c r="I3" s="206"/>
      <c r="J3" s="41" t="s">
        <v>565</v>
      </c>
      <c r="K3" s="15"/>
      <c r="L3" s="15" t="s">
        <v>255</v>
      </c>
      <c r="M3" s="207"/>
    </row>
    <row r="4" spans="1:13" ht="78.95" customHeight="1">
      <c r="A4" s="133" t="s">
        <v>260</v>
      </c>
      <c r="B4" s="1727" t="s">
        <v>4095</v>
      </c>
      <c r="C4" s="1727"/>
      <c r="D4" s="1727"/>
      <c r="E4" s="1727"/>
      <c r="F4" s="1726" t="s">
        <v>4096</v>
      </c>
      <c r="G4" s="1726"/>
      <c r="H4" s="2203"/>
      <c r="I4" s="1726"/>
      <c r="J4" s="2080" t="s">
        <v>4097</v>
      </c>
      <c r="K4" s="2080"/>
      <c r="L4" s="2080"/>
      <c r="M4" s="170"/>
    </row>
    <row r="5" spans="1:13" ht="48" customHeight="1">
      <c r="A5" s="1688" t="s">
        <v>660</v>
      </c>
      <c r="B5" s="1689"/>
      <c r="C5" s="1689"/>
      <c r="D5" s="1690"/>
      <c r="E5" s="1690"/>
      <c r="F5" s="1690"/>
      <c r="G5" s="1690"/>
      <c r="H5" s="2204"/>
      <c r="I5" s="1690"/>
      <c r="J5" s="169"/>
      <c r="K5" s="169"/>
      <c r="L5" s="169"/>
      <c r="M5" s="264"/>
    </row>
    <row r="6" spans="1:13" ht="48" customHeight="1">
      <c r="A6" s="19" t="s">
        <v>266</v>
      </c>
      <c r="B6" s="20" t="s">
        <v>267</v>
      </c>
      <c r="C6" s="20" t="s">
        <v>268</v>
      </c>
      <c r="D6" s="20" t="s">
        <v>269</v>
      </c>
      <c r="E6" s="20" t="s">
        <v>270</v>
      </c>
      <c r="F6" s="20" t="s">
        <v>271</v>
      </c>
      <c r="G6" s="21" t="s">
        <v>272</v>
      </c>
      <c r="H6" s="436" t="s">
        <v>273</v>
      </c>
      <c r="I6" s="20" t="s">
        <v>274</v>
      </c>
      <c r="J6" s="70" t="s">
        <v>275</v>
      </c>
      <c r="K6" s="70" t="s">
        <v>276</v>
      </c>
      <c r="L6" s="20" t="s">
        <v>277</v>
      </c>
      <c r="M6" s="71" t="s">
        <v>278</v>
      </c>
    </row>
    <row r="7" spans="1:13" ht="36" customHeight="1">
      <c r="A7" s="324" t="s">
        <v>4098</v>
      </c>
      <c r="B7" s="181">
        <v>873</v>
      </c>
      <c r="C7" s="181">
        <v>289827.5</v>
      </c>
      <c r="D7" s="181">
        <f>B7</f>
        <v>873</v>
      </c>
      <c r="E7" s="181">
        <f>C7</f>
        <v>289827.5</v>
      </c>
      <c r="F7" s="181"/>
      <c r="G7" s="180">
        <f>C7</f>
        <v>289827.5</v>
      </c>
      <c r="H7" s="294"/>
      <c r="I7" s="181"/>
      <c r="J7" s="181"/>
      <c r="K7" s="181"/>
      <c r="L7" s="442">
        <f t="shared" ref="L7:L39" si="0">E7-J7</f>
        <v>289827.5</v>
      </c>
      <c r="M7" s="368"/>
    </row>
    <row r="8" spans="1:13" ht="36" customHeight="1">
      <c r="A8" s="324"/>
      <c r="B8" s="181">
        <v>0</v>
      </c>
      <c r="C8" s="181">
        <v>0</v>
      </c>
      <c r="D8" s="181">
        <f t="shared" ref="D8:D39" si="1">D7+B8</f>
        <v>873</v>
      </c>
      <c r="E8" s="181">
        <f t="shared" ref="E8:E39" si="2">E7+C8</f>
        <v>289827.5</v>
      </c>
      <c r="F8" s="181"/>
      <c r="G8" s="180"/>
      <c r="H8" s="294"/>
      <c r="I8" s="181"/>
      <c r="J8" s="181"/>
      <c r="K8" s="181"/>
      <c r="L8" s="442">
        <f t="shared" si="0"/>
        <v>289827.5</v>
      </c>
      <c r="M8" s="368" t="s">
        <v>4099</v>
      </c>
    </row>
    <row r="9" spans="1:13" ht="36" customHeight="1">
      <c r="A9" s="324" t="s">
        <v>4100</v>
      </c>
      <c r="B9" s="180">
        <v>608</v>
      </c>
      <c r="C9" s="180">
        <v>206262.5</v>
      </c>
      <c r="D9" s="181">
        <f t="shared" si="1"/>
        <v>1481</v>
      </c>
      <c r="E9" s="252">
        <f t="shared" si="2"/>
        <v>496090</v>
      </c>
      <c r="F9" s="251"/>
      <c r="G9" s="251">
        <f>C7*0.05+C9*0.2</f>
        <v>55743.875</v>
      </c>
      <c r="H9" s="224">
        <f>C7*0.8</f>
        <v>231862</v>
      </c>
      <c r="I9" s="180">
        <f>208484+231862</f>
        <v>440346</v>
      </c>
      <c r="J9" s="180">
        <f>J7+I9</f>
        <v>440346</v>
      </c>
      <c r="K9" s="180">
        <f t="shared" ref="K9:K40" si="3">K8+H9-I9</f>
        <v>-208484</v>
      </c>
      <c r="L9" s="442">
        <f t="shared" si="0"/>
        <v>55744</v>
      </c>
      <c r="M9" s="443" t="s">
        <v>4101</v>
      </c>
    </row>
    <row r="10" spans="1:13" ht="36" customHeight="1">
      <c r="A10" s="324" t="s">
        <v>4102</v>
      </c>
      <c r="B10" s="180">
        <v>867</v>
      </c>
      <c r="C10" s="180">
        <v>292957.5</v>
      </c>
      <c r="D10" s="437">
        <f t="shared" si="1"/>
        <v>2348</v>
      </c>
      <c r="E10" s="181">
        <f t="shared" si="2"/>
        <v>789047.5</v>
      </c>
      <c r="F10" s="180"/>
      <c r="G10" s="180">
        <f>E9*0.05+C10*0.2</f>
        <v>83396</v>
      </c>
      <c r="H10" s="438">
        <f>C9*0.8+C7*0.15</f>
        <v>208484.125</v>
      </c>
      <c r="I10" s="180"/>
      <c r="J10" s="180">
        <f t="shared" ref="J10:J39" si="4">J9+I10</f>
        <v>440346</v>
      </c>
      <c r="K10" s="180">
        <f t="shared" si="3"/>
        <v>0.125</v>
      </c>
      <c r="L10" s="442">
        <f t="shared" si="0"/>
        <v>348701.5</v>
      </c>
      <c r="M10" s="443"/>
    </row>
    <row r="11" spans="1:13" ht="36" customHeight="1">
      <c r="A11" s="324" t="s">
        <v>4103</v>
      </c>
      <c r="B11" s="340">
        <v>1251.5</v>
      </c>
      <c r="C11" s="340">
        <v>423370</v>
      </c>
      <c r="D11" s="437">
        <f t="shared" si="1"/>
        <v>3599.5</v>
      </c>
      <c r="E11" s="181">
        <f t="shared" si="2"/>
        <v>1212417.5</v>
      </c>
      <c r="F11" s="180"/>
      <c r="G11" s="180">
        <f>E10*0.05+C11*0.2</f>
        <v>124126.375</v>
      </c>
      <c r="H11" s="438">
        <f>C10*0.8+C9*0.15</f>
        <v>265305.375</v>
      </c>
      <c r="I11" s="340">
        <f>265305.4</f>
        <v>265305.40000000002</v>
      </c>
      <c r="J11" s="180">
        <f t="shared" si="4"/>
        <v>705651.4</v>
      </c>
      <c r="K11" s="180">
        <f t="shared" si="3"/>
        <v>9.9999999976716936E-2</v>
      </c>
      <c r="L11" s="442">
        <f t="shared" si="0"/>
        <v>506766.1</v>
      </c>
      <c r="M11" s="444" t="s">
        <v>4104</v>
      </c>
    </row>
    <row r="12" spans="1:13" ht="36" customHeight="1">
      <c r="A12" s="439" t="s">
        <v>4105</v>
      </c>
      <c r="B12" s="340">
        <v>2102.5</v>
      </c>
      <c r="C12" s="340">
        <v>707627.5</v>
      </c>
      <c r="D12" s="437">
        <f t="shared" si="1"/>
        <v>5702</v>
      </c>
      <c r="E12" s="181">
        <f t="shared" si="2"/>
        <v>1920045</v>
      </c>
      <c r="F12" s="180"/>
      <c r="G12" s="180">
        <f>E11*0.05+C12*0.2</f>
        <v>202146.375</v>
      </c>
      <c r="H12" s="438">
        <f>C11*0.8+C10*0.15</f>
        <v>382639.625</v>
      </c>
      <c r="I12" s="340">
        <v>382639.6</v>
      </c>
      <c r="J12" s="180">
        <f t="shared" si="4"/>
        <v>1088291</v>
      </c>
      <c r="K12" s="180">
        <f t="shared" si="3"/>
        <v>0.125</v>
      </c>
      <c r="L12" s="442">
        <f t="shared" si="0"/>
        <v>831754</v>
      </c>
      <c r="M12" s="444" t="s">
        <v>4106</v>
      </c>
    </row>
    <row r="13" spans="1:13" ht="36" customHeight="1">
      <c r="A13" s="439" t="s">
        <v>4107</v>
      </c>
      <c r="B13" s="340">
        <v>566.5</v>
      </c>
      <c r="C13" s="340">
        <v>192985</v>
      </c>
      <c r="D13" s="437">
        <f t="shared" si="1"/>
        <v>6268.5</v>
      </c>
      <c r="E13" s="181">
        <f t="shared" si="2"/>
        <v>2113030</v>
      </c>
      <c r="F13" s="180"/>
      <c r="G13" s="180">
        <f t="shared" ref="G13:G39" si="5">E12*0.05+C13*0.2</f>
        <v>134599.25</v>
      </c>
      <c r="H13" s="438">
        <f t="shared" ref="H13:H40" si="6">C12*0.8+C11*0.15</f>
        <v>629607.5</v>
      </c>
      <c r="I13" s="340">
        <v>629607.5</v>
      </c>
      <c r="J13" s="180">
        <f t="shared" si="4"/>
        <v>1717898.5</v>
      </c>
      <c r="K13" s="180">
        <f t="shared" si="3"/>
        <v>0.125</v>
      </c>
      <c r="L13" s="442">
        <f t="shared" si="0"/>
        <v>395131.5</v>
      </c>
      <c r="M13" s="444" t="s">
        <v>4108</v>
      </c>
    </row>
    <row r="14" spans="1:13" ht="36" customHeight="1">
      <c r="A14" s="405" t="s">
        <v>4109</v>
      </c>
      <c r="B14" s="180">
        <v>348</v>
      </c>
      <c r="C14" s="180">
        <v>114500</v>
      </c>
      <c r="D14" s="181">
        <f t="shared" si="1"/>
        <v>6616.5</v>
      </c>
      <c r="E14" s="181">
        <f t="shared" si="2"/>
        <v>2227530</v>
      </c>
      <c r="F14" s="180"/>
      <c r="G14" s="180">
        <f t="shared" si="5"/>
        <v>128551.5</v>
      </c>
      <c r="H14" s="224">
        <f t="shared" si="6"/>
        <v>260532.125</v>
      </c>
      <c r="I14" s="180">
        <v>352132.1</v>
      </c>
      <c r="J14" s="180">
        <f t="shared" si="4"/>
        <v>2070030.6</v>
      </c>
      <c r="K14" s="180">
        <f t="shared" si="3"/>
        <v>-91599.849999999977</v>
      </c>
      <c r="L14" s="442">
        <f t="shared" si="0"/>
        <v>157499.39999999991</v>
      </c>
      <c r="M14" s="444"/>
    </row>
    <row r="15" spans="1:13" ht="36" customHeight="1">
      <c r="A15" s="405" t="s">
        <v>4110</v>
      </c>
      <c r="B15" s="180">
        <v>1860</v>
      </c>
      <c r="C15" s="180">
        <v>604615</v>
      </c>
      <c r="D15" s="181">
        <f t="shared" si="1"/>
        <v>8476.5</v>
      </c>
      <c r="E15" s="181">
        <f t="shared" si="2"/>
        <v>2832145</v>
      </c>
      <c r="F15" s="180"/>
      <c r="G15" s="180">
        <f t="shared" si="5"/>
        <v>232299.5</v>
      </c>
      <c r="H15" s="224">
        <f t="shared" si="6"/>
        <v>120547.75</v>
      </c>
      <c r="I15" s="180"/>
      <c r="J15" s="180">
        <f t="shared" si="4"/>
        <v>2070030.6</v>
      </c>
      <c r="K15" s="180">
        <f t="shared" si="3"/>
        <v>28947.900000000023</v>
      </c>
      <c r="L15" s="442">
        <f t="shared" si="0"/>
        <v>762114.39999999991</v>
      </c>
      <c r="M15" s="180" t="s">
        <v>4111</v>
      </c>
    </row>
    <row r="16" spans="1:13" ht="36" customHeight="1">
      <c r="A16" s="405" t="s">
        <v>4112</v>
      </c>
      <c r="B16" s="180">
        <v>2785</v>
      </c>
      <c r="C16" s="180">
        <v>1017797.5</v>
      </c>
      <c r="D16" s="181">
        <f t="shared" si="1"/>
        <v>11261.5</v>
      </c>
      <c r="E16" s="181">
        <f t="shared" si="2"/>
        <v>3849942.5</v>
      </c>
      <c r="F16" s="180"/>
      <c r="G16" s="180">
        <f t="shared" si="5"/>
        <v>345166.75</v>
      </c>
      <c r="H16" s="224">
        <f t="shared" si="6"/>
        <v>500867</v>
      </c>
      <c r="I16" s="180"/>
      <c r="J16" s="180">
        <f t="shared" si="4"/>
        <v>2070030.6</v>
      </c>
      <c r="K16" s="180">
        <f t="shared" si="3"/>
        <v>529814.9</v>
      </c>
      <c r="L16" s="442">
        <f t="shared" si="0"/>
        <v>1779911.9</v>
      </c>
      <c r="M16" s="180"/>
    </row>
    <row r="17" spans="1:13" ht="36" customHeight="1">
      <c r="A17" s="405" t="s">
        <v>4113</v>
      </c>
      <c r="B17" s="180">
        <v>1299.5</v>
      </c>
      <c r="C17" s="180">
        <v>475317.5</v>
      </c>
      <c r="D17" s="181">
        <f t="shared" si="1"/>
        <v>12561</v>
      </c>
      <c r="E17" s="181">
        <f t="shared" si="2"/>
        <v>4325260</v>
      </c>
      <c r="F17" s="180"/>
      <c r="G17" s="180">
        <f t="shared" si="5"/>
        <v>287560.625</v>
      </c>
      <c r="H17" s="224">
        <f t="shared" si="6"/>
        <v>904930.25</v>
      </c>
      <c r="I17" s="180">
        <v>1374283.5</v>
      </c>
      <c r="J17" s="180">
        <f t="shared" si="4"/>
        <v>3444314.1</v>
      </c>
      <c r="K17" s="180">
        <f t="shared" si="3"/>
        <v>60461.649999999907</v>
      </c>
      <c r="L17" s="442">
        <f t="shared" si="0"/>
        <v>880945.89999999991</v>
      </c>
      <c r="M17" s="180" t="s">
        <v>4114</v>
      </c>
    </row>
    <row r="18" spans="1:13" ht="36" customHeight="1">
      <c r="A18" s="405" t="s">
        <v>4115</v>
      </c>
      <c r="B18" s="180">
        <v>1630.5</v>
      </c>
      <c r="C18" s="180">
        <v>582005</v>
      </c>
      <c r="D18" s="181">
        <f t="shared" si="1"/>
        <v>14191.5</v>
      </c>
      <c r="E18" s="181">
        <f t="shared" si="2"/>
        <v>4907265</v>
      </c>
      <c r="F18" s="180"/>
      <c r="G18" s="180">
        <f t="shared" si="5"/>
        <v>332664</v>
      </c>
      <c r="H18" s="224">
        <f t="shared" si="6"/>
        <v>532923.625</v>
      </c>
      <c r="I18" s="180">
        <v>532923.6</v>
      </c>
      <c r="J18" s="180">
        <f t="shared" si="4"/>
        <v>3977237.7</v>
      </c>
      <c r="K18" s="180">
        <f t="shared" si="3"/>
        <v>60461.67499999993</v>
      </c>
      <c r="L18" s="442">
        <f t="shared" si="0"/>
        <v>930027.29999999981</v>
      </c>
      <c r="M18" s="180" t="s">
        <v>4116</v>
      </c>
    </row>
    <row r="19" spans="1:13" ht="30" customHeight="1">
      <c r="A19" s="405" t="s">
        <v>4117</v>
      </c>
      <c r="B19" s="180">
        <v>3242</v>
      </c>
      <c r="C19" s="180">
        <v>1125350</v>
      </c>
      <c r="D19" s="181">
        <f t="shared" si="1"/>
        <v>17433.5</v>
      </c>
      <c r="E19" s="181">
        <f t="shared" si="2"/>
        <v>6032615</v>
      </c>
      <c r="F19" s="180"/>
      <c r="G19" s="180">
        <f t="shared" si="5"/>
        <v>470433.25</v>
      </c>
      <c r="H19" s="224">
        <f t="shared" si="6"/>
        <v>536901.625</v>
      </c>
      <c r="I19" s="180">
        <v>600000</v>
      </c>
      <c r="J19" s="180">
        <f t="shared" si="4"/>
        <v>4577237.7</v>
      </c>
      <c r="K19" s="180">
        <f t="shared" si="3"/>
        <v>-2636.7000000000698</v>
      </c>
      <c r="L19" s="442">
        <f t="shared" si="0"/>
        <v>1455377.2999999998</v>
      </c>
      <c r="M19" s="180" t="s">
        <v>4118</v>
      </c>
    </row>
    <row r="20" spans="1:13" ht="30" customHeight="1">
      <c r="A20" s="405" t="s">
        <v>4119</v>
      </c>
      <c r="B20" s="180">
        <v>2682.5</v>
      </c>
      <c r="C20" s="180">
        <v>1017807.5</v>
      </c>
      <c r="D20" s="181">
        <f t="shared" si="1"/>
        <v>20116</v>
      </c>
      <c r="E20" s="181">
        <f t="shared" si="2"/>
        <v>7050422.5</v>
      </c>
      <c r="F20" s="180"/>
      <c r="G20" s="180">
        <f t="shared" si="5"/>
        <v>505192.25</v>
      </c>
      <c r="H20" s="224">
        <f t="shared" si="6"/>
        <v>987580.75</v>
      </c>
      <c r="I20" s="180"/>
      <c r="J20" s="180">
        <f t="shared" si="4"/>
        <v>4577237.7</v>
      </c>
      <c r="K20" s="180">
        <f t="shared" si="3"/>
        <v>984944.04999999993</v>
      </c>
      <c r="L20" s="442">
        <f t="shared" si="0"/>
        <v>2473184.7999999998</v>
      </c>
      <c r="M20" s="180"/>
    </row>
    <row r="21" spans="1:13" ht="30" customHeight="1">
      <c r="A21" s="405" t="s">
        <v>4120</v>
      </c>
      <c r="B21" s="440">
        <v>2672.5</v>
      </c>
      <c r="C21" s="440">
        <v>1044707.5</v>
      </c>
      <c r="D21" s="181">
        <f t="shared" si="1"/>
        <v>22788.5</v>
      </c>
      <c r="E21" s="181">
        <f t="shared" si="2"/>
        <v>8095130</v>
      </c>
      <c r="F21" s="180"/>
      <c r="G21" s="180">
        <f t="shared" si="5"/>
        <v>561462.625</v>
      </c>
      <c r="H21" s="224">
        <f t="shared" si="6"/>
        <v>983048.5</v>
      </c>
      <c r="I21" s="180">
        <f>900000+1100000</f>
        <v>2000000</v>
      </c>
      <c r="J21" s="180">
        <f t="shared" si="4"/>
        <v>6577237.7000000002</v>
      </c>
      <c r="K21" s="180">
        <f t="shared" si="3"/>
        <v>-32007.450000000186</v>
      </c>
      <c r="L21" s="442">
        <f t="shared" si="0"/>
        <v>1517892.2999999998</v>
      </c>
      <c r="M21" s="180" t="s">
        <v>4121</v>
      </c>
    </row>
    <row r="22" spans="1:13" ht="30" customHeight="1">
      <c r="A22" s="405" t="s">
        <v>4122</v>
      </c>
      <c r="B22" s="180">
        <v>3083</v>
      </c>
      <c r="C22" s="180">
        <v>1195957.5</v>
      </c>
      <c r="D22" s="181">
        <f t="shared" si="1"/>
        <v>25871.5</v>
      </c>
      <c r="E22" s="181">
        <f t="shared" si="2"/>
        <v>9291087.5</v>
      </c>
      <c r="F22" s="180"/>
      <c r="G22" s="180">
        <f t="shared" si="5"/>
        <v>643948</v>
      </c>
      <c r="H22" s="224">
        <f t="shared" si="6"/>
        <v>988437.125</v>
      </c>
      <c r="I22" s="180">
        <v>900000</v>
      </c>
      <c r="J22" s="180">
        <f t="shared" si="4"/>
        <v>7477237.7000000002</v>
      </c>
      <c r="K22" s="180">
        <f t="shared" si="3"/>
        <v>56429.674999999814</v>
      </c>
      <c r="L22" s="442">
        <f t="shared" si="0"/>
        <v>1813849.7999999998</v>
      </c>
      <c r="M22" s="180" t="s">
        <v>4123</v>
      </c>
    </row>
    <row r="23" spans="1:13" ht="30" customHeight="1">
      <c r="A23" s="405" t="s">
        <v>4124</v>
      </c>
      <c r="B23" s="180">
        <v>1587</v>
      </c>
      <c r="C23" s="180">
        <v>599167.5</v>
      </c>
      <c r="D23" s="181">
        <f t="shared" si="1"/>
        <v>27458.5</v>
      </c>
      <c r="E23" s="181">
        <f t="shared" si="2"/>
        <v>9890255</v>
      </c>
      <c r="F23" s="180"/>
      <c r="G23" s="180">
        <f t="shared" si="5"/>
        <v>584387.875</v>
      </c>
      <c r="H23" s="224">
        <f t="shared" si="6"/>
        <v>1113472.125</v>
      </c>
      <c r="I23" s="180">
        <v>1200000</v>
      </c>
      <c r="J23" s="180">
        <f t="shared" si="4"/>
        <v>8677237.6999999993</v>
      </c>
      <c r="K23" s="180">
        <f t="shared" si="3"/>
        <v>-30098.200000000186</v>
      </c>
      <c r="L23" s="442">
        <f t="shared" si="0"/>
        <v>1213017.3000000007</v>
      </c>
      <c r="M23" s="180" t="s">
        <v>4125</v>
      </c>
    </row>
    <row r="24" spans="1:13" ht="39" customHeight="1">
      <c r="A24" s="405" t="s">
        <v>4126</v>
      </c>
      <c r="B24" s="180">
        <v>2361</v>
      </c>
      <c r="C24" s="180">
        <v>882242.5</v>
      </c>
      <c r="D24" s="181">
        <f t="shared" si="1"/>
        <v>29819.5</v>
      </c>
      <c r="E24" s="181">
        <f t="shared" si="2"/>
        <v>10772497.5</v>
      </c>
      <c r="F24" s="180"/>
      <c r="G24" s="180">
        <f t="shared" si="5"/>
        <v>670961.25</v>
      </c>
      <c r="H24" s="224">
        <f t="shared" si="6"/>
        <v>658727.625</v>
      </c>
      <c r="I24" s="180">
        <v>700000</v>
      </c>
      <c r="J24" s="180">
        <f t="shared" si="4"/>
        <v>9377237.6999999993</v>
      </c>
      <c r="K24" s="180">
        <f t="shared" si="3"/>
        <v>-71370.575000000186</v>
      </c>
      <c r="L24" s="442">
        <f t="shared" si="0"/>
        <v>1395259.8000000007</v>
      </c>
      <c r="M24" s="180" t="s">
        <v>4127</v>
      </c>
    </row>
    <row r="25" spans="1:13" ht="30" customHeight="1">
      <c r="A25" s="405" t="s">
        <v>4128</v>
      </c>
      <c r="B25" s="180">
        <v>15.5</v>
      </c>
      <c r="C25" s="180">
        <v>5502.5</v>
      </c>
      <c r="D25" s="181">
        <f t="shared" si="1"/>
        <v>29835</v>
      </c>
      <c r="E25" s="181">
        <f t="shared" si="2"/>
        <v>10778000</v>
      </c>
      <c r="F25" s="180"/>
      <c r="G25" s="180">
        <f t="shared" si="5"/>
        <v>539725.375</v>
      </c>
      <c r="H25" s="224">
        <f t="shared" si="6"/>
        <v>795669.125</v>
      </c>
      <c r="I25" s="180"/>
      <c r="J25" s="180">
        <f t="shared" si="4"/>
        <v>9377237.6999999993</v>
      </c>
      <c r="K25" s="180">
        <f t="shared" si="3"/>
        <v>724298.54999999981</v>
      </c>
      <c r="L25" s="442">
        <f t="shared" si="0"/>
        <v>1400762.3000000007</v>
      </c>
      <c r="M25" s="180"/>
    </row>
    <row r="26" spans="1:13" ht="30" customHeight="1">
      <c r="A26" s="405" t="s">
        <v>4129</v>
      </c>
      <c r="B26" s="180">
        <v>830</v>
      </c>
      <c r="C26" s="180">
        <v>292042.5</v>
      </c>
      <c r="D26" s="181">
        <f t="shared" si="1"/>
        <v>30665</v>
      </c>
      <c r="E26" s="181">
        <f t="shared" si="2"/>
        <v>11070042.5</v>
      </c>
      <c r="F26" s="180"/>
      <c r="G26" s="180">
        <f t="shared" si="5"/>
        <v>597308.5</v>
      </c>
      <c r="H26" s="224">
        <f t="shared" si="6"/>
        <v>136738.375</v>
      </c>
      <c r="I26" s="180"/>
      <c r="J26" s="180">
        <f t="shared" si="4"/>
        <v>9377237.6999999993</v>
      </c>
      <c r="K26" s="180">
        <f t="shared" si="3"/>
        <v>861036.92499999981</v>
      </c>
      <c r="L26" s="442">
        <f t="shared" si="0"/>
        <v>1692804.8000000007</v>
      </c>
      <c r="M26" s="180"/>
    </row>
    <row r="27" spans="1:13" ht="30" customHeight="1">
      <c r="A27" s="405" t="s">
        <v>4130</v>
      </c>
      <c r="B27" s="180">
        <v>2125</v>
      </c>
      <c r="C27" s="180">
        <v>735097.5</v>
      </c>
      <c r="D27" s="181">
        <f t="shared" si="1"/>
        <v>32790</v>
      </c>
      <c r="E27" s="181">
        <f t="shared" si="2"/>
        <v>11805140</v>
      </c>
      <c r="F27" s="180"/>
      <c r="G27" s="180">
        <f t="shared" si="5"/>
        <v>700521.625</v>
      </c>
      <c r="H27" s="224">
        <f t="shared" si="6"/>
        <v>234459.375</v>
      </c>
      <c r="I27" s="180">
        <v>871762.4</v>
      </c>
      <c r="J27" s="180">
        <f t="shared" si="4"/>
        <v>10249000.1</v>
      </c>
      <c r="K27" s="180">
        <f t="shared" si="3"/>
        <v>223733.89999999979</v>
      </c>
      <c r="L27" s="442">
        <f t="shared" si="0"/>
        <v>1556139.9000000004</v>
      </c>
      <c r="M27" s="180" t="s">
        <v>4131</v>
      </c>
    </row>
    <row r="28" spans="1:13" ht="30" customHeight="1">
      <c r="A28" s="405" t="s">
        <v>4132</v>
      </c>
      <c r="B28" s="180">
        <v>1957.5</v>
      </c>
      <c r="C28" s="180">
        <v>689595</v>
      </c>
      <c r="D28" s="181">
        <f t="shared" si="1"/>
        <v>34747.5</v>
      </c>
      <c r="E28" s="181">
        <f t="shared" si="2"/>
        <v>12494735</v>
      </c>
      <c r="F28" s="180"/>
      <c r="G28" s="180">
        <f t="shared" si="5"/>
        <v>728176</v>
      </c>
      <c r="H28" s="224">
        <f t="shared" si="6"/>
        <v>631884.375</v>
      </c>
      <c r="I28" s="180">
        <f>266311+589078</f>
        <v>855389</v>
      </c>
      <c r="J28" s="180">
        <f t="shared" si="4"/>
        <v>11104389.1</v>
      </c>
      <c r="K28" s="180">
        <f t="shared" si="3"/>
        <v>229.27499999979045</v>
      </c>
      <c r="L28" s="442">
        <f t="shared" si="0"/>
        <v>1390345.9000000004</v>
      </c>
      <c r="M28" s="180" t="s">
        <v>4133</v>
      </c>
    </row>
    <row r="29" spans="1:13" ht="30" customHeight="1">
      <c r="A29" s="405" t="s">
        <v>4134</v>
      </c>
      <c r="B29" s="180">
        <v>1750.5</v>
      </c>
      <c r="C29" s="180">
        <v>582357.5</v>
      </c>
      <c r="D29" s="181">
        <f t="shared" si="1"/>
        <v>36498</v>
      </c>
      <c r="E29" s="181">
        <f t="shared" si="2"/>
        <v>13077092.5</v>
      </c>
      <c r="F29" s="180"/>
      <c r="G29" s="180">
        <f t="shared" si="5"/>
        <v>741208.25</v>
      </c>
      <c r="H29" s="224">
        <f t="shared" si="6"/>
        <v>661940.625</v>
      </c>
      <c r="I29" s="180">
        <v>596524</v>
      </c>
      <c r="J29" s="180">
        <f t="shared" si="4"/>
        <v>11700913.1</v>
      </c>
      <c r="K29" s="180">
        <f t="shared" si="3"/>
        <v>65645.89999999979</v>
      </c>
      <c r="L29" s="442">
        <f t="shared" si="0"/>
        <v>1376179.4000000004</v>
      </c>
      <c r="M29" s="180"/>
    </row>
    <row r="30" spans="1:13" ht="30" customHeight="1">
      <c r="A30" s="405" t="s">
        <v>4135</v>
      </c>
      <c r="B30" s="180">
        <v>1886</v>
      </c>
      <c r="C30" s="180">
        <v>661250</v>
      </c>
      <c r="D30" s="181">
        <f t="shared" si="1"/>
        <v>38384</v>
      </c>
      <c r="E30" s="181">
        <f t="shared" si="2"/>
        <v>13738342.5</v>
      </c>
      <c r="F30" s="180"/>
      <c r="G30" s="180">
        <f t="shared" si="5"/>
        <v>786104.625</v>
      </c>
      <c r="H30" s="224">
        <f t="shared" si="6"/>
        <v>569325.25</v>
      </c>
      <c r="I30" s="180">
        <v>622628.5</v>
      </c>
      <c r="J30" s="180">
        <f t="shared" si="4"/>
        <v>12323541.6</v>
      </c>
      <c r="K30" s="180">
        <f t="shared" si="3"/>
        <v>12342.64999999979</v>
      </c>
      <c r="L30" s="442">
        <f t="shared" si="0"/>
        <v>1414800.9000000004</v>
      </c>
      <c r="M30" s="180" t="s">
        <v>4136</v>
      </c>
    </row>
    <row r="31" spans="1:13" ht="30" customHeight="1">
      <c r="A31" s="405" t="s">
        <v>4137</v>
      </c>
      <c r="B31" s="180">
        <v>813</v>
      </c>
      <c r="C31" s="180">
        <v>271574</v>
      </c>
      <c r="D31" s="181">
        <f t="shared" si="1"/>
        <v>39197</v>
      </c>
      <c r="E31" s="181">
        <f t="shared" si="2"/>
        <v>14009916.5</v>
      </c>
      <c r="F31" s="180"/>
      <c r="G31" s="180">
        <f t="shared" si="5"/>
        <v>741231.92500000005</v>
      </c>
      <c r="H31" s="224">
        <f t="shared" si="6"/>
        <v>616353.625</v>
      </c>
      <c r="I31" s="180">
        <v>300000</v>
      </c>
      <c r="J31" s="180">
        <f t="shared" si="4"/>
        <v>12623541.6</v>
      </c>
      <c r="K31" s="180">
        <f t="shared" si="3"/>
        <v>328696.27499999979</v>
      </c>
      <c r="L31" s="442">
        <f t="shared" si="0"/>
        <v>1386374.9000000004</v>
      </c>
      <c r="M31" s="180" t="s">
        <v>4138</v>
      </c>
    </row>
    <row r="32" spans="1:13" ht="30" customHeight="1">
      <c r="A32" s="405" t="s">
        <v>4139</v>
      </c>
      <c r="B32" s="180">
        <v>505</v>
      </c>
      <c r="C32" s="180">
        <v>175173.5</v>
      </c>
      <c r="D32" s="181">
        <f t="shared" si="1"/>
        <v>39702</v>
      </c>
      <c r="E32" s="181">
        <f t="shared" si="2"/>
        <v>14185090</v>
      </c>
      <c r="F32" s="180"/>
      <c r="G32" s="180">
        <f t="shared" si="5"/>
        <v>735530.52500000002</v>
      </c>
      <c r="H32" s="224">
        <f t="shared" si="6"/>
        <v>316446.7</v>
      </c>
      <c r="I32" s="180">
        <v>400000</v>
      </c>
      <c r="J32" s="180">
        <f t="shared" si="4"/>
        <v>13023541.6</v>
      </c>
      <c r="K32" s="180">
        <f t="shared" si="3"/>
        <v>245142.97499999986</v>
      </c>
      <c r="L32" s="442">
        <f t="shared" si="0"/>
        <v>1161548.4000000004</v>
      </c>
      <c r="M32" s="180" t="s">
        <v>4140</v>
      </c>
    </row>
    <row r="33" spans="1:13" ht="30" customHeight="1">
      <c r="A33" s="405" t="s">
        <v>4141</v>
      </c>
      <c r="B33" s="180">
        <v>11.5</v>
      </c>
      <c r="C33" s="180">
        <v>4032.5</v>
      </c>
      <c r="D33" s="181">
        <f t="shared" si="1"/>
        <v>39713.5</v>
      </c>
      <c r="E33" s="181">
        <f t="shared" si="2"/>
        <v>14189122.5</v>
      </c>
      <c r="F33" s="180"/>
      <c r="G33" s="180">
        <f t="shared" si="5"/>
        <v>710061</v>
      </c>
      <c r="H33" s="224">
        <f t="shared" si="6"/>
        <v>180874.90000000002</v>
      </c>
      <c r="I33" s="180">
        <v>100000</v>
      </c>
      <c r="J33" s="180">
        <f t="shared" si="4"/>
        <v>13123541.6</v>
      </c>
      <c r="K33" s="180">
        <f t="shared" si="3"/>
        <v>326017.87499999988</v>
      </c>
      <c r="L33" s="442">
        <f t="shared" si="0"/>
        <v>1065580.9000000004</v>
      </c>
      <c r="M33" s="180" t="s">
        <v>4142</v>
      </c>
    </row>
    <row r="34" spans="1:13" ht="30" customHeight="1">
      <c r="A34" s="405" t="s">
        <v>4143</v>
      </c>
      <c r="B34" s="180">
        <v>418</v>
      </c>
      <c r="C34" s="180">
        <v>143350</v>
      </c>
      <c r="D34" s="181">
        <f t="shared" si="1"/>
        <v>40131.5</v>
      </c>
      <c r="E34" s="181">
        <f t="shared" si="2"/>
        <v>14332472.5</v>
      </c>
      <c r="F34" s="180"/>
      <c r="G34" s="180">
        <f t="shared" si="5"/>
        <v>738126.125</v>
      </c>
      <c r="H34" s="224">
        <f t="shared" si="6"/>
        <v>29502.024999999998</v>
      </c>
      <c r="I34" s="180">
        <v>325974.5</v>
      </c>
      <c r="J34" s="180">
        <f t="shared" si="4"/>
        <v>13449516.1</v>
      </c>
      <c r="K34" s="180">
        <f t="shared" si="3"/>
        <v>29545.399999999907</v>
      </c>
      <c r="L34" s="442">
        <f t="shared" si="0"/>
        <v>882956.40000000037</v>
      </c>
      <c r="M34" s="180" t="s">
        <v>4144</v>
      </c>
    </row>
    <row r="35" spans="1:13" ht="30" customHeight="1">
      <c r="A35" s="405" t="s">
        <v>4145</v>
      </c>
      <c r="B35" s="180">
        <v>2119</v>
      </c>
      <c r="C35" s="180">
        <v>755897.5</v>
      </c>
      <c r="D35" s="181">
        <f t="shared" si="1"/>
        <v>42250.5</v>
      </c>
      <c r="E35" s="181">
        <f t="shared" si="2"/>
        <v>15088370</v>
      </c>
      <c r="F35" s="180"/>
      <c r="G35" s="180">
        <f t="shared" si="5"/>
        <v>867803.125</v>
      </c>
      <c r="H35" s="224">
        <f t="shared" si="6"/>
        <v>115284.875</v>
      </c>
      <c r="I35" s="180"/>
      <c r="J35" s="180">
        <f t="shared" si="4"/>
        <v>13449516.1</v>
      </c>
      <c r="K35" s="180">
        <f t="shared" si="3"/>
        <v>144830.27499999991</v>
      </c>
      <c r="L35" s="442">
        <f t="shared" si="0"/>
        <v>1638853.9000000004</v>
      </c>
      <c r="M35" s="180" t="s">
        <v>4146</v>
      </c>
    </row>
    <row r="36" spans="1:13" ht="30" customHeight="1">
      <c r="A36" s="405" t="s">
        <v>4147</v>
      </c>
      <c r="B36" s="180">
        <v>600.5</v>
      </c>
      <c r="C36" s="180">
        <v>216047.5</v>
      </c>
      <c r="D36" s="181">
        <f t="shared" si="1"/>
        <v>42851</v>
      </c>
      <c r="E36" s="181">
        <f t="shared" si="2"/>
        <v>15304417.5</v>
      </c>
      <c r="F36" s="180"/>
      <c r="G36" s="180">
        <f t="shared" si="5"/>
        <v>797628</v>
      </c>
      <c r="H36" s="224">
        <f t="shared" si="6"/>
        <v>626220.5</v>
      </c>
      <c r="I36" s="180"/>
      <c r="J36" s="180">
        <f t="shared" si="4"/>
        <v>13449516.1</v>
      </c>
      <c r="K36" s="180">
        <f t="shared" si="3"/>
        <v>771050.77499999991</v>
      </c>
      <c r="L36" s="442">
        <f t="shared" si="0"/>
        <v>1854901.4000000004</v>
      </c>
      <c r="M36" s="180" t="s">
        <v>4148</v>
      </c>
    </row>
    <row r="37" spans="1:13" ht="30" customHeight="1">
      <c r="A37" s="405" t="s">
        <v>4149</v>
      </c>
      <c r="B37" s="180">
        <v>468</v>
      </c>
      <c r="C37" s="180">
        <v>151410</v>
      </c>
      <c r="D37" s="181">
        <f t="shared" si="1"/>
        <v>43319</v>
      </c>
      <c r="E37" s="181">
        <f t="shared" si="2"/>
        <v>15455827.5</v>
      </c>
      <c r="F37" s="180"/>
      <c r="G37" s="180">
        <f t="shared" si="5"/>
        <v>795502.875</v>
      </c>
      <c r="H37" s="224">
        <f t="shared" si="6"/>
        <v>286222.625</v>
      </c>
      <c r="I37" s="180">
        <v>140000</v>
      </c>
      <c r="J37" s="180">
        <f t="shared" si="4"/>
        <v>13589516.1</v>
      </c>
      <c r="K37" s="180">
        <f t="shared" si="3"/>
        <v>917273.39999999991</v>
      </c>
      <c r="L37" s="442">
        <f t="shared" si="0"/>
        <v>1866311.4000000004</v>
      </c>
      <c r="M37" s="180" t="s">
        <v>4150</v>
      </c>
    </row>
    <row r="38" spans="1:13" ht="30" customHeight="1">
      <c r="A38" s="405" t="s">
        <v>4151</v>
      </c>
      <c r="B38" s="180">
        <v>402.5</v>
      </c>
      <c r="C38" s="180">
        <v>133487.5</v>
      </c>
      <c r="D38" s="181">
        <f t="shared" si="1"/>
        <v>43721.5</v>
      </c>
      <c r="E38" s="181">
        <f t="shared" si="2"/>
        <v>15589315</v>
      </c>
      <c r="F38" s="180"/>
      <c r="G38" s="180">
        <f t="shared" si="5"/>
        <v>799488.875</v>
      </c>
      <c r="H38" s="224">
        <f t="shared" si="6"/>
        <v>153535.125</v>
      </c>
      <c r="I38" s="180">
        <v>761053.37</v>
      </c>
      <c r="J38" s="180">
        <f t="shared" si="4"/>
        <v>14350569.469999999</v>
      </c>
      <c r="K38" s="180">
        <f t="shared" si="3"/>
        <v>309755.15499999991</v>
      </c>
      <c r="L38" s="442">
        <f t="shared" si="0"/>
        <v>1238745.5300000012</v>
      </c>
      <c r="M38" s="180"/>
    </row>
    <row r="39" spans="1:13" ht="30" customHeight="1">
      <c r="A39" s="405" t="s">
        <v>4152</v>
      </c>
      <c r="B39" s="180">
        <v>290</v>
      </c>
      <c r="C39" s="180">
        <v>95250</v>
      </c>
      <c r="D39" s="181">
        <f t="shared" si="1"/>
        <v>44011.5</v>
      </c>
      <c r="E39" s="181">
        <f t="shared" si="2"/>
        <v>15684565</v>
      </c>
      <c r="F39" s="180"/>
      <c r="G39" s="180">
        <f t="shared" si="5"/>
        <v>798515.75</v>
      </c>
      <c r="H39" s="224">
        <f t="shared" si="6"/>
        <v>129501.5</v>
      </c>
      <c r="I39" s="180"/>
      <c r="J39" s="180">
        <f t="shared" si="4"/>
        <v>14350569.469999999</v>
      </c>
      <c r="K39" s="180">
        <f t="shared" si="3"/>
        <v>439256.65499999991</v>
      </c>
      <c r="L39" s="442">
        <f t="shared" si="0"/>
        <v>1333995.5300000012</v>
      </c>
      <c r="M39" s="180"/>
    </row>
    <row r="40" spans="1:13" ht="30" customHeight="1">
      <c r="A40" s="405"/>
      <c r="B40" s="180"/>
      <c r="C40" s="180"/>
      <c r="D40" s="181"/>
      <c r="E40" s="181"/>
      <c r="F40" s="180"/>
      <c r="G40" s="180"/>
      <c r="H40" s="224">
        <f t="shared" si="6"/>
        <v>96223.125</v>
      </c>
      <c r="I40" s="180"/>
      <c r="J40" s="180"/>
      <c r="K40" s="180">
        <f t="shared" si="3"/>
        <v>535479.77999999991</v>
      </c>
      <c r="L40" s="180"/>
      <c r="M40" s="180"/>
    </row>
    <row r="41" spans="1:13" ht="30" customHeight="1">
      <c r="A41" s="405">
        <v>42979</v>
      </c>
      <c r="B41" s="180">
        <v>290</v>
      </c>
      <c r="C41" s="180">
        <v>95250</v>
      </c>
      <c r="D41" s="181">
        <v>44011.5</v>
      </c>
      <c r="E41" s="181">
        <v>15684565</v>
      </c>
      <c r="F41" s="180"/>
      <c r="G41" s="180">
        <v>798515.75</v>
      </c>
      <c r="H41" s="224">
        <v>129501.5</v>
      </c>
      <c r="I41" s="180"/>
      <c r="J41" s="180">
        <v>14350569.469999999</v>
      </c>
      <c r="K41" s="180">
        <v>439256.65499999991</v>
      </c>
      <c r="L41" s="180">
        <v>1333995.5300000012</v>
      </c>
      <c r="M41" s="180"/>
    </row>
    <row r="42" spans="1:13" ht="30" customHeight="1">
      <c r="A42" s="405"/>
      <c r="B42" s="180"/>
      <c r="C42" s="180"/>
      <c r="D42" s="181"/>
      <c r="E42" s="181"/>
      <c r="F42" s="180"/>
      <c r="G42" s="180"/>
      <c r="H42" s="224"/>
      <c r="I42" s="180"/>
      <c r="J42" s="180"/>
      <c r="K42" s="180"/>
      <c r="L42" s="180"/>
      <c r="M42" s="180"/>
    </row>
  </sheetData>
  <mergeCells count="12">
    <mergeCell ref="B4:E4"/>
    <mergeCell ref="F4:I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r:id="rId1"/>
  <headerFooter scaleWithDoc="0" alignWithMargins="0"/>
  <legacyDrawing r:id="rId2"/>
</worksheet>
</file>

<file path=xl/worksheets/sheet18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opLeftCell="A31" zoomScaleSheetLayoutView="100" workbookViewId="0">
      <selection activeCell="A40" sqref="A40"/>
    </sheetView>
  </sheetViews>
  <sheetFormatPr defaultColWidth="9" defaultRowHeight="14.25"/>
  <cols>
    <col min="1" max="1" width="14" customWidth="1"/>
    <col min="2" max="2" width="15.25" customWidth="1"/>
    <col min="3" max="3" width="18.875" customWidth="1"/>
    <col min="4" max="4" width="14" customWidth="1"/>
    <col min="5" max="5" width="15.625" customWidth="1"/>
    <col min="6" max="6" width="14.125" customWidth="1"/>
    <col min="7" max="7" width="11.125" customWidth="1"/>
    <col min="8" max="8" width="12.5" customWidth="1"/>
    <col min="9" max="9" width="12.375" customWidth="1"/>
    <col min="10" max="10" width="12.5" customWidth="1"/>
    <col min="11" max="11" width="14.5" customWidth="1"/>
    <col min="12" max="12" width="11.625" customWidth="1"/>
    <col min="13" max="13" width="33.375" customWidth="1"/>
  </cols>
  <sheetData>
    <row r="1" spans="1:13" ht="108" customHeight="1">
      <c r="A1" s="413" t="s">
        <v>556</v>
      </c>
      <c r="B1" s="414">
        <v>42161</v>
      </c>
      <c r="C1" s="415" t="s">
        <v>4153</v>
      </c>
      <c r="D1" s="413" t="s">
        <v>236</v>
      </c>
      <c r="E1" s="2205"/>
      <c r="F1" s="2205"/>
      <c r="G1" s="2206" t="s">
        <v>4154</v>
      </c>
      <c r="H1" s="2206"/>
      <c r="I1" s="352" t="s">
        <v>237</v>
      </c>
      <c r="J1" s="2122" t="s">
        <v>4155</v>
      </c>
      <c r="K1" s="2122"/>
      <c r="L1" s="2122"/>
      <c r="M1" s="427" t="s">
        <v>4156</v>
      </c>
    </row>
    <row r="2" spans="1:13" ht="72" customHeight="1">
      <c r="A2" s="134" t="s">
        <v>240</v>
      </c>
      <c r="B2" s="1682" t="s">
        <v>4157</v>
      </c>
      <c r="C2" s="1682"/>
      <c r="D2" s="134" t="s">
        <v>242</v>
      </c>
      <c r="E2" s="223"/>
      <c r="F2" s="223"/>
      <c r="G2" s="137" t="s">
        <v>1561</v>
      </c>
      <c r="H2" s="422" t="s">
        <v>4158</v>
      </c>
      <c r="I2" s="271" t="s">
        <v>425</v>
      </c>
      <c r="J2" s="1828" t="s">
        <v>4159</v>
      </c>
      <c r="K2" s="1836"/>
      <c r="L2" s="1836"/>
      <c r="M2" s="2005"/>
    </row>
    <row r="3" spans="1:13" ht="54" customHeight="1">
      <c r="A3" s="134" t="s">
        <v>247</v>
      </c>
      <c r="B3" s="1682" t="s">
        <v>4160</v>
      </c>
      <c r="C3" s="1682"/>
      <c r="D3" s="134" t="s">
        <v>249</v>
      </c>
      <c r="E3" s="416">
        <v>33000</v>
      </c>
      <c r="F3" s="134" t="s">
        <v>251</v>
      </c>
      <c r="G3" s="134"/>
      <c r="H3" s="134" t="s">
        <v>252</v>
      </c>
      <c r="I3" s="397" t="s">
        <v>243</v>
      </c>
      <c r="J3" s="397" t="s">
        <v>421</v>
      </c>
      <c r="K3" s="428"/>
      <c r="L3" s="397" t="s">
        <v>245</v>
      </c>
      <c r="M3" s="429" t="s">
        <v>4161</v>
      </c>
    </row>
    <row r="4" spans="1:13" ht="54" customHeight="1">
      <c r="A4" s="134" t="s">
        <v>260</v>
      </c>
      <c r="B4" s="1727" t="s">
        <v>4162</v>
      </c>
      <c r="C4" s="1727"/>
      <c r="D4" s="1727"/>
      <c r="E4" s="1727"/>
      <c r="F4" s="356"/>
      <c r="G4" s="356"/>
      <c r="H4" s="356"/>
      <c r="I4" s="206"/>
      <c r="J4" s="41" t="s">
        <v>565</v>
      </c>
      <c r="K4" s="15" t="s">
        <v>4163</v>
      </c>
      <c r="L4" s="15" t="s">
        <v>255</v>
      </c>
      <c r="M4" s="134" t="s">
        <v>4164</v>
      </c>
    </row>
    <row r="5" spans="1:13" ht="77.099999999999994" customHeight="1">
      <c r="A5" s="1689" t="s">
        <v>660</v>
      </c>
      <c r="B5" s="1689"/>
      <c r="C5" s="1689"/>
      <c r="D5" s="1734"/>
      <c r="E5" s="1735"/>
      <c r="F5" s="1735"/>
      <c r="G5" s="1735"/>
      <c r="H5" s="1735"/>
      <c r="I5" s="1736"/>
      <c r="J5" s="169"/>
      <c r="K5" s="169"/>
      <c r="L5" s="169"/>
      <c r="M5" s="169"/>
    </row>
    <row r="6" spans="1:13" ht="42.75">
      <c r="A6" s="417" t="s">
        <v>266</v>
      </c>
      <c r="B6" s="20" t="s">
        <v>267</v>
      </c>
      <c r="C6" s="20" t="s">
        <v>268</v>
      </c>
      <c r="D6" s="20" t="s">
        <v>269</v>
      </c>
      <c r="E6" s="20" t="s">
        <v>270</v>
      </c>
      <c r="F6" s="20" t="s">
        <v>271</v>
      </c>
      <c r="G6" s="21" t="s">
        <v>272</v>
      </c>
      <c r="H6" s="22" t="s">
        <v>273</v>
      </c>
      <c r="I6" s="20" t="s">
        <v>274</v>
      </c>
      <c r="J6" s="70" t="s">
        <v>275</v>
      </c>
      <c r="K6" s="70" t="s">
        <v>276</v>
      </c>
      <c r="L6" s="20" t="s">
        <v>277</v>
      </c>
      <c r="M6" s="417" t="s">
        <v>278</v>
      </c>
    </row>
    <row r="7" spans="1:13" s="375" customFormat="1" ht="30" customHeight="1">
      <c r="A7" s="365">
        <v>42005</v>
      </c>
      <c r="B7" s="360">
        <v>97</v>
      </c>
      <c r="C7" s="406">
        <v>29490</v>
      </c>
      <c r="D7" s="360">
        <f>B7</f>
        <v>97</v>
      </c>
      <c r="E7" s="360">
        <f>C7</f>
        <v>29490</v>
      </c>
      <c r="F7" s="360"/>
      <c r="G7" s="360">
        <f t="shared" ref="G7:G12" si="0">E7</f>
        <v>29490</v>
      </c>
      <c r="H7" s="360"/>
      <c r="I7" s="360"/>
      <c r="J7" s="360"/>
      <c r="K7" s="360"/>
      <c r="L7" s="360">
        <f>E7-J7</f>
        <v>29490</v>
      </c>
      <c r="M7" s="360"/>
    </row>
    <row r="8" spans="1:13" s="375" customFormat="1" ht="30" customHeight="1">
      <c r="A8" s="365">
        <v>42036</v>
      </c>
      <c r="B8" s="360">
        <v>34.5</v>
      </c>
      <c r="C8" s="406">
        <v>11212.5</v>
      </c>
      <c r="D8" s="360">
        <f t="shared" ref="D8:E10" si="1">D7+B8</f>
        <v>131.5</v>
      </c>
      <c r="E8" s="360">
        <f t="shared" si="1"/>
        <v>40702.5</v>
      </c>
      <c r="F8" s="360"/>
      <c r="G8" s="360">
        <f t="shared" si="0"/>
        <v>40702.5</v>
      </c>
      <c r="H8" s="360"/>
      <c r="I8" s="360"/>
      <c r="J8" s="360"/>
      <c r="K8" s="360">
        <f>K7+H8-I8</f>
        <v>0</v>
      </c>
      <c r="L8" s="360">
        <f>E8-J8</f>
        <v>40702.5</v>
      </c>
      <c r="M8" s="360"/>
    </row>
    <row r="9" spans="1:13" s="375" customFormat="1" ht="27.95" customHeight="1">
      <c r="A9" s="365">
        <v>42064</v>
      </c>
      <c r="B9" s="360">
        <v>1244</v>
      </c>
      <c r="C9" s="406">
        <v>402520</v>
      </c>
      <c r="D9" s="360">
        <f t="shared" si="1"/>
        <v>1375.5</v>
      </c>
      <c r="E9" s="360">
        <f t="shared" si="1"/>
        <v>443222.5</v>
      </c>
      <c r="F9" s="360"/>
      <c r="G9" s="360">
        <f t="shared" si="0"/>
        <v>443222.5</v>
      </c>
      <c r="H9" s="360"/>
      <c r="I9" s="360"/>
      <c r="J9" s="360"/>
      <c r="K9" s="360">
        <f>K8+H9-I9</f>
        <v>0</v>
      </c>
      <c r="L9" s="360">
        <f>E9-J9</f>
        <v>443222.5</v>
      </c>
      <c r="M9" s="360"/>
    </row>
    <row r="10" spans="1:13" s="375" customFormat="1" ht="27.95" customHeight="1">
      <c r="A10" s="365">
        <v>42095</v>
      </c>
      <c r="B10" s="360">
        <v>5416.5</v>
      </c>
      <c r="C10" s="406">
        <v>1756092.5</v>
      </c>
      <c r="D10" s="360">
        <f t="shared" si="1"/>
        <v>6792</v>
      </c>
      <c r="E10" s="360">
        <f t="shared" si="1"/>
        <v>2199315</v>
      </c>
      <c r="F10" s="360"/>
      <c r="G10" s="360">
        <f t="shared" si="0"/>
        <v>2199315</v>
      </c>
      <c r="H10" s="360"/>
      <c r="I10" s="360"/>
      <c r="J10" s="360"/>
      <c r="K10" s="360">
        <f>K9+H10-I10</f>
        <v>0</v>
      </c>
      <c r="L10" s="360">
        <f>E10-J10</f>
        <v>2199315</v>
      </c>
      <c r="M10" s="360"/>
    </row>
    <row r="11" spans="1:13" s="375" customFormat="1" ht="27.95" customHeight="1">
      <c r="A11" s="365" t="s">
        <v>4165</v>
      </c>
      <c r="B11" s="360"/>
      <c r="C11" s="360">
        <v>81247.5</v>
      </c>
      <c r="D11" s="360">
        <f t="shared" ref="D11:D39" si="2">D10+B11</f>
        <v>6792</v>
      </c>
      <c r="E11" s="360">
        <f t="shared" ref="E11:E39" si="3">E10+C11</f>
        <v>2280562.5</v>
      </c>
      <c r="F11" s="360"/>
      <c r="G11" s="360">
        <f t="shared" si="0"/>
        <v>2280562.5</v>
      </c>
      <c r="H11" s="360"/>
      <c r="I11" s="360"/>
      <c r="J11" s="360"/>
      <c r="K11" s="360">
        <f t="shared" ref="K11:K40" si="4">K10+H11-I11</f>
        <v>0</v>
      </c>
      <c r="L11" s="360">
        <f t="shared" ref="L11:L39" si="5">E11-J11</f>
        <v>2280562.5</v>
      </c>
      <c r="M11" s="360"/>
    </row>
    <row r="12" spans="1:13" s="375" customFormat="1" ht="27.95" customHeight="1">
      <c r="A12" s="365">
        <v>42125</v>
      </c>
      <c r="B12" s="360">
        <v>4398.5</v>
      </c>
      <c r="C12" s="423">
        <v>1414357.5</v>
      </c>
      <c r="D12" s="360">
        <f t="shared" si="2"/>
        <v>11190.5</v>
      </c>
      <c r="E12" s="360">
        <f t="shared" si="3"/>
        <v>3694920</v>
      </c>
      <c r="F12" s="360"/>
      <c r="G12" s="360">
        <f t="shared" si="0"/>
        <v>3694920</v>
      </c>
      <c r="H12" s="360"/>
      <c r="I12" s="360"/>
      <c r="J12" s="360"/>
      <c r="K12" s="360">
        <f t="shared" si="4"/>
        <v>0</v>
      </c>
      <c r="L12" s="360">
        <f t="shared" si="5"/>
        <v>3694920</v>
      </c>
      <c r="M12" s="360"/>
    </row>
    <row r="13" spans="1:13" s="375" customFormat="1" ht="27.95" customHeight="1">
      <c r="A13" s="365">
        <v>42156</v>
      </c>
      <c r="B13" s="360">
        <v>3263</v>
      </c>
      <c r="C13" s="360">
        <v>1050350</v>
      </c>
      <c r="D13" s="360">
        <f t="shared" si="2"/>
        <v>14453.5</v>
      </c>
      <c r="E13" s="360">
        <f t="shared" si="3"/>
        <v>4745270</v>
      </c>
      <c r="F13" s="360"/>
      <c r="G13" s="360">
        <f>E13-C7</f>
        <v>4715780</v>
      </c>
      <c r="H13" s="360"/>
      <c r="I13" s="360"/>
      <c r="J13" s="360"/>
      <c r="K13" s="360">
        <f t="shared" si="4"/>
        <v>0</v>
      </c>
      <c r="L13" s="360">
        <f t="shared" si="5"/>
        <v>4745270</v>
      </c>
      <c r="M13" s="360"/>
    </row>
    <row r="14" spans="1:13" s="375" customFormat="1" ht="27.95" customHeight="1">
      <c r="A14" s="365">
        <v>42186</v>
      </c>
      <c r="B14" s="424">
        <v>1183</v>
      </c>
      <c r="C14" s="424">
        <v>365425</v>
      </c>
      <c r="D14" s="360">
        <f t="shared" si="2"/>
        <v>15636.5</v>
      </c>
      <c r="E14" s="360">
        <f t="shared" si="3"/>
        <v>5110695</v>
      </c>
      <c r="F14" s="360"/>
      <c r="G14" s="360">
        <f>E14-C8-C7</f>
        <v>5069992.5</v>
      </c>
      <c r="H14" s="385">
        <f>C7</f>
        <v>29490</v>
      </c>
      <c r="I14" s="360"/>
      <c r="J14" s="360"/>
      <c r="K14" s="360">
        <f t="shared" si="4"/>
        <v>29490</v>
      </c>
      <c r="L14" s="360">
        <f t="shared" si="5"/>
        <v>5110695</v>
      </c>
      <c r="M14" s="360"/>
    </row>
    <row r="15" spans="1:13" s="375" customFormat="1" ht="27.95" customHeight="1">
      <c r="A15" s="365">
        <v>42217</v>
      </c>
      <c r="B15" s="425">
        <v>1889</v>
      </c>
      <c r="C15" s="425">
        <f>587927-210</f>
        <v>587717</v>
      </c>
      <c r="D15" s="360">
        <f t="shared" si="2"/>
        <v>17525.5</v>
      </c>
      <c r="E15" s="360">
        <f t="shared" si="3"/>
        <v>5698412</v>
      </c>
      <c r="F15" s="360"/>
      <c r="G15" s="360">
        <f>E15-C9-C8-C7</f>
        <v>5255189.5</v>
      </c>
      <c r="H15" s="385">
        <f>C8</f>
        <v>11212.5</v>
      </c>
      <c r="I15" s="360"/>
      <c r="J15" s="360"/>
      <c r="K15" s="360">
        <f t="shared" si="4"/>
        <v>40702.5</v>
      </c>
      <c r="L15" s="360">
        <f t="shared" si="5"/>
        <v>5698412</v>
      </c>
      <c r="M15" s="360"/>
    </row>
    <row r="16" spans="1:13" s="375" customFormat="1" ht="27.95" customHeight="1">
      <c r="A16" s="426">
        <v>42248</v>
      </c>
      <c r="B16" s="385">
        <v>1167</v>
      </c>
      <c r="C16" s="402">
        <v>363580</v>
      </c>
      <c r="D16" s="360">
        <f t="shared" si="2"/>
        <v>18692.5</v>
      </c>
      <c r="E16" s="360">
        <f t="shared" si="3"/>
        <v>6061992</v>
      </c>
      <c r="F16" s="360"/>
      <c r="G16" s="360">
        <f>E16-C10-C9-C8-C7</f>
        <v>3862677</v>
      </c>
      <c r="H16" s="385">
        <f>C9</f>
        <v>402520</v>
      </c>
      <c r="I16" s="360"/>
      <c r="J16" s="360"/>
      <c r="K16" s="360">
        <f t="shared" si="4"/>
        <v>443222.5</v>
      </c>
      <c r="L16" s="360">
        <f t="shared" si="5"/>
        <v>6061992</v>
      </c>
      <c r="M16" s="360"/>
    </row>
    <row r="17" spans="1:13" s="375" customFormat="1" ht="27.95" customHeight="1">
      <c r="A17" s="426">
        <v>42278</v>
      </c>
      <c r="B17" s="360">
        <v>830</v>
      </c>
      <c r="C17" s="402">
        <v>263420</v>
      </c>
      <c r="D17" s="360">
        <f t="shared" si="2"/>
        <v>19522.5</v>
      </c>
      <c r="E17" s="360">
        <f t="shared" si="3"/>
        <v>6325412</v>
      </c>
      <c r="F17" s="360"/>
      <c r="G17" s="360">
        <f>E17-C12-C10-C9-C8-C7-C11</f>
        <v>2630492</v>
      </c>
      <c r="H17" s="385">
        <f>C10+C11</f>
        <v>1837340</v>
      </c>
      <c r="I17" s="360"/>
      <c r="J17" s="360"/>
      <c r="K17" s="360">
        <f t="shared" si="4"/>
        <v>2280562.5</v>
      </c>
      <c r="L17" s="360">
        <f t="shared" si="5"/>
        <v>6325412</v>
      </c>
      <c r="M17" s="360"/>
    </row>
    <row r="18" spans="1:13" s="375" customFormat="1" ht="27.95" customHeight="1">
      <c r="A18" s="426">
        <v>42309</v>
      </c>
      <c r="B18" s="360">
        <v>3231.5</v>
      </c>
      <c r="C18" s="360">
        <v>1047102.5</v>
      </c>
      <c r="D18" s="360">
        <f t="shared" si="2"/>
        <v>22754</v>
      </c>
      <c r="E18" s="360">
        <f t="shared" si="3"/>
        <v>7372514.5</v>
      </c>
      <c r="F18" s="360"/>
      <c r="G18" s="360">
        <f>E18-C13-C11-C10-C9-C8-C12-C7</f>
        <v>2627244.5</v>
      </c>
      <c r="H18" s="360">
        <f>C12</f>
        <v>1414357.5</v>
      </c>
      <c r="I18" s="360"/>
      <c r="J18" s="360"/>
      <c r="K18" s="360">
        <f t="shared" si="4"/>
        <v>3694920</v>
      </c>
      <c r="L18" s="360">
        <f t="shared" si="5"/>
        <v>7372514.5</v>
      </c>
      <c r="M18" s="360"/>
    </row>
    <row r="19" spans="1:13" s="375" customFormat="1" ht="27.95" customHeight="1">
      <c r="A19" s="426">
        <v>42339</v>
      </c>
      <c r="B19" s="360">
        <v>6343.5</v>
      </c>
      <c r="C19" s="360">
        <v>2061027.5</v>
      </c>
      <c r="D19" s="360">
        <f t="shared" si="2"/>
        <v>29097.5</v>
      </c>
      <c r="E19" s="360">
        <f t="shared" si="3"/>
        <v>9433542</v>
      </c>
      <c r="F19" s="360"/>
      <c r="G19" s="360">
        <f>E19-C14-C12-C11-C10-C9-C13-C8-C7</f>
        <v>4322847</v>
      </c>
      <c r="H19" s="360">
        <f>C13</f>
        <v>1050350</v>
      </c>
      <c r="I19" s="360"/>
      <c r="J19" s="360"/>
      <c r="K19" s="360">
        <f t="shared" si="4"/>
        <v>4745270</v>
      </c>
      <c r="L19" s="360">
        <f t="shared" si="5"/>
        <v>9433542</v>
      </c>
      <c r="M19" s="421" t="s">
        <v>4166</v>
      </c>
    </row>
    <row r="20" spans="1:13" s="375" customFormat="1" ht="27.95" customHeight="1">
      <c r="A20" s="365">
        <v>42370</v>
      </c>
      <c r="B20" s="360">
        <f>10114.5-216</f>
        <v>9898.5</v>
      </c>
      <c r="C20" s="360">
        <v>3239005</v>
      </c>
      <c r="D20" s="360">
        <f t="shared" si="2"/>
        <v>38996</v>
      </c>
      <c r="E20" s="360">
        <f t="shared" si="3"/>
        <v>12672547</v>
      </c>
      <c r="F20" s="360"/>
      <c r="G20" s="360">
        <f>E20-C15-C13-C12-C11-C10-C14-C9-C8-C7</f>
        <v>6974135</v>
      </c>
      <c r="H20" s="360">
        <f t="shared" ref="H20:H40" si="6">C14</f>
        <v>365425</v>
      </c>
      <c r="I20" s="360"/>
      <c r="J20" s="360"/>
      <c r="K20" s="360">
        <f t="shared" si="4"/>
        <v>5110695</v>
      </c>
      <c r="L20" s="360">
        <f t="shared" si="5"/>
        <v>12672547</v>
      </c>
      <c r="M20" s="430" t="s">
        <v>4167</v>
      </c>
    </row>
    <row r="21" spans="1:13" s="375" customFormat="1" ht="27.95" customHeight="1">
      <c r="A21" s="426">
        <v>42401</v>
      </c>
      <c r="B21" s="360">
        <v>4332</v>
      </c>
      <c r="C21" s="360">
        <v>1419147.5</v>
      </c>
      <c r="D21" s="360">
        <f t="shared" si="2"/>
        <v>43328</v>
      </c>
      <c r="E21" s="360">
        <f t="shared" si="3"/>
        <v>14091694.5</v>
      </c>
      <c r="F21" s="360"/>
      <c r="G21" s="360">
        <f>E21-C16-C14-C13-C12-C11-C15-C10-C9-C8-C7</f>
        <v>8029702.5</v>
      </c>
      <c r="H21" s="360">
        <f t="shared" si="6"/>
        <v>587717</v>
      </c>
      <c r="I21" s="360">
        <f>2280562.5+953142.5</f>
        <v>3233705</v>
      </c>
      <c r="J21" s="360">
        <f t="shared" ref="J21:J39" si="7">I21+J20</f>
        <v>3233705</v>
      </c>
      <c r="K21" s="360">
        <f t="shared" si="4"/>
        <v>2464707</v>
      </c>
      <c r="L21" s="360">
        <f t="shared" si="5"/>
        <v>10857989.5</v>
      </c>
      <c r="M21" s="431" t="s">
        <v>4168</v>
      </c>
    </row>
    <row r="22" spans="1:13" s="375" customFormat="1" ht="27.95" customHeight="1">
      <c r="A22" s="426">
        <v>42430</v>
      </c>
      <c r="B22" s="360">
        <v>19578</v>
      </c>
      <c r="C22" s="360">
        <v>6422882.5</v>
      </c>
      <c r="D22" s="360">
        <f t="shared" si="2"/>
        <v>62906</v>
      </c>
      <c r="E22" s="360">
        <f t="shared" si="3"/>
        <v>20514577</v>
      </c>
      <c r="F22" s="360"/>
      <c r="G22" s="360">
        <f>E22-C17-C15-C14-C13-C12-C16-C11-C10-C9-C8-C7</f>
        <v>14189165</v>
      </c>
      <c r="H22" s="406">
        <f t="shared" si="6"/>
        <v>363580</v>
      </c>
      <c r="I22" s="360">
        <f>1050350+1414357.5</f>
        <v>2464707.5</v>
      </c>
      <c r="J22" s="360">
        <f t="shared" si="7"/>
        <v>5698412.5</v>
      </c>
      <c r="K22" s="360">
        <f t="shared" si="4"/>
        <v>363579.5</v>
      </c>
      <c r="L22" s="360">
        <f t="shared" si="5"/>
        <v>14816164.5</v>
      </c>
      <c r="M22" s="360"/>
    </row>
    <row r="23" spans="1:13" s="375" customFormat="1" ht="27.95" customHeight="1">
      <c r="A23" s="426">
        <v>42461</v>
      </c>
      <c r="B23" s="360">
        <f>12719-96</f>
        <v>12623</v>
      </c>
      <c r="C23" s="360">
        <f>4188202.5-35040</f>
        <v>4153162.5</v>
      </c>
      <c r="D23" s="360">
        <f t="shared" si="2"/>
        <v>75529</v>
      </c>
      <c r="E23" s="360">
        <f t="shared" si="3"/>
        <v>24667739.5</v>
      </c>
      <c r="F23" s="360"/>
      <c r="G23" s="360">
        <f>E23-C18-C16-C15-C14-C13-C17-C12-C11-C10-C9-C8-C7</f>
        <v>17295225</v>
      </c>
      <c r="H23" s="406">
        <f t="shared" si="6"/>
        <v>263420</v>
      </c>
      <c r="I23" s="360"/>
      <c r="J23" s="360">
        <f t="shared" si="7"/>
        <v>5698412.5</v>
      </c>
      <c r="K23" s="360">
        <f t="shared" si="4"/>
        <v>626999.5</v>
      </c>
      <c r="L23" s="360">
        <f t="shared" si="5"/>
        <v>18969327</v>
      </c>
      <c r="M23" s="360"/>
    </row>
    <row r="24" spans="1:13" s="375" customFormat="1" ht="27.95" customHeight="1">
      <c r="A24" s="426">
        <v>42491</v>
      </c>
      <c r="B24" s="360">
        <f>12301-204</f>
        <v>12097</v>
      </c>
      <c r="C24" s="360">
        <f>4006135-74460</f>
        <v>3931675</v>
      </c>
      <c r="D24" s="360">
        <f t="shared" si="2"/>
        <v>87626</v>
      </c>
      <c r="E24" s="360">
        <f t="shared" si="3"/>
        <v>28599414.5</v>
      </c>
      <c r="F24" s="360"/>
      <c r="G24" s="360">
        <f>E24-C19-C17-C16-C15-C14-C18-C13-C12-C11-C10-C9-C8-C7</f>
        <v>19165872.5</v>
      </c>
      <c r="H24" s="360">
        <f t="shared" si="6"/>
        <v>1047102.5</v>
      </c>
      <c r="I24" s="360">
        <v>626760</v>
      </c>
      <c r="J24" s="360">
        <f t="shared" si="7"/>
        <v>6325172.5</v>
      </c>
      <c r="K24" s="360">
        <f t="shared" si="4"/>
        <v>1047342</v>
      </c>
      <c r="L24" s="360">
        <f t="shared" si="5"/>
        <v>22274242</v>
      </c>
      <c r="M24" s="360" t="s">
        <v>4169</v>
      </c>
    </row>
    <row r="25" spans="1:13" s="375" customFormat="1" ht="27.95" customHeight="1">
      <c r="A25" s="426">
        <v>42522</v>
      </c>
      <c r="B25" s="360">
        <f>5635+300+4322.5</f>
        <v>10257.5</v>
      </c>
      <c r="C25" s="360">
        <f>1607510+109500+1236722.5</f>
        <v>2953732.5</v>
      </c>
      <c r="D25" s="360">
        <f t="shared" si="2"/>
        <v>97883.5</v>
      </c>
      <c r="E25" s="360">
        <f t="shared" si="3"/>
        <v>31553147</v>
      </c>
      <c r="F25" s="360"/>
      <c r="G25" s="360">
        <f>E25-C20-C18-C17-C16-C15-C19-C14-C13-C12-C11-C10-C9-C8-C7</f>
        <v>18880600</v>
      </c>
      <c r="H25" s="360">
        <f t="shared" si="6"/>
        <v>2061027.5</v>
      </c>
      <c r="I25" s="360">
        <v>1047102.5</v>
      </c>
      <c r="J25" s="360">
        <f t="shared" si="7"/>
        <v>7372275</v>
      </c>
      <c r="K25" s="360">
        <f t="shared" si="4"/>
        <v>2061267</v>
      </c>
      <c r="L25" s="360">
        <f t="shared" si="5"/>
        <v>24180872</v>
      </c>
      <c r="M25" s="360" t="s">
        <v>4170</v>
      </c>
    </row>
    <row r="26" spans="1:13" s="375" customFormat="1" ht="27.95" customHeight="1">
      <c r="A26" s="426">
        <v>42552</v>
      </c>
      <c r="B26" s="360">
        <f>5533+5032.5</f>
        <v>10565.5</v>
      </c>
      <c r="C26" s="360">
        <f>1551725+1487510</f>
        <v>3039235</v>
      </c>
      <c r="D26" s="360">
        <f t="shared" si="2"/>
        <v>108449</v>
      </c>
      <c r="E26" s="360">
        <f t="shared" si="3"/>
        <v>34592382</v>
      </c>
      <c r="F26" s="360"/>
      <c r="G26" s="360">
        <f>E26-C21-C19-C18-C17-C16-C20-C15-C14-C13-C12-C11-C10-C9-C8-C7</f>
        <v>20500687.5</v>
      </c>
      <c r="H26" s="360">
        <f t="shared" si="6"/>
        <v>3239005</v>
      </c>
      <c r="I26" s="360">
        <f>600000+438988.2+100000+848491.3+73548</f>
        <v>2061027.5</v>
      </c>
      <c r="J26" s="360">
        <f t="shared" si="7"/>
        <v>9433302.5</v>
      </c>
      <c r="K26" s="360">
        <f t="shared" si="4"/>
        <v>3239244.5</v>
      </c>
      <c r="L26" s="360">
        <f t="shared" si="5"/>
        <v>25159079.5</v>
      </c>
      <c r="M26" s="432" t="s">
        <v>4171</v>
      </c>
    </row>
    <row r="27" spans="1:13" s="375" customFormat="1" ht="27.95" customHeight="1">
      <c r="A27" s="426">
        <v>42583</v>
      </c>
      <c r="B27" s="360">
        <v>10452.5</v>
      </c>
      <c r="C27" s="360">
        <v>3030562.5</v>
      </c>
      <c r="D27" s="360">
        <f t="shared" si="2"/>
        <v>118901.5</v>
      </c>
      <c r="E27" s="360">
        <f t="shared" si="3"/>
        <v>37622944.5</v>
      </c>
      <c r="F27" s="360"/>
      <c r="G27" s="360">
        <f>E27-C22-C20-C19-C18-C17-C21-C16-C15-C14-C13-C12-C11-C10-C9-C8-C7</f>
        <v>17108367.5</v>
      </c>
      <c r="H27" s="360">
        <f t="shared" si="6"/>
        <v>1419147.5</v>
      </c>
      <c r="I27" s="360">
        <v>3239005</v>
      </c>
      <c r="J27" s="360">
        <f t="shared" si="7"/>
        <v>12672307.5</v>
      </c>
      <c r="K27" s="360">
        <f t="shared" si="4"/>
        <v>1419387</v>
      </c>
      <c r="L27" s="360">
        <f t="shared" si="5"/>
        <v>24950637</v>
      </c>
      <c r="M27" s="360" t="s">
        <v>4172</v>
      </c>
    </row>
    <row r="28" spans="1:13" s="375" customFormat="1" ht="27.95" customHeight="1">
      <c r="A28" s="426">
        <v>42614</v>
      </c>
      <c r="B28" s="360">
        <v>9428</v>
      </c>
      <c r="C28" s="385">
        <v>2758072.5</v>
      </c>
      <c r="D28" s="360">
        <f t="shared" si="2"/>
        <v>128329.5</v>
      </c>
      <c r="E28" s="360">
        <f t="shared" si="3"/>
        <v>40381017</v>
      </c>
      <c r="F28" s="360"/>
      <c r="G28" s="360">
        <f>E28-C23-C21-C20-C19-C18-C22-C17-C16-C15-C14-C13-C12-C11-C10-C9-C8-C7</f>
        <v>15713277.5</v>
      </c>
      <c r="H28" s="360">
        <f t="shared" si="6"/>
        <v>6422882.5</v>
      </c>
      <c r="I28" s="360">
        <v>1419147.5</v>
      </c>
      <c r="J28" s="360">
        <f t="shared" si="7"/>
        <v>14091455</v>
      </c>
      <c r="K28" s="360">
        <f t="shared" si="4"/>
        <v>6423122</v>
      </c>
      <c r="L28" s="360">
        <f t="shared" si="5"/>
        <v>26289562</v>
      </c>
      <c r="M28" s="360" t="s">
        <v>4173</v>
      </c>
    </row>
    <row r="29" spans="1:13" s="375" customFormat="1" ht="27.95" customHeight="1">
      <c r="A29" s="426">
        <v>42644</v>
      </c>
      <c r="B29" s="360">
        <v>12936.5</v>
      </c>
      <c r="C29" s="385">
        <v>3761947.5</v>
      </c>
      <c r="D29" s="360">
        <f t="shared" si="2"/>
        <v>141266</v>
      </c>
      <c r="E29" s="360">
        <f t="shared" si="3"/>
        <v>44142964.5</v>
      </c>
      <c r="F29" s="360"/>
      <c r="G29" s="360">
        <f>E29-C24-C22-C21-C20-C19-C23-C18-C17-C16-C15-C14-C13-C12-C11-C10-C9-C8-C7</f>
        <v>15543550</v>
      </c>
      <c r="H29" s="360">
        <f t="shared" si="6"/>
        <v>4153162.5</v>
      </c>
      <c r="I29" s="360">
        <v>6422882.5</v>
      </c>
      <c r="J29" s="360">
        <f t="shared" si="7"/>
        <v>20514337.5</v>
      </c>
      <c r="K29" s="360">
        <f t="shared" si="4"/>
        <v>4153402</v>
      </c>
      <c r="L29" s="360">
        <f t="shared" si="5"/>
        <v>23628627</v>
      </c>
      <c r="M29" s="433" t="s">
        <v>4174</v>
      </c>
    </row>
    <row r="30" spans="1:13" s="375" customFormat="1" ht="27.95" customHeight="1">
      <c r="A30" s="365">
        <v>42675</v>
      </c>
      <c r="B30" s="360">
        <v>12090</v>
      </c>
      <c r="C30" s="360">
        <v>3636075</v>
      </c>
      <c r="D30" s="360">
        <f t="shared" si="2"/>
        <v>153356</v>
      </c>
      <c r="E30" s="360">
        <f t="shared" si="3"/>
        <v>47779039.5</v>
      </c>
      <c r="F30" s="360"/>
      <c r="G30" s="360">
        <f>E30-C25-C23-C22-C21-C20-C24-C19-C18-C17-C16-C15-C14-C13-C12-C11-C10-C9-C8-C7</f>
        <v>16225892.5</v>
      </c>
      <c r="H30" s="360">
        <f t="shared" si="6"/>
        <v>3931675</v>
      </c>
      <c r="I30" s="360">
        <v>4153162.5</v>
      </c>
      <c r="J30" s="360">
        <f t="shared" si="7"/>
        <v>24667500</v>
      </c>
      <c r="K30" s="360">
        <f t="shared" si="4"/>
        <v>3931914.5</v>
      </c>
      <c r="L30" s="360">
        <f t="shared" si="5"/>
        <v>23111539.5</v>
      </c>
      <c r="M30" s="421" t="s">
        <v>4175</v>
      </c>
    </row>
    <row r="31" spans="1:13" s="375" customFormat="1" ht="27.95" customHeight="1">
      <c r="A31" s="365">
        <v>42705</v>
      </c>
      <c r="B31" s="360">
        <v>15155.5</v>
      </c>
      <c r="C31" s="360">
        <v>5031762.5</v>
      </c>
      <c r="D31" s="360">
        <f t="shared" si="2"/>
        <v>168511.5</v>
      </c>
      <c r="E31" s="360">
        <f t="shared" si="3"/>
        <v>52810802</v>
      </c>
      <c r="F31" s="360"/>
      <c r="G31" s="360">
        <f>E31-C26-C24-C23-C22-C21-C25-C20-C19-C18-C17-C16-C15-C14-C13-C12-C11-C10-C9-C8-C7</f>
        <v>18218420</v>
      </c>
      <c r="H31" s="360">
        <f t="shared" si="6"/>
        <v>2953732.5</v>
      </c>
      <c r="I31" s="360">
        <f>2000000+1931675</f>
        <v>3931675</v>
      </c>
      <c r="J31" s="360">
        <f t="shared" si="7"/>
        <v>28599175</v>
      </c>
      <c r="K31" s="360">
        <f t="shared" si="4"/>
        <v>2953972</v>
      </c>
      <c r="L31" s="360">
        <f t="shared" si="5"/>
        <v>24211627</v>
      </c>
      <c r="M31" s="360" t="s">
        <v>4176</v>
      </c>
    </row>
    <row r="32" spans="1:13" s="375" customFormat="1" ht="27.95" customHeight="1">
      <c r="A32" s="365">
        <v>42736</v>
      </c>
      <c r="B32" s="360">
        <f>7970.5+216</f>
        <v>8186.5</v>
      </c>
      <c r="C32" s="360">
        <f>2782745+66960</f>
        <v>2849705</v>
      </c>
      <c r="D32" s="360">
        <f t="shared" si="2"/>
        <v>176698</v>
      </c>
      <c r="E32" s="360">
        <f t="shared" si="3"/>
        <v>55660507</v>
      </c>
      <c r="F32" s="360"/>
      <c r="G32" s="360">
        <f>E32-C27-C25-C24-C23-C22-C26-C21-C20-C19-C18-C17-C16-C15-C14-C13-C12-C11-C10-C9-C8-C7</f>
        <v>18037562.5</v>
      </c>
      <c r="H32" s="360">
        <f t="shared" si="6"/>
        <v>3039235</v>
      </c>
      <c r="I32" s="360">
        <v>2953732.5</v>
      </c>
      <c r="J32" s="360">
        <f t="shared" si="7"/>
        <v>31552907.5</v>
      </c>
      <c r="K32" s="360">
        <f t="shared" si="4"/>
        <v>3039474.5</v>
      </c>
      <c r="L32" s="360">
        <f t="shared" si="5"/>
        <v>24107599.5</v>
      </c>
      <c r="M32" s="412" t="s">
        <v>4177</v>
      </c>
    </row>
    <row r="33" spans="1:13" s="375" customFormat="1" ht="27.95" customHeight="1">
      <c r="A33" s="365">
        <v>42767</v>
      </c>
      <c r="B33" s="360">
        <v>2909</v>
      </c>
      <c r="C33" s="360">
        <v>1012315</v>
      </c>
      <c r="D33" s="360">
        <f t="shared" si="2"/>
        <v>179607</v>
      </c>
      <c r="E33" s="360">
        <f t="shared" si="3"/>
        <v>56672822</v>
      </c>
      <c r="F33" s="360"/>
      <c r="G33" s="360">
        <f t="shared" ref="G33:G39" si="8">E33-E28</f>
        <v>16291805</v>
      </c>
      <c r="H33" s="360">
        <f t="shared" si="6"/>
        <v>3030562.5</v>
      </c>
      <c r="I33" s="360">
        <v>3039235</v>
      </c>
      <c r="J33" s="360">
        <f t="shared" si="7"/>
        <v>34592142.5</v>
      </c>
      <c r="K33" s="360">
        <f t="shared" si="4"/>
        <v>3030802</v>
      </c>
      <c r="L33" s="360">
        <f t="shared" si="5"/>
        <v>22080679.5</v>
      </c>
      <c r="M33" s="360" t="s">
        <v>4178</v>
      </c>
    </row>
    <row r="34" spans="1:13" s="375" customFormat="1" ht="27.95" customHeight="1">
      <c r="A34" s="365">
        <v>42795</v>
      </c>
      <c r="B34" s="360">
        <v>9447</v>
      </c>
      <c r="C34" s="360">
        <v>3345510</v>
      </c>
      <c r="D34" s="360">
        <f t="shared" si="2"/>
        <v>189054</v>
      </c>
      <c r="E34" s="360">
        <f t="shared" si="3"/>
        <v>60018332</v>
      </c>
      <c r="F34" s="360"/>
      <c r="G34" s="360">
        <f t="shared" si="8"/>
        <v>15875367.5</v>
      </c>
      <c r="H34" s="360">
        <f t="shared" si="6"/>
        <v>2758072.5</v>
      </c>
      <c r="I34" s="360">
        <v>3030562.5</v>
      </c>
      <c r="J34" s="360">
        <f t="shared" si="7"/>
        <v>37622705</v>
      </c>
      <c r="K34" s="360">
        <f t="shared" si="4"/>
        <v>2758312</v>
      </c>
      <c r="L34" s="360">
        <f t="shared" si="5"/>
        <v>22395627</v>
      </c>
      <c r="M34" s="360" t="s">
        <v>4179</v>
      </c>
    </row>
    <row r="35" spans="1:13" s="375" customFormat="1" ht="27.95" customHeight="1">
      <c r="A35" s="365">
        <v>42826</v>
      </c>
      <c r="B35" s="360">
        <v>9010.5</v>
      </c>
      <c r="C35" s="360">
        <v>3082487.5</v>
      </c>
      <c r="D35" s="360">
        <f t="shared" si="2"/>
        <v>198064.5</v>
      </c>
      <c r="E35" s="360">
        <f t="shared" si="3"/>
        <v>63100819.5</v>
      </c>
      <c r="F35" s="360"/>
      <c r="G35" s="360">
        <f t="shared" si="8"/>
        <v>15321780</v>
      </c>
      <c r="H35" s="360">
        <f t="shared" si="6"/>
        <v>3761947.5</v>
      </c>
      <c r="I35" s="360">
        <v>2758072.5</v>
      </c>
      <c r="J35" s="360">
        <f t="shared" si="7"/>
        <v>40380777.5</v>
      </c>
      <c r="K35" s="360">
        <f t="shared" si="4"/>
        <v>3762187</v>
      </c>
      <c r="L35" s="360">
        <f t="shared" si="5"/>
        <v>22720042</v>
      </c>
      <c r="M35" s="360" t="s">
        <v>4180</v>
      </c>
    </row>
    <row r="36" spans="1:13" s="375" customFormat="1" ht="27.95" customHeight="1">
      <c r="A36" s="365">
        <v>42856</v>
      </c>
      <c r="B36" s="360">
        <v>6452</v>
      </c>
      <c r="C36" s="360">
        <v>2148702.5</v>
      </c>
      <c r="D36" s="360">
        <f t="shared" si="2"/>
        <v>204516.5</v>
      </c>
      <c r="E36" s="360">
        <f t="shared" si="3"/>
        <v>65249522</v>
      </c>
      <c r="F36" s="360"/>
      <c r="G36" s="360">
        <f t="shared" si="8"/>
        <v>12438720</v>
      </c>
      <c r="H36" s="402">
        <f t="shared" si="6"/>
        <v>3636075</v>
      </c>
      <c r="I36" s="360">
        <f>3761947.5</f>
        <v>3761947.5</v>
      </c>
      <c r="J36" s="360">
        <f t="shared" si="7"/>
        <v>44142725</v>
      </c>
      <c r="K36" s="360">
        <f t="shared" si="4"/>
        <v>3636314.5</v>
      </c>
      <c r="L36" s="360">
        <f t="shared" si="5"/>
        <v>21106797</v>
      </c>
      <c r="M36" s="412" t="s">
        <v>4181</v>
      </c>
    </row>
    <row r="37" spans="1:13" s="375" customFormat="1" ht="27.95" customHeight="1">
      <c r="A37" s="365">
        <v>42887</v>
      </c>
      <c r="B37" s="360">
        <f>8635.5</f>
        <v>8635.5</v>
      </c>
      <c r="C37" s="385">
        <f>2949922.5</f>
        <v>2949922.5</v>
      </c>
      <c r="D37" s="360">
        <f t="shared" si="2"/>
        <v>213152</v>
      </c>
      <c r="E37" s="360">
        <f t="shared" si="3"/>
        <v>68199444.5</v>
      </c>
      <c r="F37" s="360"/>
      <c r="G37" s="360">
        <f t="shared" si="8"/>
        <v>12538937.5</v>
      </c>
      <c r="H37" s="360">
        <f t="shared" si="6"/>
        <v>5031762.5</v>
      </c>
      <c r="I37" s="360">
        <f>3636075</f>
        <v>3636075</v>
      </c>
      <c r="J37" s="360">
        <f t="shared" si="7"/>
        <v>47778800</v>
      </c>
      <c r="K37" s="360">
        <f t="shared" si="4"/>
        <v>5032002</v>
      </c>
      <c r="L37" s="360">
        <f t="shared" si="5"/>
        <v>20420644.5</v>
      </c>
      <c r="M37" s="412" t="s">
        <v>4182</v>
      </c>
    </row>
    <row r="38" spans="1:13" s="375" customFormat="1" ht="27.95" customHeight="1">
      <c r="A38" s="426">
        <v>42917</v>
      </c>
      <c r="B38" s="360">
        <v>5965</v>
      </c>
      <c r="C38" s="385">
        <v>2075525</v>
      </c>
      <c r="D38" s="360">
        <f t="shared" si="2"/>
        <v>219117</v>
      </c>
      <c r="E38" s="360">
        <f t="shared" si="3"/>
        <v>70274969.5</v>
      </c>
      <c r="F38" s="360"/>
      <c r="G38" s="360">
        <f t="shared" si="8"/>
        <v>13602147.5</v>
      </c>
      <c r="H38" s="360">
        <f t="shared" si="6"/>
        <v>2849705</v>
      </c>
      <c r="I38" s="360">
        <v>5031752.5</v>
      </c>
      <c r="J38" s="360">
        <f t="shared" si="7"/>
        <v>52810552.5</v>
      </c>
      <c r="K38" s="360">
        <f t="shared" si="4"/>
        <v>2849954.5</v>
      </c>
      <c r="L38" s="360">
        <f t="shared" si="5"/>
        <v>17464417</v>
      </c>
      <c r="M38" s="360"/>
    </row>
    <row r="39" spans="1:13" s="375" customFormat="1" ht="27.95" customHeight="1">
      <c r="A39" s="426">
        <v>42948</v>
      </c>
      <c r="B39" s="360">
        <v>4257.5</v>
      </c>
      <c r="C39" s="385">
        <v>1518232.5</v>
      </c>
      <c r="D39" s="360">
        <f t="shared" si="2"/>
        <v>223374.5</v>
      </c>
      <c r="E39" s="360">
        <f t="shared" si="3"/>
        <v>71793202</v>
      </c>
      <c r="F39" s="360"/>
      <c r="G39" s="360">
        <f t="shared" si="8"/>
        <v>11774870</v>
      </c>
      <c r="H39" s="360">
        <f t="shared" si="6"/>
        <v>1012315</v>
      </c>
      <c r="I39" s="360">
        <f>2782745</f>
        <v>2782745</v>
      </c>
      <c r="J39" s="360">
        <f t="shared" si="7"/>
        <v>55593297.5</v>
      </c>
      <c r="K39" s="360">
        <f t="shared" si="4"/>
        <v>1079524.5</v>
      </c>
      <c r="L39" s="360">
        <f t="shared" si="5"/>
        <v>16199904.5</v>
      </c>
      <c r="M39" s="360" t="s">
        <v>4183</v>
      </c>
    </row>
    <row r="40" spans="1:13" s="375" customFormat="1" ht="27.95" customHeight="1">
      <c r="A40" s="426"/>
      <c r="B40" s="360"/>
      <c r="C40" s="385"/>
      <c r="D40" s="360"/>
      <c r="E40" s="360"/>
      <c r="F40" s="360"/>
      <c r="G40" s="360"/>
      <c r="H40" s="360">
        <f t="shared" si="6"/>
        <v>3345510</v>
      </c>
      <c r="I40" s="360"/>
      <c r="J40" s="360"/>
      <c r="K40" s="360">
        <f t="shared" si="4"/>
        <v>4425034.5</v>
      </c>
      <c r="L40" s="360"/>
      <c r="M40" s="421" t="s">
        <v>4184</v>
      </c>
    </row>
    <row r="41" spans="1:13" s="375" customFormat="1" ht="27.95" customHeight="1">
      <c r="A41" s="426"/>
      <c r="B41" s="360"/>
      <c r="C41" s="385"/>
      <c r="D41" s="360"/>
      <c r="E41" s="362"/>
      <c r="F41" s="360"/>
      <c r="G41" s="360"/>
      <c r="H41" s="360"/>
      <c r="I41" s="360"/>
      <c r="J41" s="360"/>
      <c r="K41" s="360"/>
      <c r="L41" s="360"/>
      <c r="M41" s="360"/>
    </row>
    <row r="42" spans="1:13" s="375" customFormat="1" ht="27.95" customHeight="1">
      <c r="A42" s="426"/>
      <c r="B42" s="360"/>
      <c r="C42" s="181"/>
      <c r="D42" s="360"/>
      <c r="E42" s="362"/>
      <c r="F42" s="360"/>
      <c r="G42" s="360"/>
      <c r="H42" s="360"/>
      <c r="I42" s="360"/>
      <c r="J42" s="360"/>
      <c r="K42" s="360"/>
      <c r="L42" s="360"/>
      <c r="M42" s="360"/>
    </row>
  </sheetData>
  <mergeCells count="9">
    <mergeCell ref="B4:E4"/>
    <mergeCell ref="A5:C5"/>
    <mergeCell ref="D5:I5"/>
    <mergeCell ref="E1:F1"/>
    <mergeCell ref="G1:H1"/>
    <mergeCell ref="J1:L1"/>
    <mergeCell ref="B2:C2"/>
    <mergeCell ref="J2:M2"/>
    <mergeCell ref="B3:C3"/>
  </mergeCells>
  <phoneticPr fontId="84" type="noConversion"/>
  <pageMargins left="0.75" right="0.75" top="1" bottom="1" header="0.51" footer="0.51"/>
  <pageSetup paperSize="9" orientation="portrait" horizontalDpi="200" verticalDpi="200"/>
  <headerFooter scaleWithDoc="0" alignWithMargins="0"/>
  <drawing r:id="rId1"/>
  <legacyDrawing r:id="rId2"/>
</worksheet>
</file>

<file path=xl/worksheets/sheet18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opLeftCell="A16" zoomScaleSheetLayoutView="100" workbookViewId="0">
      <selection activeCell="A22" sqref="A22"/>
    </sheetView>
  </sheetViews>
  <sheetFormatPr defaultColWidth="9" defaultRowHeight="14.25"/>
  <cols>
    <col min="1" max="1" width="14" customWidth="1"/>
    <col min="2" max="2" width="15.25" customWidth="1"/>
    <col min="3" max="3" width="18.875" customWidth="1"/>
    <col min="4" max="4" width="14" customWidth="1"/>
    <col min="5" max="5" width="15.625" customWidth="1"/>
    <col min="6" max="6" width="14.125" customWidth="1"/>
    <col min="7" max="7" width="11.125" customWidth="1"/>
    <col min="8" max="8" width="12.5" customWidth="1"/>
    <col min="9" max="9" width="12.375" customWidth="1"/>
    <col min="10" max="10" width="12.5" customWidth="1"/>
    <col min="11" max="11" width="14.5" customWidth="1"/>
    <col min="12" max="12" width="11.625" customWidth="1"/>
    <col min="13" max="13" width="33.375" customWidth="1"/>
  </cols>
  <sheetData>
    <row r="1" spans="1:13" ht="108" customHeight="1">
      <c r="A1" s="413" t="s">
        <v>556</v>
      </c>
      <c r="B1" s="414"/>
      <c r="C1" s="415" t="s">
        <v>1525</v>
      </c>
      <c r="D1" s="413" t="s">
        <v>236</v>
      </c>
      <c r="E1" s="2205"/>
      <c r="F1" s="2205"/>
      <c r="G1" s="2206"/>
      <c r="H1" s="2206"/>
      <c r="I1" s="134" t="s">
        <v>237</v>
      </c>
      <c r="J1" s="2080" t="s">
        <v>4155</v>
      </c>
      <c r="K1" s="2080"/>
      <c r="L1" s="2080"/>
      <c r="M1" s="419" t="s">
        <v>4156</v>
      </c>
    </row>
    <row r="2" spans="1:13" ht="27" customHeight="1">
      <c r="A2" s="134" t="s">
        <v>240</v>
      </c>
      <c r="B2" s="1682" t="s">
        <v>4157</v>
      </c>
      <c r="C2" s="1682"/>
      <c r="D2" s="134" t="s">
        <v>242</v>
      </c>
      <c r="E2" s="223"/>
      <c r="F2" s="223"/>
      <c r="G2" s="223" t="s">
        <v>1561</v>
      </c>
      <c r="H2" s="223" t="s">
        <v>4158</v>
      </c>
      <c r="I2" s="166" t="s">
        <v>243</v>
      </c>
      <c r="J2" s="166" t="s">
        <v>421</v>
      </c>
      <c r="K2" s="310"/>
      <c r="L2" s="166" t="s">
        <v>245</v>
      </c>
      <c r="M2" s="293" t="s">
        <v>4161</v>
      </c>
    </row>
    <row r="3" spans="1:13" ht="35.1" customHeight="1">
      <c r="A3" s="134" t="s">
        <v>247</v>
      </c>
      <c r="B3" s="1682" t="s">
        <v>4185</v>
      </c>
      <c r="C3" s="1682"/>
      <c r="D3" s="134" t="s">
        <v>249</v>
      </c>
      <c r="E3" s="416"/>
      <c r="F3" s="134" t="s">
        <v>251</v>
      </c>
      <c r="G3" s="134"/>
      <c r="H3" s="134" t="s">
        <v>252</v>
      </c>
      <c r="I3" s="206"/>
      <c r="J3" s="41" t="s">
        <v>565</v>
      </c>
      <c r="K3" s="15" t="s">
        <v>4163</v>
      </c>
      <c r="L3" s="15" t="s">
        <v>255</v>
      </c>
      <c r="M3" s="134" t="s">
        <v>4164</v>
      </c>
    </row>
    <row r="4" spans="1:13" ht="30.95" customHeight="1">
      <c r="A4" s="134" t="s">
        <v>260</v>
      </c>
      <c r="B4" s="1727" t="s">
        <v>4162</v>
      </c>
      <c r="C4" s="1727"/>
      <c r="D4" s="1727"/>
      <c r="E4" s="1727"/>
      <c r="F4" s="1726"/>
      <c r="G4" s="1726"/>
      <c r="H4" s="1726"/>
      <c r="I4" s="1726"/>
      <c r="J4" s="2080"/>
      <c r="K4" s="2080"/>
      <c r="L4" s="2080"/>
      <c r="M4" s="420"/>
    </row>
    <row r="5" spans="1:13" ht="77.099999999999994" customHeight="1">
      <c r="A5" s="1689" t="s">
        <v>660</v>
      </c>
      <c r="B5" s="1689"/>
      <c r="C5" s="1689"/>
      <c r="D5" s="1734" t="s">
        <v>4159</v>
      </c>
      <c r="E5" s="1735"/>
      <c r="F5" s="1735"/>
      <c r="G5" s="1735"/>
      <c r="H5" s="1735"/>
      <c r="I5" s="1736"/>
      <c r="J5" s="169"/>
      <c r="K5" s="169"/>
      <c r="L5" s="169"/>
      <c r="M5" s="169"/>
    </row>
    <row r="6" spans="1:13" ht="42.75">
      <c r="A6" s="417" t="s">
        <v>266</v>
      </c>
      <c r="B6" s="20" t="s">
        <v>267</v>
      </c>
      <c r="C6" s="20" t="s">
        <v>268</v>
      </c>
      <c r="D6" s="20" t="s">
        <v>269</v>
      </c>
      <c r="E6" s="20" t="s">
        <v>270</v>
      </c>
      <c r="F6" s="20" t="s">
        <v>271</v>
      </c>
      <c r="G6" s="21" t="s">
        <v>272</v>
      </c>
      <c r="H6" s="22" t="s">
        <v>273</v>
      </c>
      <c r="I6" s="20" t="s">
        <v>274</v>
      </c>
      <c r="J6" s="70" t="s">
        <v>275</v>
      </c>
      <c r="K6" s="70" t="s">
        <v>276</v>
      </c>
      <c r="L6" s="20" t="s">
        <v>277</v>
      </c>
      <c r="M6" s="417" t="s">
        <v>278</v>
      </c>
    </row>
    <row r="7" spans="1:13" s="375" customFormat="1" ht="30" customHeight="1">
      <c r="A7" s="365">
        <v>42522</v>
      </c>
      <c r="B7" s="360">
        <v>30</v>
      </c>
      <c r="C7" s="404">
        <v>8250</v>
      </c>
      <c r="D7" s="360">
        <f>B7</f>
        <v>30</v>
      </c>
      <c r="E7" s="360">
        <f>C7</f>
        <v>8250</v>
      </c>
      <c r="F7" s="360"/>
      <c r="G7" s="360">
        <f>E7</f>
        <v>8250</v>
      </c>
      <c r="H7" s="360"/>
      <c r="I7" s="360"/>
      <c r="J7" s="360"/>
      <c r="K7" s="360"/>
      <c r="L7" s="360">
        <f t="shared" ref="L7:L21" si="0">E7-J7</f>
        <v>8250</v>
      </c>
      <c r="M7" s="360"/>
    </row>
    <row r="8" spans="1:13" s="375" customFormat="1" ht="30" customHeight="1">
      <c r="A8" s="418">
        <v>42552</v>
      </c>
      <c r="B8" s="411">
        <v>71.5</v>
      </c>
      <c r="C8" s="411">
        <v>18647.5</v>
      </c>
      <c r="D8" s="411">
        <f t="shared" ref="D8:D21" si="1">B8+D7</f>
        <v>101.5</v>
      </c>
      <c r="E8" s="411">
        <f t="shared" ref="E8:E21" si="2">C8+E7</f>
        <v>26897.5</v>
      </c>
      <c r="F8" s="411"/>
      <c r="G8" s="411">
        <f>E8</f>
        <v>26897.5</v>
      </c>
      <c r="H8" s="411"/>
      <c r="I8" s="411"/>
      <c r="J8" s="411"/>
      <c r="K8" s="411">
        <f>K7+H8-I8</f>
        <v>0</v>
      </c>
      <c r="L8" s="411">
        <f t="shared" si="0"/>
        <v>26897.5</v>
      </c>
      <c r="M8" s="411"/>
    </row>
    <row r="9" spans="1:13" s="375" customFormat="1" ht="30" customHeight="1">
      <c r="A9" s="365">
        <v>42583</v>
      </c>
      <c r="B9" s="385">
        <v>104</v>
      </c>
      <c r="C9" s="385">
        <v>27825</v>
      </c>
      <c r="D9" s="411">
        <f t="shared" si="1"/>
        <v>205.5</v>
      </c>
      <c r="E9" s="411">
        <f t="shared" si="2"/>
        <v>54722.5</v>
      </c>
      <c r="F9" s="385"/>
      <c r="G9" s="411">
        <f>E9</f>
        <v>54722.5</v>
      </c>
      <c r="H9" s="385"/>
      <c r="I9" s="385"/>
      <c r="J9" s="385"/>
      <c r="K9" s="385"/>
      <c r="L9" s="411">
        <f t="shared" si="0"/>
        <v>54722.5</v>
      </c>
      <c r="M9" s="385"/>
    </row>
    <row r="10" spans="1:13" s="375" customFormat="1" ht="30" customHeight="1">
      <c r="A10" s="365">
        <v>42614</v>
      </c>
      <c r="B10" s="385">
        <v>510</v>
      </c>
      <c r="C10" s="385">
        <v>144170</v>
      </c>
      <c r="D10" s="411">
        <f t="shared" si="1"/>
        <v>715.5</v>
      </c>
      <c r="E10" s="411">
        <f t="shared" si="2"/>
        <v>198892.5</v>
      </c>
      <c r="F10" s="385"/>
      <c r="G10" s="411">
        <f>E10</f>
        <v>198892.5</v>
      </c>
      <c r="H10" s="385"/>
      <c r="I10" s="385"/>
      <c r="J10" s="385"/>
      <c r="K10" s="385"/>
      <c r="L10" s="411">
        <f t="shared" si="0"/>
        <v>198892.5</v>
      </c>
      <c r="M10" s="385"/>
    </row>
    <row r="11" spans="1:13" s="375" customFormat="1" ht="30" customHeight="1">
      <c r="A11" s="365">
        <v>42644</v>
      </c>
      <c r="B11" s="385">
        <v>4059</v>
      </c>
      <c r="C11" s="385">
        <v>1166250</v>
      </c>
      <c r="D11" s="411">
        <f t="shared" si="1"/>
        <v>4774.5</v>
      </c>
      <c r="E11" s="411">
        <f t="shared" si="2"/>
        <v>1365142.5</v>
      </c>
      <c r="F11" s="385"/>
      <c r="G11" s="411">
        <f>E11</f>
        <v>1365142.5</v>
      </c>
      <c r="H11" s="385"/>
      <c r="I11" s="385"/>
      <c r="J11" s="385"/>
      <c r="K11" s="385"/>
      <c r="L11" s="411">
        <f t="shared" si="0"/>
        <v>1365142.5</v>
      </c>
      <c r="M11" s="385"/>
    </row>
    <row r="12" spans="1:13" s="375" customFormat="1" ht="30" customHeight="1">
      <c r="A12" s="365">
        <v>42675</v>
      </c>
      <c r="B12" s="385">
        <v>4975</v>
      </c>
      <c r="C12" s="385">
        <v>1441110</v>
      </c>
      <c r="D12" s="411">
        <f t="shared" si="1"/>
        <v>9749.5</v>
      </c>
      <c r="E12" s="411">
        <f t="shared" si="2"/>
        <v>2806252.5</v>
      </c>
      <c r="F12" s="385"/>
      <c r="G12" s="411">
        <f>E12-C7</f>
        <v>2798002.5</v>
      </c>
      <c r="H12" s="385"/>
      <c r="I12" s="385"/>
      <c r="J12" s="385"/>
      <c r="K12" s="385"/>
      <c r="L12" s="411">
        <f t="shared" si="0"/>
        <v>2806252.5</v>
      </c>
      <c r="M12" s="385"/>
    </row>
    <row r="13" spans="1:13" s="375" customFormat="1" ht="30" customHeight="1">
      <c r="A13" s="365">
        <v>42705</v>
      </c>
      <c r="B13" s="385">
        <v>4117.5</v>
      </c>
      <c r="C13" s="385">
        <v>1310655</v>
      </c>
      <c r="D13" s="411">
        <f t="shared" si="1"/>
        <v>13867</v>
      </c>
      <c r="E13" s="411">
        <f t="shared" si="2"/>
        <v>4116907.5</v>
      </c>
      <c r="F13" s="385"/>
      <c r="G13" s="411">
        <f t="shared" ref="G13:G21" si="3">E13-E8</f>
        <v>4090010</v>
      </c>
      <c r="H13" s="385">
        <f t="shared" ref="H13:H22" si="4">C7</f>
        <v>8250</v>
      </c>
      <c r="I13" s="385"/>
      <c r="J13" s="385"/>
      <c r="K13" s="385">
        <f t="shared" ref="K13:K22" si="5">K12+H13-I13</f>
        <v>8250</v>
      </c>
      <c r="L13" s="411">
        <f t="shared" si="0"/>
        <v>4116907.5</v>
      </c>
      <c r="M13" s="385" t="s">
        <v>4186</v>
      </c>
    </row>
    <row r="14" spans="1:13" s="375" customFormat="1" ht="30" customHeight="1">
      <c r="A14" s="365">
        <v>42736</v>
      </c>
      <c r="B14" s="385">
        <v>3133.5</v>
      </c>
      <c r="C14" s="385">
        <v>1049317.5</v>
      </c>
      <c r="D14" s="411">
        <f t="shared" si="1"/>
        <v>17000.5</v>
      </c>
      <c r="E14" s="411">
        <f t="shared" si="2"/>
        <v>5166225</v>
      </c>
      <c r="F14" s="385"/>
      <c r="G14" s="411">
        <f t="shared" si="3"/>
        <v>5111502.5</v>
      </c>
      <c r="H14" s="385">
        <f t="shared" si="4"/>
        <v>18647.5</v>
      </c>
      <c r="I14" s="385">
        <v>26897.5</v>
      </c>
      <c r="J14" s="385">
        <f>I14</f>
        <v>26897.5</v>
      </c>
      <c r="K14" s="385">
        <f t="shared" si="5"/>
        <v>0</v>
      </c>
      <c r="L14" s="411">
        <f t="shared" si="0"/>
        <v>5139327.5</v>
      </c>
      <c r="M14" s="385"/>
    </row>
    <row r="15" spans="1:13" s="375" customFormat="1" ht="30" customHeight="1">
      <c r="A15" s="365">
        <v>42767</v>
      </c>
      <c r="B15" s="385">
        <v>1828</v>
      </c>
      <c r="C15" s="385">
        <v>597195</v>
      </c>
      <c r="D15" s="411">
        <f t="shared" si="1"/>
        <v>18828.5</v>
      </c>
      <c r="E15" s="411">
        <f t="shared" si="2"/>
        <v>5763420</v>
      </c>
      <c r="F15" s="385"/>
      <c r="G15" s="411">
        <f t="shared" si="3"/>
        <v>5564527.5</v>
      </c>
      <c r="H15" s="385">
        <f t="shared" si="4"/>
        <v>27825</v>
      </c>
      <c r="I15" s="385"/>
      <c r="J15" s="385">
        <f t="shared" ref="J15:J21" si="6">I15+J14</f>
        <v>26897.5</v>
      </c>
      <c r="K15" s="385">
        <f t="shared" si="5"/>
        <v>27825</v>
      </c>
      <c r="L15" s="411">
        <f t="shared" si="0"/>
        <v>5736522.5</v>
      </c>
      <c r="M15" s="385"/>
    </row>
    <row r="16" spans="1:13" s="375" customFormat="1" ht="30" customHeight="1">
      <c r="A16" s="365">
        <v>42795</v>
      </c>
      <c r="B16" s="385">
        <v>5661</v>
      </c>
      <c r="C16" s="385">
        <v>1871005</v>
      </c>
      <c r="D16" s="411">
        <f t="shared" si="1"/>
        <v>24489.5</v>
      </c>
      <c r="E16" s="411">
        <f t="shared" si="2"/>
        <v>7634425</v>
      </c>
      <c r="F16" s="385"/>
      <c r="G16" s="411">
        <f t="shared" si="3"/>
        <v>6269282.5</v>
      </c>
      <c r="H16" s="385">
        <f t="shared" si="4"/>
        <v>144170</v>
      </c>
      <c r="I16" s="385">
        <v>27825</v>
      </c>
      <c r="J16" s="385">
        <f t="shared" si="6"/>
        <v>54722.5</v>
      </c>
      <c r="K16" s="385">
        <f t="shared" si="5"/>
        <v>144170</v>
      </c>
      <c r="L16" s="411">
        <f t="shared" si="0"/>
        <v>7579702.5</v>
      </c>
      <c r="M16" s="385" t="s">
        <v>4187</v>
      </c>
    </row>
    <row r="17" spans="1:13" s="375" customFormat="1" ht="30" customHeight="1">
      <c r="A17" s="365">
        <v>42826</v>
      </c>
      <c r="B17" s="385">
        <v>5161</v>
      </c>
      <c r="C17" s="385">
        <v>1815300</v>
      </c>
      <c r="D17" s="411">
        <f t="shared" si="1"/>
        <v>29650.5</v>
      </c>
      <c r="E17" s="411">
        <f t="shared" si="2"/>
        <v>9449725</v>
      </c>
      <c r="F17" s="385"/>
      <c r="G17" s="411">
        <f t="shared" si="3"/>
        <v>6643472.5</v>
      </c>
      <c r="H17" s="385">
        <f t="shared" si="4"/>
        <v>1166250</v>
      </c>
      <c r="I17" s="385">
        <v>144170</v>
      </c>
      <c r="J17" s="385">
        <f t="shared" si="6"/>
        <v>198892.5</v>
      </c>
      <c r="K17" s="385">
        <f t="shared" si="5"/>
        <v>1166250</v>
      </c>
      <c r="L17" s="411">
        <f t="shared" si="0"/>
        <v>9250832.5</v>
      </c>
      <c r="M17" s="385" t="s">
        <v>4188</v>
      </c>
    </row>
    <row r="18" spans="1:13" s="375" customFormat="1" ht="30" customHeight="1">
      <c r="A18" s="365">
        <v>42856</v>
      </c>
      <c r="B18" s="385">
        <v>3191</v>
      </c>
      <c r="C18" s="385">
        <v>1070335</v>
      </c>
      <c r="D18" s="411">
        <f t="shared" si="1"/>
        <v>32841.5</v>
      </c>
      <c r="E18" s="411">
        <f t="shared" si="2"/>
        <v>10520060</v>
      </c>
      <c r="F18" s="385"/>
      <c r="G18" s="411">
        <f t="shared" si="3"/>
        <v>6403152.5</v>
      </c>
      <c r="H18" s="385">
        <f t="shared" si="4"/>
        <v>1441110</v>
      </c>
      <c r="I18" s="385">
        <f>1166250</f>
        <v>1166250</v>
      </c>
      <c r="J18" s="385">
        <f t="shared" si="6"/>
        <v>1365142.5</v>
      </c>
      <c r="K18" s="385">
        <f t="shared" si="5"/>
        <v>1441110</v>
      </c>
      <c r="L18" s="411">
        <f t="shared" si="0"/>
        <v>9154917.5</v>
      </c>
      <c r="M18" s="421" t="s">
        <v>4189</v>
      </c>
    </row>
    <row r="19" spans="1:13" s="375" customFormat="1" ht="30" customHeight="1">
      <c r="A19" s="365">
        <v>42887</v>
      </c>
      <c r="B19" s="385">
        <v>3812</v>
      </c>
      <c r="C19" s="385">
        <v>1393240</v>
      </c>
      <c r="D19" s="411">
        <f t="shared" si="1"/>
        <v>36653.5</v>
      </c>
      <c r="E19" s="411">
        <f t="shared" si="2"/>
        <v>11913300</v>
      </c>
      <c r="F19" s="385"/>
      <c r="G19" s="411">
        <f t="shared" si="3"/>
        <v>6747075</v>
      </c>
      <c r="H19" s="385">
        <f t="shared" si="4"/>
        <v>1310655</v>
      </c>
      <c r="I19" s="385">
        <f>1441110</f>
        <v>1441110</v>
      </c>
      <c r="J19" s="385">
        <f t="shared" si="6"/>
        <v>2806252.5</v>
      </c>
      <c r="K19" s="385">
        <f t="shared" si="5"/>
        <v>1310655</v>
      </c>
      <c r="L19" s="411">
        <f t="shared" si="0"/>
        <v>9107047.5</v>
      </c>
      <c r="M19" s="421" t="s">
        <v>4190</v>
      </c>
    </row>
    <row r="20" spans="1:13" s="375" customFormat="1" ht="30" customHeight="1">
      <c r="A20" s="365">
        <v>42917</v>
      </c>
      <c r="B20" s="385">
        <v>4218</v>
      </c>
      <c r="C20" s="385">
        <v>1527635</v>
      </c>
      <c r="D20" s="411">
        <f t="shared" si="1"/>
        <v>40871.5</v>
      </c>
      <c r="E20" s="411">
        <f t="shared" si="2"/>
        <v>13440935</v>
      </c>
      <c r="F20" s="385"/>
      <c r="G20" s="411">
        <f t="shared" si="3"/>
        <v>7677515</v>
      </c>
      <c r="H20" s="385">
        <f t="shared" si="4"/>
        <v>1049317.5</v>
      </c>
      <c r="I20" s="385">
        <v>1310655</v>
      </c>
      <c r="J20" s="385">
        <f t="shared" si="6"/>
        <v>4116907.5</v>
      </c>
      <c r="K20" s="385">
        <f t="shared" si="5"/>
        <v>1049317.5</v>
      </c>
      <c r="L20" s="411">
        <f t="shared" si="0"/>
        <v>9324027.5</v>
      </c>
      <c r="M20" s="385" t="s">
        <v>4191</v>
      </c>
    </row>
    <row r="21" spans="1:13" s="375" customFormat="1" ht="30" customHeight="1">
      <c r="A21" s="365">
        <v>42948</v>
      </c>
      <c r="B21" s="385">
        <v>5792</v>
      </c>
      <c r="C21" s="385">
        <v>2146505</v>
      </c>
      <c r="D21" s="411">
        <f t="shared" si="1"/>
        <v>46663.5</v>
      </c>
      <c r="E21" s="411">
        <f t="shared" si="2"/>
        <v>15587440</v>
      </c>
      <c r="F21" s="385"/>
      <c r="G21" s="411">
        <f t="shared" si="3"/>
        <v>7953015</v>
      </c>
      <c r="H21" s="385">
        <f t="shared" si="4"/>
        <v>597195</v>
      </c>
      <c r="I21" s="385">
        <f>1049317.5</f>
        <v>1049317.5</v>
      </c>
      <c r="J21" s="385">
        <f t="shared" si="6"/>
        <v>5166225</v>
      </c>
      <c r="K21" s="385">
        <f t="shared" si="5"/>
        <v>597195</v>
      </c>
      <c r="L21" s="411">
        <f t="shared" si="0"/>
        <v>10421215</v>
      </c>
      <c r="M21" s="385" t="s">
        <v>4192</v>
      </c>
    </row>
    <row r="22" spans="1:13" s="375" customFormat="1" ht="30" customHeight="1">
      <c r="A22" s="365"/>
      <c r="B22" s="385"/>
      <c r="C22" s="385"/>
      <c r="D22" s="411"/>
      <c r="E22" s="411"/>
      <c r="F22" s="385"/>
      <c r="G22" s="385"/>
      <c r="H22" s="385">
        <f t="shared" si="4"/>
        <v>1871005</v>
      </c>
      <c r="I22" s="385"/>
      <c r="J22" s="385"/>
      <c r="K22" s="385">
        <f t="shared" si="5"/>
        <v>2468200</v>
      </c>
      <c r="L22" s="385"/>
      <c r="M22" s="385" t="s">
        <v>4193</v>
      </c>
    </row>
    <row r="23" spans="1:13" s="375" customFormat="1" ht="30" customHeight="1">
      <c r="A23" s="365"/>
      <c r="B23" s="385"/>
      <c r="C23" s="385"/>
      <c r="D23" s="411"/>
      <c r="E23" s="411"/>
      <c r="F23" s="385"/>
      <c r="G23" s="385"/>
      <c r="H23" s="385"/>
      <c r="I23" s="385"/>
      <c r="J23" s="385"/>
      <c r="K23" s="385"/>
      <c r="L23" s="385"/>
      <c r="M23" s="385"/>
    </row>
    <row r="24" spans="1:13" s="375" customFormat="1" ht="30" customHeight="1">
      <c r="A24" s="365"/>
      <c r="B24" s="385"/>
      <c r="C24" s="385"/>
      <c r="D24" s="411"/>
      <c r="E24" s="411"/>
      <c r="F24" s="385"/>
      <c r="G24" s="385"/>
      <c r="H24" s="385"/>
      <c r="I24" s="385"/>
      <c r="J24" s="385"/>
      <c r="K24" s="385"/>
      <c r="L24" s="385"/>
      <c r="M24" s="385"/>
    </row>
    <row r="25" spans="1:13" s="375" customFormat="1" ht="30" customHeight="1">
      <c r="A25" s="365"/>
      <c r="B25" s="385"/>
      <c r="C25" s="385"/>
      <c r="D25" s="385"/>
      <c r="E25" s="385"/>
      <c r="F25" s="385"/>
      <c r="G25" s="385"/>
      <c r="H25" s="385"/>
      <c r="I25" s="385"/>
      <c r="J25" s="385"/>
      <c r="K25" s="385"/>
      <c r="L25" s="385"/>
      <c r="M25" s="385"/>
    </row>
  </sheetData>
  <mergeCells count="10">
    <mergeCell ref="A5:C5"/>
    <mergeCell ref="D5:I5"/>
    <mergeCell ref="E1:F1"/>
    <mergeCell ref="G1:H1"/>
    <mergeCell ref="J1:L1"/>
    <mergeCell ref="B2:C2"/>
    <mergeCell ref="B3:C3"/>
    <mergeCell ref="B4:E4"/>
    <mergeCell ref="F4:I4"/>
    <mergeCell ref="J4:L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8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3"/>
  <sheetViews>
    <sheetView topLeftCell="A37" zoomScaleSheetLayoutView="100" workbookViewId="0">
      <selection activeCell="B39" sqref="B39:M39"/>
    </sheetView>
  </sheetViews>
  <sheetFormatPr defaultColWidth="9" defaultRowHeight="14.25"/>
  <cols>
    <col min="1" max="1" width="13.625" customWidth="1"/>
    <col min="2" max="2" width="14" customWidth="1"/>
    <col min="3" max="3" width="13.5" customWidth="1"/>
    <col min="4" max="4" width="12.125" customWidth="1"/>
    <col min="5" max="5" width="13.5" customWidth="1"/>
    <col min="6" max="6" width="15" customWidth="1"/>
    <col min="7" max="7" width="12.625" customWidth="1"/>
    <col min="8" max="8" width="12.375" customWidth="1"/>
    <col min="9" max="9" width="14.375" customWidth="1"/>
    <col min="10" max="10" width="13.75" customWidth="1"/>
    <col min="11" max="11" width="12.625" customWidth="1"/>
    <col min="12" max="12" width="11.125" customWidth="1"/>
    <col min="13" max="13" width="35.125" customWidth="1"/>
    <col min="15" max="16" width="11.625" bestFit="1" customWidth="1"/>
  </cols>
  <sheetData>
    <row r="1" spans="1:17" ht="86.1" customHeight="1">
      <c r="A1" s="349"/>
      <c r="B1" s="350" t="s">
        <v>4194</v>
      </c>
      <c r="C1" s="351" t="s">
        <v>4195</v>
      </c>
      <c r="D1" s="350" t="s">
        <v>236</v>
      </c>
      <c r="E1" s="2207" t="s">
        <v>4196</v>
      </c>
      <c r="F1" s="2208"/>
      <c r="G1" s="2209" t="s">
        <v>4197</v>
      </c>
      <c r="H1" s="2210"/>
      <c r="I1" s="386" t="s">
        <v>237</v>
      </c>
      <c r="J1" s="2211" t="s">
        <v>4198</v>
      </c>
      <c r="K1" s="2212"/>
      <c r="L1" s="2213"/>
      <c r="M1" s="387" t="s">
        <v>4199</v>
      </c>
    </row>
    <row r="2" spans="1:17" ht="60" customHeight="1">
      <c r="A2" s="2215" t="s">
        <v>240</v>
      </c>
      <c r="B2" s="2219" t="s">
        <v>4200</v>
      </c>
      <c r="C2" s="2220"/>
      <c r="D2" s="2217" t="s">
        <v>242</v>
      </c>
      <c r="E2" s="2223"/>
      <c r="F2" s="2223"/>
      <c r="G2" s="2223"/>
      <c r="H2" s="2038"/>
      <c r="I2" s="1706" t="s">
        <v>4201</v>
      </c>
      <c r="J2" s="1706"/>
      <c r="K2" s="1706"/>
      <c r="L2" s="1706"/>
      <c r="M2" s="1706"/>
    </row>
    <row r="3" spans="1:17" ht="36" customHeight="1">
      <c r="A3" s="2216"/>
      <c r="B3" s="2221"/>
      <c r="C3" s="2222"/>
      <c r="D3" s="2218"/>
      <c r="E3" s="2223"/>
      <c r="F3" s="2223"/>
      <c r="G3" s="2223"/>
      <c r="H3" s="2223"/>
      <c r="I3" s="388" t="s">
        <v>243</v>
      </c>
      <c r="J3" s="395">
        <v>0.04</v>
      </c>
      <c r="K3" s="396"/>
      <c r="L3" s="397" t="s">
        <v>245</v>
      </c>
      <c r="M3" s="398" t="s">
        <v>4202</v>
      </c>
    </row>
    <row r="4" spans="1:17" ht="45" customHeight="1">
      <c r="A4" s="133" t="s">
        <v>247</v>
      </c>
      <c r="B4" s="1682" t="s">
        <v>4203</v>
      </c>
      <c r="C4" s="1682"/>
      <c r="D4" s="134" t="s">
        <v>249</v>
      </c>
      <c r="E4" s="380" t="s">
        <v>651</v>
      </c>
      <c r="F4" s="306" t="s">
        <v>251</v>
      </c>
      <c r="G4" s="306" t="s">
        <v>4204</v>
      </c>
      <c r="H4" s="306" t="s">
        <v>252</v>
      </c>
      <c r="I4" s="206" t="s">
        <v>4205</v>
      </c>
      <c r="J4" s="399" t="s">
        <v>565</v>
      </c>
      <c r="K4" s="15"/>
      <c r="L4" s="400" t="s">
        <v>255</v>
      </c>
      <c r="M4" s="207" t="s">
        <v>4206</v>
      </c>
    </row>
    <row r="5" spans="1:17" ht="66.95" customHeight="1">
      <c r="A5" s="133" t="s">
        <v>260</v>
      </c>
      <c r="B5" s="1727" t="s">
        <v>4207</v>
      </c>
      <c r="C5" s="1727"/>
      <c r="D5" s="1727"/>
      <c r="E5" s="1727"/>
      <c r="F5" s="1726"/>
      <c r="G5" s="1726"/>
      <c r="H5" s="2052"/>
      <c r="I5" s="2052"/>
      <c r="J5" s="2080"/>
      <c r="K5" s="2186"/>
      <c r="L5" s="2080"/>
      <c r="M5" s="170"/>
    </row>
    <row r="6" spans="1:17" ht="84" customHeight="1">
      <c r="A6" s="2214" t="s">
        <v>4208</v>
      </c>
      <c r="B6" s="1706"/>
      <c r="C6" s="1706"/>
      <c r="D6" s="2045" t="s">
        <v>4209</v>
      </c>
      <c r="E6" s="2046"/>
      <c r="F6" s="2046"/>
      <c r="G6" s="2046"/>
      <c r="H6" s="356"/>
      <c r="I6" s="356"/>
      <c r="J6" s="389"/>
      <c r="K6" s="169"/>
      <c r="L6" s="169"/>
      <c r="M6" s="264"/>
    </row>
    <row r="7" spans="1:17" ht="42.75">
      <c r="A7" s="381" t="s">
        <v>266</v>
      </c>
      <c r="B7" s="382" t="s">
        <v>267</v>
      </c>
      <c r="C7" s="382" t="s">
        <v>268</v>
      </c>
      <c r="D7" s="382" t="s">
        <v>269</v>
      </c>
      <c r="E7" s="382" t="s">
        <v>270</v>
      </c>
      <c r="F7" s="382" t="s">
        <v>271</v>
      </c>
      <c r="G7" s="383" t="s">
        <v>272</v>
      </c>
      <c r="H7" s="384" t="s">
        <v>273</v>
      </c>
      <c r="I7" s="390" t="s">
        <v>274</v>
      </c>
      <c r="J7" s="391" t="s">
        <v>275</v>
      </c>
      <c r="K7" s="391" t="s">
        <v>276</v>
      </c>
      <c r="L7" s="382" t="s">
        <v>277</v>
      </c>
      <c r="M7" s="392" t="s">
        <v>278</v>
      </c>
    </row>
    <row r="8" spans="1:17" s="375" customFormat="1" ht="30" customHeight="1">
      <c r="A8" s="324" t="s">
        <v>3679</v>
      </c>
      <c r="B8" s="360">
        <v>763</v>
      </c>
      <c r="C8" s="402">
        <v>189378</v>
      </c>
      <c r="D8" s="360">
        <f>B8</f>
        <v>763</v>
      </c>
      <c r="E8" s="360">
        <f>C8</f>
        <v>189378</v>
      </c>
      <c r="F8" s="360"/>
      <c r="G8" s="360">
        <f t="shared" ref="G8:G21" si="0">E8*0.3</f>
        <v>56813.4</v>
      </c>
      <c r="H8" s="360"/>
      <c r="I8" s="360"/>
      <c r="J8" s="360"/>
      <c r="K8" s="360"/>
      <c r="L8" s="360">
        <f t="shared" ref="L8:L37" si="1">E8-J8</f>
        <v>189378</v>
      </c>
      <c r="M8" s="393"/>
    </row>
    <row r="9" spans="1:17" s="375" customFormat="1" ht="30" customHeight="1">
      <c r="A9" s="324" t="s">
        <v>3681</v>
      </c>
      <c r="B9" s="360">
        <v>5640</v>
      </c>
      <c r="C9" s="402">
        <v>1624012.5</v>
      </c>
      <c r="D9" s="360">
        <f t="shared" ref="D9:D37" si="2">D8+B9</f>
        <v>6403</v>
      </c>
      <c r="E9" s="360">
        <f t="shared" ref="E9:E37" si="3">E8+C9</f>
        <v>1813390.5</v>
      </c>
      <c r="F9" s="360"/>
      <c r="G9" s="360">
        <f t="shared" si="0"/>
        <v>544017.15</v>
      </c>
      <c r="H9" s="360">
        <f t="shared" ref="H9:H22" si="4">C8*0.7</f>
        <v>132564.6</v>
      </c>
      <c r="I9" s="360"/>
      <c r="J9" s="360"/>
      <c r="K9" s="360">
        <f t="shared" ref="K9:K38" si="5">K8+H9-I9</f>
        <v>132564.6</v>
      </c>
      <c r="L9" s="360">
        <f t="shared" si="1"/>
        <v>1813390.5</v>
      </c>
      <c r="M9" s="393"/>
    </row>
    <row r="10" spans="1:17" s="375" customFormat="1" ht="30" customHeight="1">
      <c r="A10" s="324" t="s">
        <v>3683</v>
      </c>
      <c r="B10" s="360">
        <v>8104.5</v>
      </c>
      <c r="C10" s="402">
        <v>2371082</v>
      </c>
      <c r="D10" s="360">
        <f t="shared" si="2"/>
        <v>14507.5</v>
      </c>
      <c r="E10" s="360">
        <f t="shared" si="3"/>
        <v>4184472.5</v>
      </c>
      <c r="F10" s="360"/>
      <c r="G10" s="360">
        <f t="shared" si="0"/>
        <v>1255341.75</v>
      </c>
      <c r="H10" s="360">
        <f t="shared" si="4"/>
        <v>1136808.75</v>
      </c>
      <c r="I10" s="360"/>
      <c r="J10" s="360"/>
      <c r="K10" s="360">
        <f t="shared" si="5"/>
        <v>1269373.3500000001</v>
      </c>
      <c r="L10" s="360">
        <f t="shared" si="1"/>
        <v>4184472.5</v>
      </c>
      <c r="M10" s="394" t="s">
        <v>4210</v>
      </c>
      <c r="O10" s="360">
        <v>5640</v>
      </c>
      <c r="P10" s="402">
        <v>1624012.5</v>
      </c>
    </row>
    <row r="11" spans="1:17" s="375" customFormat="1" ht="30" customHeight="1">
      <c r="A11" s="324" t="s">
        <v>4211</v>
      </c>
      <c r="B11" s="360">
        <v>4930</v>
      </c>
      <c r="C11" s="360">
        <v>1472240</v>
      </c>
      <c r="D11" s="360">
        <f t="shared" si="2"/>
        <v>19437.5</v>
      </c>
      <c r="E11" s="360">
        <f t="shared" si="3"/>
        <v>5656712.5</v>
      </c>
      <c r="F11" s="360"/>
      <c r="G11" s="360">
        <f t="shared" si="0"/>
        <v>1697013.75</v>
      </c>
      <c r="H11" s="360">
        <f t="shared" si="4"/>
        <v>1659757.4</v>
      </c>
      <c r="I11" s="360"/>
      <c r="J11" s="360"/>
      <c r="K11" s="360">
        <f t="shared" si="5"/>
        <v>2929130.75</v>
      </c>
      <c r="L11" s="360">
        <f t="shared" si="1"/>
        <v>5656712.5</v>
      </c>
      <c r="M11" s="360"/>
      <c r="O11" s="360">
        <v>8104.5</v>
      </c>
      <c r="P11" s="402">
        <v>2371082</v>
      </c>
    </row>
    <row r="12" spans="1:17" s="375" customFormat="1" ht="30" customHeight="1">
      <c r="A12" s="324" t="s">
        <v>4212</v>
      </c>
      <c r="B12" s="360">
        <v>724</v>
      </c>
      <c r="C12" s="360">
        <v>214539</v>
      </c>
      <c r="D12" s="360">
        <f t="shared" si="2"/>
        <v>20161.5</v>
      </c>
      <c r="E12" s="360">
        <f t="shared" si="3"/>
        <v>5871251.5</v>
      </c>
      <c r="F12" s="360"/>
      <c r="G12" s="360">
        <f t="shared" si="0"/>
        <v>1761375.45</v>
      </c>
      <c r="H12" s="360">
        <f t="shared" si="4"/>
        <v>1030567.9999999999</v>
      </c>
      <c r="I12" s="360">
        <v>2929130.75</v>
      </c>
      <c r="J12" s="360">
        <f t="shared" ref="J12:J37" si="6">I12+J11</f>
        <v>2929130.75</v>
      </c>
      <c r="K12" s="360">
        <f t="shared" si="5"/>
        <v>1030568</v>
      </c>
      <c r="L12" s="360">
        <f t="shared" si="1"/>
        <v>2942120.75</v>
      </c>
      <c r="M12" s="360"/>
    </row>
    <row r="13" spans="1:17" s="375" customFormat="1" ht="30" customHeight="1">
      <c r="A13" s="403" t="s">
        <v>4213</v>
      </c>
      <c r="B13" s="360">
        <v>2160.5</v>
      </c>
      <c r="C13" s="404">
        <v>682680.5</v>
      </c>
      <c r="D13" s="360">
        <f t="shared" si="2"/>
        <v>22322</v>
      </c>
      <c r="E13" s="360">
        <f t="shared" si="3"/>
        <v>6553932</v>
      </c>
      <c r="F13" s="360"/>
      <c r="G13" s="360">
        <f t="shared" si="0"/>
        <v>1966179.5999999999</v>
      </c>
      <c r="H13" s="360">
        <f t="shared" si="4"/>
        <v>150177.29999999999</v>
      </c>
      <c r="I13" s="360"/>
      <c r="J13" s="360">
        <f t="shared" si="6"/>
        <v>2929130.75</v>
      </c>
      <c r="K13" s="360">
        <f t="shared" si="5"/>
        <v>1180745.3</v>
      </c>
      <c r="L13" s="360">
        <f t="shared" si="1"/>
        <v>3624801.25</v>
      </c>
      <c r="M13" s="360" t="s">
        <v>4214</v>
      </c>
    </row>
    <row r="14" spans="1:17" s="375" customFormat="1" ht="39" customHeight="1">
      <c r="A14" s="405" t="s">
        <v>4215</v>
      </c>
      <c r="B14" s="360">
        <v>3165</v>
      </c>
      <c r="C14" s="360">
        <v>989257.5</v>
      </c>
      <c r="D14" s="360">
        <f t="shared" si="2"/>
        <v>25487</v>
      </c>
      <c r="E14" s="360">
        <f t="shared" si="3"/>
        <v>7543189.5</v>
      </c>
      <c r="F14" s="360"/>
      <c r="G14" s="360">
        <f t="shared" si="0"/>
        <v>2262956.85</v>
      </c>
      <c r="H14" s="360">
        <f t="shared" si="4"/>
        <v>477876.35</v>
      </c>
      <c r="I14" s="360">
        <v>1000000</v>
      </c>
      <c r="J14" s="360">
        <f t="shared" si="6"/>
        <v>3929130.75</v>
      </c>
      <c r="K14" s="360">
        <f t="shared" si="5"/>
        <v>658621.64999999991</v>
      </c>
      <c r="L14" s="360">
        <f t="shared" si="1"/>
        <v>3614058.75</v>
      </c>
      <c r="M14" s="360"/>
    </row>
    <row r="15" spans="1:17" s="375" customFormat="1" ht="39" customHeight="1">
      <c r="A15" s="405" t="s">
        <v>4216</v>
      </c>
      <c r="B15" s="360">
        <v>2948</v>
      </c>
      <c r="C15" s="360">
        <v>885114</v>
      </c>
      <c r="D15" s="360">
        <f t="shared" si="2"/>
        <v>28435</v>
      </c>
      <c r="E15" s="360">
        <f t="shared" si="3"/>
        <v>8428303.5</v>
      </c>
      <c r="F15" s="360"/>
      <c r="G15" s="360">
        <f t="shared" si="0"/>
        <v>2528491.0499999998</v>
      </c>
      <c r="H15" s="360">
        <f t="shared" si="4"/>
        <v>692480.25</v>
      </c>
      <c r="I15" s="411">
        <v>800000</v>
      </c>
      <c r="J15" s="360">
        <f t="shared" si="6"/>
        <v>4729130.75</v>
      </c>
      <c r="K15" s="360">
        <f t="shared" si="5"/>
        <v>551101.89999999991</v>
      </c>
      <c r="L15" s="360">
        <f t="shared" si="1"/>
        <v>3699172.75</v>
      </c>
      <c r="M15" s="360" t="s">
        <v>4217</v>
      </c>
    </row>
    <row r="16" spans="1:17" s="375" customFormat="1" ht="39" customHeight="1">
      <c r="A16" s="405" t="s">
        <v>4218</v>
      </c>
      <c r="B16" s="360">
        <v>7270</v>
      </c>
      <c r="C16" s="360">
        <v>2120914</v>
      </c>
      <c r="D16" s="360">
        <f t="shared" si="2"/>
        <v>35705</v>
      </c>
      <c r="E16" s="360">
        <f t="shared" si="3"/>
        <v>10549217.5</v>
      </c>
      <c r="F16" s="360"/>
      <c r="G16" s="360">
        <f t="shared" si="0"/>
        <v>3164765.25</v>
      </c>
      <c r="H16" s="406">
        <f t="shared" si="4"/>
        <v>619579.79999999993</v>
      </c>
      <c r="I16" s="411">
        <v>500000</v>
      </c>
      <c r="J16" s="360">
        <f t="shared" si="6"/>
        <v>5229130.75</v>
      </c>
      <c r="K16" s="411">
        <f t="shared" si="5"/>
        <v>670681.69999999972</v>
      </c>
      <c r="L16" s="360">
        <f t="shared" si="1"/>
        <v>5320086.75</v>
      </c>
      <c r="M16" s="360" t="s">
        <v>4219</v>
      </c>
      <c r="O16" s="360">
        <f>H9+H10+H11-I12</f>
        <v>0</v>
      </c>
      <c r="P16" s="360"/>
      <c r="Q16" s="360"/>
    </row>
    <row r="17" spans="1:17" s="375" customFormat="1" ht="39" customHeight="1">
      <c r="A17" s="405" t="s">
        <v>4220</v>
      </c>
      <c r="B17" s="360">
        <v>4936</v>
      </c>
      <c r="C17" s="360">
        <v>1433377</v>
      </c>
      <c r="D17" s="360">
        <f t="shared" si="2"/>
        <v>40641</v>
      </c>
      <c r="E17" s="360">
        <f t="shared" si="3"/>
        <v>11982594.5</v>
      </c>
      <c r="F17" s="360"/>
      <c r="G17" s="360">
        <f t="shared" si="0"/>
        <v>3594778.35</v>
      </c>
      <c r="H17" s="406">
        <f t="shared" si="4"/>
        <v>1484639.7999999998</v>
      </c>
      <c r="I17" s="360">
        <v>1000000</v>
      </c>
      <c r="J17" s="360">
        <f t="shared" si="6"/>
        <v>6229130.75</v>
      </c>
      <c r="K17" s="411">
        <f t="shared" si="5"/>
        <v>1155321.4999999995</v>
      </c>
      <c r="L17" s="360">
        <f t="shared" si="1"/>
        <v>5753463.75</v>
      </c>
      <c r="M17" s="360" t="s">
        <v>4221</v>
      </c>
      <c r="O17" s="360">
        <v>658271.65</v>
      </c>
      <c r="P17" s="360">
        <f>H13+H14</f>
        <v>628053.64999999991</v>
      </c>
      <c r="Q17" s="360">
        <f>O17-P17</f>
        <v>30218.000000000116</v>
      </c>
    </row>
    <row r="18" spans="1:17" s="375" customFormat="1" ht="39" customHeight="1">
      <c r="A18" s="405" t="s">
        <v>4222</v>
      </c>
      <c r="B18" s="360">
        <v>5707</v>
      </c>
      <c r="C18" s="360">
        <v>1644735</v>
      </c>
      <c r="D18" s="360">
        <f t="shared" si="2"/>
        <v>46348</v>
      </c>
      <c r="E18" s="360">
        <f t="shared" si="3"/>
        <v>13627329.5</v>
      </c>
      <c r="F18" s="360"/>
      <c r="G18" s="360">
        <f t="shared" si="0"/>
        <v>4088198.8499999996</v>
      </c>
      <c r="H18" s="404">
        <f t="shared" si="4"/>
        <v>1003363.8999999999</v>
      </c>
      <c r="I18" s="360">
        <v>1000000</v>
      </c>
      <c r="J18" s="360">
        <f t="shared" si="6"/>
        <v>7229130.75</v>
      </c>
      <c r="K18" s="411">
        <f t="shared" si="5"/>
        <v>1158685.3999999994</v>
      </c>
      <c r="L18" s="360">
        <f t="shared" si="1"/>
        <v>6398198.75</v>
      </c>
      <c r="M18" s="360" t="s">
        <v>4223</v>
      </c>
    </row>
    <row r="19" spans="1:17" s="375" customFormat="1" ht="39" customHeight="1">
      <c r="A19" s="405" t="s">
        <v>4224</v>
      </c>
      <c r="B19" s="360">
        <v>3804</v>
      </c>
      <c r="C19" s="360">
        <v>1089157</v>
      </c>
      <c r="D19" s="360">
        <f t="shared" si="2"/>
        <v>50152</v>
      </c>
      <c r="E19" s="360">
        <f t="shared" si="3"/>
        <v>14716486.5</v>
      </c>
      <c r="F19" s="360"/>
      <c r="G19" s="360">
        <f t="shared" si="0"/>
        <v>4414945.95</v>
      </c>
      <c r="H19" s="404">
        <f t="shared" si="4"/>
        <v>1151314.5</v>
      </c>
      <c r="I19" s="360"/>
      <c r="J19" s="360">
        <f t="shared" si="6"/>
        <v>7229130.75</v>
      </c>
      <c r="K19" s="360">
        <f t="shared" si="5"/>
        <v>2309999.8999999994</v>
      </c>
      <c r="L19" s="360">
        <f t="shared" si="1"/>
        <v>7487355.75</v>
      </c>
      <c r="M19" s="360"/>
    </row>
    <row r="20" spans="1:17" s="375" customFormat="1" ht="39" customHeight="1">
      <c r="A20" s="405" t="s">
        <v>4225</v>
      </c>
      <c r="B20" s="360"/>
      <c r="C20" s="360">
        <v>105380</v>
      </c>
      <c r="D20" s="360">
        <f t="shared" si="2"/>
        <v>50152</v>
      </c>
      <c r="E20" s="360">
        <f t="shared" si="3"/>
        <v>14821866.5</v>
      </c>
      <c r="F20" s="360"/>
      <c r="G20" s="360">
        <f t="shared" si="0"/>
        <v>4446559.95</v>
      </c>
      <c r="H20" s="404">
        <f t="shared" si="4"/>
        <v>762409.89999999991</v>
      </c>
      <c r="I20" s="364"/>
      <c r="J20" s="360">
        <f t="shared" si="6"/>
        <v>7229130.75</v>
      </c>
      <c r="K20" s="360">
        <f t="shared" si="5"/>
        <v>3072409.7999999993</v>
      </c>
      <c r="L20" s="360">
        <f t="shared" si="1"/>
        <v>7592735.75</v>
      </c>
      <c r="M20" s="360"/>
    </row>
    <row r="21" spans="1:17" s="375" customFormat="1" ht="39" customHeight="1">
      <c r="A21" s="405" t="s">
        <v>4226</v>
      </c>
      <c r="B21" s="360">
        <v>3296</v>
      </c>
      <c r="C21" s="360">
        <v>911111.5</v>
      </c>
      <c r="D21" s="360">
        <f t="shared" si="2"/>
        <v>53448</v>
      </c>
      <c r="E21" s="360">
        <f t="shared" si="3"/>
        <v>15732978</v>
      </c>
      <c r="F21" s="360"/>
      <c r="G21" s="360">
        <f t="shared" si="0"/>
        <v>4719893.3999999994</v>
      </c>
      <c r="H21" s="404">
        <f t="shared" si="4"/>
        <v>73766</v>
      </c>
      <c r="I21" s="364"/>
      <c r="J21" s="360">
        <f t="shared" si="6"/>
        <v>7229130.75</v>
      </c>
      <c r="K21" s="360">
        <f t="shared" si="5"/>
        <v>3146175.7999999993</v>
      </c>
      <c r="L21" s="360">
        <f t="shared" si="1"/>
        <v>8503847.25</v>
      </c>
      <c r="M21" s="360" t="s">
        <v>4227</v>
      </c>
    </row>
    <row r="22" spans="1:17" s="375" customFormat="1" ht="39" customHeight="1">
      <c r="A22" s="405" t="s">
        <v>4228</v>
      </c>
      <c r="B22" s="360"/>
      <c r="C22" s="360">
        <v>60000</v>
      </c>
      <c r="D22" s="360">
        <f t="shared" si="2"/>
        <v>53448</v>
      </c>
      <c r="E22" s="360">
        <f t="shared" si="3"/>
        <v>15792978</v>
      </c>
      <c r="F22" s="360"/>
      <c r="G22" s="360">
        <f>E21*0.3</f>
        <v>4719893.3999999994</v>
      </c>
      <c r="H22" s="404">
        <f t="shared" si="4"/>
        <v>637778.04999999993</v>
      </c>
      <c r="I22" s="364"/>
      <c r="J22" s="360">
        <f t="shared" si="6"/>
        <v>7229130.75</v>
      </c>
      <c r="K22" s="360">
        <f t="shared" si="5"/>
        <v>3783953.8499999992</v>
      </c>
      <c r="L22" s="360">
        <f t="shared" si="1"/>
        <v>8563847.25</v>
      </c>
      <c r="M22" s="360"/>
    </row>
    <row r="23" spans="1:17" s="375" customFormat="1" ht="39" customHeight="1">
      <c r="A23" s="405" t="s">
        <v>4229</v>
      </c>
      <c r="B23" s="360"/>
      <c r="C23" s="360">
        <v>39495</v>
      </c>
      <c r="D23" s="360">
        <f t="shared" si="2"/>
        <v>53448</v>
      </c>
      <c r="E23" s="360">
        <f t="shared" si="3"/>
        <v>15832473</v>
      </c>
      <c r="F23" s="360"/>
      <c r="G23" s="360">
        <f>E21*0.3+C23*0.3</f>
        <v>4731741.8999999994</v>
      </c>
      <c r="H23" s="407">
        <f t="shared" ref="H23:H29" si="7">C22</f>
        <v>60000</v>
      </c>
      <c r="I23" s="364">
        <f>1500000+1500000</f>
        <v>3000000</v>
      </c>
      <c r="J23" s="360">
        <f t="shared" si="6"/>
        <v>10229130.75</v>
      </c>
      <c r="K23" s="360">
        <f t="shared" si="5"/>
        <v>843953.84999999916</v>
      </c>
      <c r="L23" s="360">
        <f t="shared" si="1"/>
        <v>5603342.25</v>
      </c>
      <c r="M23" s="360"/>
    </row>
    <row r="24" spans="1:17" s="375" customFormat="1" ht="39" customHeight="1">
      <c r="A24" s="405" t="s">
        <v>4230</v>
      </c>
      <c r="B24" s="360"/>
      <c r="C24" s="360">
        <v>24225.94</v>
      </c>
      <c r="D24" s="360">
        <f t="shared" si="2"/>
        <v>53448</v>
      </c>
      <c r="E24" s="360">
        <f t="shared" si="3"/>
        <v>15856698.939999999</v>
      </c>
      <c r="F24" s="360"/>
      <c r="G24" s="360">
        <f>E21*0.3+C23*0.3</f>
        <v>4731741.8999999994</v>
      </c>
      <c r="H24" s="407">
        <f>C23*0.7</f>
        <v>27646.5</v>
      </c>
      <c r="I24" s="364"/>
      <c r="J24" s="360">
        <f t="shared" si="6"/>
        <v>10229130.75</v>
      </c>
      <c r="K24" s="360">
        <f t="shared" si="5"/>
        <v>871600.34999999916</v>
      </c>
      <c r="L24" s="360">
        <f t="shared" si="1"/>
        <v>5627568.1899999995</v>
      </c>
      <c r="M24" s="360"/>
    </row>
    <row r="25" spans="1:17" s="375" customFormat="1" ht="39" customHeight="1">
      <c r="A25" s="405" t="s">
        <v>4231</v>
      </c>
      <c r="B25" s="360">
        <v>3629.5</v>
      </c>
      <c r="C25" s="360">
        <v>1004972.5</v>
      </c>
      <c r="D25" s="360">
        <f t="shared" si="2"/>
        <v>57077.5</v>
      </c>
      <c r="E25" s="360">
        <f t="shared" si="3"/>
        <v>16861671.439999998</v>
      </c>
      <c r="F25" s="360"/>
      <c r="G25" s="360">
        <f>E21*0.3+C23*0.3</f>
        <v>4731741.8999999994</v>
      </c>
      <c r="H25" s="407">
        <f t="shared" si="7"/>
        <v>24225.94</v>
      </c>
      <c r="I25" s="364"/>
      <c r="J25" s="360">
        <f t="shared" si="6"/>
        <v>10229130.75</v>
      </c>
      <c r="K25" s="360">
        <f t="shared" si="5"/>
        <v>895826.28999999911</v>
      </c>
      <c r="L25" s="360">
        <f t="shared" si="1"/>
        <v>6632540.6899999976</v>
      </c>
      <c r="M25" s="360" t="s">
        <v>4232</v>
      </c>
    </row>
    <row r="26" spans="1:17" s="375" customFormat="1" ht="39" customHeight="1">
      <c r="A26" s="405" t="s">
        <v>4233</v>
      </c>
      <c r="B26" s="360">
        <v>2551</v>
      </c>
      <c r="C26" s="360">
        <v>734640</v>
      </c>
      <c r="D26" s="360">
        <f t="shared" si="2"/>
        <v>59628.5</v>
      </c>
      <c r="E26" s="360">
        <f t="shared" si="3"/>
        <v>17596311.439999998</v>
      </c>
      <c r="F26" s="360"/>
      <c r="G26" s="360">
        <f>E21*0.3+C23*0.3+C25*0.3+C26*0.3</f>
        <v>5253625.6499999994</v>
      </c>
      <c r="H26" s="408">
        <f>C25*0.7</f>
        <v>703480.75</v>
      </c>
      <c r="I26" s="364">
        <v>783603.85</v>
      </c>
      <c r="J26" s="360">
        <f t="shared" si="6"/>
        <v>11012734.6</v>
      </c>
      <c r="K26" s="360">
        <f t="shared" si="5"/>
        <v>815703.18999999913</v>
      </c>
      <c r="L26" s="360">
        <f t="shared" si="1"/>
        <v>6583576.839999998</v>
      </c>
      <c r="M26" s="360"/>
    </row>
    <row r="27" spans="1:17" s="375" customFormat="1" ht="39" customHeight="1">
      <c r="A27" s="405" t="s">
        <v>4234</v>
      </c>
      <c r="B27" s="360"/>
      <c r="C27" s="360">
        <f>(C25+C23)*0.04</f>
        <v>41778.700000000004</v>
      </c>
      <c r="D27" s="360">
        <f t="shared" si="2"/>
        <v>59628.5</v>
      </c>
      <c r="E27" s="360">
        <f t="shared" si="3"/>
        <v>17638090.139999997</v>
      </c>
      <c r="F27" s="360"/>
      <c r="G27" s="360">
        <f>E21*0.3+C25*0.3+C26*0.3+C23*0.3</f>
        <v>5253625.6499999994</v>
      </c>
      <c r="H27" s="404">
        <f>C26*0.7</f>
        <v>514247.99999999994</v>
      </c>
      <c r="I27" s="364"/>
      <c r="J27" s="360">
        <f t="shared" si="6"/>
        <v>11012734.6</v>
      </c>
      <c r="K27" s="360">
        <f t="shared" si="5"/>
        <v>1329951.189999999</v>
      </c>
      <c r="L27" s="360">
        <f t="shared" si="1"/>
        <v>6625355.5399999972</v>
      </c>
      <c r="M27" s="412" t="s">
        <v>4235</v>
      </c>
    </row>
    <row r="28" spans="1:17" s="375" customFormat="1" ht="39" customHeight="1">
      <c r="A28" s="405" t="s">
        <v>4236</v>
      </c>
      <c r="B28" s="360"/>
      <c r="C28" s="360">
        <v>29385.599999999999</v>
      </c>
      <c r="D28" s="360">
        <f t="shared" si="2"/>
        <v>59628.5</v>
      </c>
      <c r="E28" s="360">
        <f t="shared" si="3"/>
        <v>17667475.739999998</v>
      </c>
      <c r="F28" s="360"/>
      <c r="G28" s="360">
        <f>E21*0.3+C25*0.3+C26*0.3+C23*0.3</f>
        <v>5253625.6499999994</v>
      </c>
      <c r="H28" s="404">
        <f t="shared" si="7"/>
        <v>41778.700000000004</v>
      </c>
      <c r="I28" s="364"/>
      <c r="J28" s="360">
        <f t="shared" si="6"/>
        <v>11012734.6</v>
      </c>
      <c r="K28" s="360">
        <f t="shared" si="5"/>
        <v>1371729.889999999</v>
      </c>
      <c r="L28" s="360">
        <f t="shared" si="1"/>
        <v>6654741.1399999987</v>
      </c>
      <c r="M28" s="360"/>
    </row>
    <row r="29" spans="1:17" s="375" customFormat="1" ht="39" customHeight="1">
      <c r="A29" s="405" t="s">
        <v>4237</v>
      </c>
      <c r="B29" s="360"/>
      <c r="C29" s="360">
        <v>56020</v>
      </c>
      <c r="D29" s="360">
        <f t="shared" si="2"/>
        <v>59628.5</v>
      </c>
      <c r="E29" s="360">
        <f t="shared" si="3"/>
        <v>17723495.739999998</v>
      </c>
      <c r="F29" s="360"/>
      <c r="G29" s="360">
        <f>E21*0.3+C25*0.3+C26*0.3+C23*0.3+C29*0.3</f>
        <v>5270431.6499999994</v>
      </c>
      <c r="H29" s="404">
        <f t="shared" si="7"/>
        <v>29385.599999999999</v>
      </c>
      <c r="I29" s="364">
        <f>769152.25+512946</f>
        <v>1282098.25</v>
      </c>
      <c r="J29" s="360">
        <f t="shared" si="6"/>
        <v>12294832.85</v>
      </c>
      <c r="K29" s="360">
        <f t="shared" si="5"/>
        <v>119017.23999999906</v>
      </c>
      <c r="L29" s="360">
        <f t="shared" si="1"/>
        <v>5428662.8899999987</v>
      </c>
      <c r="M29" s="360"/>
    </row>
    <row r="30" spans="1:17" s="375" customFormat="1" ht="39" customHeight="1">
      <c r="A30" s="409" t="s">
        <v>4238</v>
      </c>
      <c r="B30" s="360">
        <v>2238.5</v>
      </c>
      <c r="C30" s="360">
        <v>737868</v>
      </c>
      <c r="D30" s="360">
        <f t="shared" si="2"/>
        <v>61867</v>
      </c>
      <c r="E30" s="360">
        <f t="shared" si="3"/>
        <v>18461363.739999998</v>
      </c>
      <c r="F30" s="360"/>
      <c r="G30" s="360">
        <f>E21*0.3+C25*0.3+C26*0.3+C23*0.3+C29*0.3+C31*0.3</f>
        <v>5434960.3499999996</v>
      </c>
      <c r="H30" s="408">
        <f>C29*0.7</f>
        <v>39214</v>
      </c>
      <c r="I30" s="364"/>
      <c r="J30" s="360">
        <f t="shared" si="6"/>
        <v>12294832.85</v>
      </c>
      <c r="K30" s="360">
        <f t="shared" si="5"/>
        <v>158231.23999999906</v>
      </c>
      <c r="L30" s="360">
        <f t="shared" si="1"/>
        <v>6166530.8899999987</v>
      </c>
      <c r="M30" s="412" t="s">
        <v>4239</v>
      </c>
    </row>
    <row r="31" spans="1:17" s="375" customFormat="1" ht="39" customHeight="1">
      <c r="A31" s="409" t="s">
        <v>4240</v>
      </c>
      <c r="B31" s="360">
        <v>1675.5</v>
      </c>
      <c r="C31" s="360">
        <v>548429</v>
      </c>
      <c r="D31" s="360">
        <f t="shared" si="2"/>
        <v>63542.5</v>
      </c>
      <c r="E31" s="360">
        <f t="shared" si="3"/>
        <v>19009792.739999998</v>
      </c>
      <c r="F31" s="360"/>
      <c r="G31" s="360">
        <f>E21*0.3+C25*0.3+C26*0.3+C23*0.3+C29*0.3+C31*0.3</f>
        <v>5434960.3499999996</v>
      </c>
      <c r="H31" s="404">
        <f t="shared" ref="H31:H36" si="8">C30</f>
        <v>737868</v>
      </c>
      <c r="I31" s="364"/>
      <c r="J31" s="360">
        <f t="shared" si="6"/>
        <v>12294832.85</v>
      </c>
      <c r="K31" s="360">
        <f t="shared" si="5"/>
        <v>896099.23999999906</v>
      </c>
      <c r="L31" s="360">
        <f t="shared" si="1"/>
        <v>6714959.8899999987</v>
      </c>
      <c r="M31" s="360"/>
    </row>
    <row r="32" spans="1:17" s="375" customFormat="1" ht="39" customHeight="1">
      <c r="A32" s="405" t="s">
        <v>4241</v>
      </c>
      <c r="B32" s="360">
        <v>467</v>
      </c>
      <c r="C32" s="360">
        <v>150738</v>
      </c>
      <c r="D32" s="360">
        <f t="shared" si="2"/>
        <v>64009.5</v>
      </c>
      <c r="E32" s="360">
        <f t="shared" si="3"/>
        <v>19160530.739999998</v>
      </c>
      <c r="F32" s="360"/>
      <c r="G32" s="360">
        <f>E21*0.3+C25*0.3+C26*0.3+C23*0.3+C29*0.3+C31*0.3+C32*0.3</f>
        <v>5480181.75</v>
      </c>
      <c r="H32" s="404">
        <f>C31*0.7</f>
        <v>383900.3</v>
      </c>
      <c r="I32" s="364"/>
      <c r="J32" s="360">
        <f t="shared" si="6"/>
        <v>12294832.85</v>
      </c>
      <c r="K32" s="360">
        <f t="shared" si="5"/>
        <v>1279999.5399999991</v>
      </c>
      <c r="L32" s="360">
        <f t="shared" si="1"/>
        <v>6865697.8899999987</v>
      </c>
      <c r="M32" s="360"/>
    </row>
    <row r="33" spans="1:13" s="375" customFormat="1" ht="39" customHeight="1">
      <c r="A33" s="405" t="s">
        <v>1437</v>
      </c>
      <c r="B33" s="360"/>
      <c r="C33" s="406">
        <v>56250.87</v>
      </c>
      <c r="D33" s="360">
        <f t="shared" si="2"/>
        <v>64009.5</v>
      </c>
      <c r="E33" s="360">
        <f t="shared" si="3"/>
        <v>19216781.609999999</v>
      </c>
      <c r="F33" s="360"/>
      <c r="G33" s="360">
        <f>E21*0.3+C26*0.3+C29*0.3+C23*0.3+C31*0.3+C32*0.3+C33*0.3+C25*0.3</f>
        <v>5497057.0109999999</v>
      </c>
      <c r="H33" s="410">
        <f>C32*0.7</f>
        <v>105516.59999999999</v>
      </c>
      <c r="I33" s="364"/>
      <c r="J33" s="360">
        <f t="shared" si="6"/>
        <v>12294832.85</v>
      </c>
      <c r="K33" s="360">
        <f t="shared" si="5"/>
        <v>1385516.1399999992</v>
      </c>
      <c r="L33" s="360">
        <f t="shared" si="1"/>
        <v>6921948.7599999998</v>
      </c>
      <c r="M33" s="360"/>
    </row>
    <row r="34" spans="1:13" s="375" customFormat="1" ht="39" customHeight="1">
      <c r="A34" s="405" t="s">
        <v>4242</v>
      </c>
      <c r="B34" s="360">
        <v>413</v>
      </c>
      <c r="C34" s="360">
        <v>133523</v>
      </c>
      <c r="D34" s="360">
        <f t="shared" si="2"/>
        <v>64422.5</v>
      </c>
      <c r="E34" s="360">
        <f t="shared" si="3"/>
        <v>19350304.609999999</v>
      </c>
      <c r="F34" s="360"/>
      <c r="G34" s="360">
        <f>E21*0.3+C26*0.3+C29*0.3+C23*0.3+C31*0.3+C32*0.3+C33*0.3+C25*0.3+C34*0.3</f>
        <v>5537113.9110000003</v>
      </c>
      <c r="H34" s="410">
        <f t="shared" si="8"/>
        <v>56250.87</v>
      </c>
      <c r="I34" s="364">
        <v>1470000</v>
      </c>
      <c r="J34" s="360">
        <f t="shared" si="6"/>
        <v>13764832.85</v>
      </c>
      <c r="K34" s="360">
        <f t="shared" si="5"/>
        <v>-28232.990000000689</v>
      </c>
      <c r="L34" s="360">
        <f t="shared" si="1"/>
        <v>5585471.7599999998</v>
      </c>
      <c r="M34" s="360" t="s">
        <v>4243</v>
      </c>
    </row>
    <row r="35" spans="1:13" s="375" customFormat="1" ht="39" customHeight="1">
      <c r="A35" s="405" t="s">
        <v>4244</v>
      </c>
      <c r="B35" s="360"/>
      <c r="C35" s="360">
        <v>128920.64</v>
      </c>
      <c r="D35" s="360">
        <f t="shared" si="2"/>
        <v>64422.5</v>
      </c>
      <c r="E35" s="360">
        <f t="shared" si="3"/>
        <v>19479225.25</v>
      </c>
      <c r="F35" s="360"/>
      <c r="G35" s="360">
        <f>E21*0.3+C26*0.3+C29*0.3+C23*0.3+C31*0.3+C32*0.3+C33*0.3+C25*0.3+C34*0.3</f>
        <v>5537113.9110000003</v>
      </c>
      <c r="H35" s="410">
        <f>C34*0.7</f>
        <v>93466.099999999991</v>
      </c>
      <c r="I35" s="364">
        <v>1500000</v>
      </c>
      <c r="J35" s="360">
        <f t="shared" si="6"/>
        <v>15264832.85</v>
      </c>
      <c r="K35" s="360">
        <f t="shared" si="5"/>
        <v>-1434766.8900000006</v>
      </c>
      <c r="L35" s="360">
        <f t="shared" si="1"/>
        <v>4214392.4000000004</v>
      </c>
      <c r="M35" s="360"/>
    </row>
    <row r="36" spans="1:13" s="375" customFormat="1" ht="39" customHeight="1">
      <c r="A36" s="405" t="s">
        <v>4245</v>
      </c>
      <c r="B36" s="360">
        <v>808.5</v>
      </c>
      <c r="C36" s="360">
        <v>274347.5</v>
      </c>
      <c r="D36" s="360">
        <f t="shared" si="2"/>
        <v>65231</v>
      </c>
      <c r="E36" s="360">
        <f t="shared" si="3"/>
        <v>19753572.75</v>
      </c>
      <c r="F36" s="360"/>
      <c r="G36" s="360">
        <v>0</v>
      </c>
      <c r="H36" s="404">
        <f t="shared" si="8"/>
        <v>128920.64</v>
      </c>
      <c r="I36" s="364"/>
      <c r="J36" s="360">
        <f t="shared" si="6"/>
        <v>15264832.85</v>
      </c>
      <c r="K36" s="360">
        <f t="shared" si="5"/>
        <v>-1305846.2500000007</v>
      </c>
      <c r="L36" s="360">
        <f t="shared" si="1"/>
        <v>4488739.9000000004</v>
      </c>
      <c r="M36" s="360" t="s">
        <v>4246</v>
      </c>
    </row>
    <row r="37" spans="1:13" s="375" customFormat="1" ht="39" customHeight="1">
      <c r="A37" s="405" t="s">
        <v>4247</v>
      </c>
      <c r="B37" s="360">
        <v>978.5</v>
      </c>
      <c r="C37" s="360">
        <v>330395.5</v>
      </c>
      <c r="D37" s="360">
        <f t="shared" si="2"/>
        <v>66209.5</v>
      </c>
      <c r="E37" s="360">
        <f t="shared" si="3"/>
        <v>20083968.25</v>
      </c>
      <c r="F37" s="360"/>
      <c r="G37" s="360"/>
      <c r="H37" s="404">
        <f>5520238.65+C36</f>
        <v>5794586.1500000004</v>
      </c>
      <c r="I37" s="364"/>
      <c r="J37" s="360">
        <f t="shared" si="6"/>
        <v>15264832.85</v>
      </c>
      <c r="K37" s="360">
        <f t="shared" si="5"/>
        <v>4488739.8999999994</v>
      </c>
      <c r="L37" s="360">
        <f t="shared" si="1"/>
        <v>4819135.4000000004</v>
      </c>
      <c r="M37" s="360"/>
    </row>
    <row r="38" spans="1:13" s="375" customFormat="1" ht="39" customHeight="1">
      <c r="A38" s="405"/>
      <c r="B38" s="360"/>
      <c r="C38" s="360"/>
      <c r="D38" s="360"/>
      <c r="E38" s="360"/>
      <c r="F38" s="360"/>
      <c r="G38" s="360"/>
      <c r="H38" s="404">
        <f>C37</f>
        <v>330395.5</v>
      </c>
      <c r="I38" s="364"/>
      <c r="J38" s="360"/>
      <c r="K38" s="360">
        <f t="shared" si="5"/>
        <v>4819135.3999999994</v>
      </c>
      <c r="L38" s="360"/>
      <c r="M38" s="360"/>
    </row>
    <row r="39" spans="1:13" s="375" customFormat="1" ht="39" customHeight="1">
      <c r="A39" s="405">
        <v>42979</v>
      </c>
      <c r="B39" s="360">
        <v>978.5</v>
      </c>
      <c r="C39" s="360">
        <v>330395.5</v>
      </c>
      <c r="D39" s="360">
        <v>66209.5</v>
      </c>
      <c r="E39" s="360">
        <v>20083968.25</v>
      </c>
      <c r="F39" s="360"/>
      <c r="G39" s="360"/>
      <c r="H39" s="404">
        <v>5794586.1500000004</v>
      </c>
      <c r="I39" s="364"/>
      <c r="J39" s="360">
        <v>15264832.85</v>
      </c>
      <c r="K39" s="360">
        <v>4488739.8999999994</v>
      </c>
      <c r="L39" s="360">
        <v>4819135.4000000004</v>
      </c>
      <c r="M39" s="360"/>
    </row>
    <row r="40" spans="1:13" s="375" customFormat="1" ht="39" customHeight="1">
      <c r="A40" s="405"/>
      <c r="B40" s="360"/>
      <c r="C40" s="360"/>
      <c r="D40" s="360"/>
      <c r="E40" s="360"/>
      <c r="F40" s="360"/>
      <c r="G40" s="360"/>
      <c r="H40" s="404"/>
      <c r="I40" s="364"/>
      <c r="J40" s="364"/>
      <c r="K40" s="360"/>
      <c r="L40" s="360"/>
      <c r="M40" s="360"/>
    </row>
    <row r="41" spans="1:13" s="375" customFormat="1" ht="39" customHeight="1">
      <c r="A41" s="405"/>
      <c r="B41" s="360"/>
      <c r="C41" s="360"/>
      <c r="D41" s="360"/>
      <c r="E41" s="360"/>
      <c r="F41" s="360"/>
      <c r="G41" s="360"/>
      <c r="H41" s="404"/>
      <c r="I41" s="364"/>
      <c r="J41" s="364"/>
      <c r="K41" s="360"/>
      <c r="L41" s="360"/>
      <c r="M41" s="360"/>
    </row>
    <row r="42" spans="1:13" s="375" customFormat="1" ht="39" customHeight="1">
      <c r="A42" s="405"/>
      <c r="B42" s="360"/>
      <c r="C42" s="360"/>
      <c r="D42" s="360"/>
      <c r="E42" s="360"/>
      <c r="F42" s="360"/>
      <c r="G42" s="360"/>
      <c r="H42" s="404"/>
      <c r="I42" s="364"/>
      <c r="J42" s="364"/>
      <c r="K42" s="360"/>
      <c r="L42" s="360"/>
      <c r="M42" s="360"/>
    </row>
    <row r="43" spans="1:13" s="185" customFormat="1" ht="39" customHeight="1">
      <c r="A43" s="231"/>
      <c r="B43" s="216"/>
      <c r="C43" s="216"/>
      <c r="D43" s="360"/>
      <c r="E43" s="216"/>
      <c r="F43" s="216"/>
      <c r="G43" s="216"/>
      <c r="H43" s="216"/>
      <c r="I43" s="216"/>
      <c r="J43" s="216"/>
      <c r="K43" s="216"/>
      <c r="L43" s="216"/>
      <c r="M43" s="216"/>
    </row>
  </sheetData>
  <mergeCells count="14">
    <mergeCell ref="A6:C6"/>
    <mergeCell ref="D6:G6"/>
    <mergeCell ref="A2:A3"/>
    <mergeCell ref="D2:D3"/>
    <mergeCell ref="B2:C3"/>
    <mergeCell ref="E2:H3"/>
    <mergeCell ref="E1:F1"/>
    <mergeCell ref="G1:H1"/>
    <mergeCell ref="J1:L1"/>
    <mergeCell ref="I2:M2"/>
    <mergeCell ref="B4:C4"/>
    <mergeCell ref="B5:E5"/>
    <mergeCell ref="F5:I5"/>
    <mergeCell ref="J5:L5"/>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8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0"/>
  <sheetViews>
    <sheetView topLeftCell="A13" zoomScaleSheetLayoutView="100" workbookViewId="0">
      <selection activeCell="A14" sqref="A14"/>
    </sheetView>
  </sheetViews>
  <sheetFormatPr defaultColWidth="9" defaultRowHeight="14.25"/>
  <cols>
    <col min="1" max="1" width="13.625" customWidth="1"/>
    <col min="2" max="2" width="14" customWidth="1"/>
    <col min="3" max="3" width="13.5" customWidth="1"/>
    <col min="4" max="4" width="12.125" customWidth="1"/>
    <col min="5" max="5" width="13.5" customWidth="1"/>
    <col min="6" max="6" width="15" customWidth="1"/>
    <col min="7" max="7" width="12.625" customWidth="1"/>
    <col min="8" max="8" width="12.375" customWidth="1"/>
    <col min="9" max="9" width="14.375" customWidth="1"/>
    <col min="10" max="10" width="13.75" customWidth="1"/>
    <col min="11" max="11" width="12.625" customWidth="1"/>
    <col min="12" max="12" width="11.125" customWidth="1"/>
    <col min="13" max="13" width="35.125" customWidth="1"/>
  </cols>
  <sheetData>
    <row r="1" spans="1:13" ht="78.95" customHeight="1">
      <c r="A1" s="349" t="s">
        <v>556</v>
      </c>
      <c r="B1" s="401">
        <v>42893</v>
      </c>
      <c r="C1" s="351" t="s">
        <v>4248</v>
      </c>
      <c r="D1" s="350" t="s">
        <v>236</v>
      </c>
      <c r="E1" s="2207">
        <v>42856</v>
      </c>
      <c r="F1" s="2208"/>
      <c r="G1" s="2209"/>
      <c r="H1" s="2210"/>
      <c r="I1" s="386" t="s">
        <v>237</v>
      </c>
      <c r="J1" s="2211" t="s">
        <v>4249</v>
      </c>
      <c r="K1" s="2212"/>
      <c r="L1" s="2213"/>
      <c r="M1" s="387" t="s">
        <v>4250</v>
      </c>
    </row>
    <row r="2" spans="1:13" ht="60" customHeight="1">
      <c r="A2" s="2215" t="s">
        <v>240</v>
      </c>
      <c r="B2" s="2219" t="s">
        <v>1886</v>
      </c>
      <c r="C2" s="2220"/>
      <c r="D2" s="2217" t="s">
        <v>242</v>
      </c>
      <c r="E2" s="2223"/>
      <c r="F2" s="2223"/>
      <c r="G2" s="2223"/>
      <c r="H2" s="2038"/>
      <c r="I2" s="137" t="s">
        <v>425</v>
      </c>
      <c r="J2" s="2047"/>
      <c r="K2" s="2048"/>
      <c r="L2" s="2048"/>
      <c r="M2" s="2049"/>
    </row>
    <row r="3" spans="1:13" ht="36" customHeight="1">
      <c r="A3" s="2216"/>
      <c r="B3" s="2221"/>
      <c r="C3" s="2222"/>
      <c r="D3" s="2218"/>
      <c r="E3" s="2223"/>
      <c r="F3" s="2223"/>
      <c r="G3" s="2223"/>
      <c r="H3" s="2223"/>
      <c r="I3" s="388" t="s">
        <v>243</v>
      </c>
      <c r="J3" s="395"/>
      <c r="K3" s="396"/>
      <c r="L3" s="397" t="s">
        <v>245</v>
      </c>
      <c r="M3" s="398"/>
    </row>
    <row r="4" spans="1:13" ht="45" customHeight="1">
      <c r="A4" s="133" t="s">
        <v>247</v>
      </c>
      <c r="B4" s="1682" t="s">
        <v>4251</v>
      </c>
      <c r="C4" s="1682"/>
      <c r="D4" s="134" t="s">
        <v>249</v>
      </c>
      <c r="E4" s="380" t="s">
        <v>4252</v>
      </c>
      <c r="F4" s="306" t="s">
        <v>251</v>
      </c>
      <c r="G4" s="306"/>
      <c r="H4" s="306" t="s">
        <v>252</v>
      </c>
      <c r="I4" s="206"/>
      <c r="J4" s="399" t="s">
        <v>565</v>
      </c>
      <c r="K4" s="15"/>
      <c r="L4" s="400" t="s">
        <v>255</v>
      </c>
      <c r="M4" s="207"/>
    </row>
    <row r="5" spans="1:13" ht="66.95" customHeight="1">
      <c r="A5" s="133" t="s">
        <v>260</v>
      </c>
      <c r="B5" s="2080" t="s">
        <v>4253</v>
      </c>
      <c r="C5" s="2080"/>
      <c r="D5" s="2080"/>
      <c r="E5" s="2080"/>
      <c r="F5" s="1697" t="s">
        <v>4254</v>
      </c>
      <c r="G5" s="1697"/>
      <c r="H5" s="2224"/>
      <c r="I5" s="2224"/>
      <c r="J5" s="2080"/>
      <c r="K5" s="2186"/>
      <c r="L5" s="2080"/>
      <c r="M5" s="170"/>
    </row>
    <row r="6" spans="1:13" ht="84" customHeight="1">
      <c r="A6" s="1688" t="s">
        <v>660</v>
      </c>
      <c r="B6" s="1689"/>
      <c r="C6" s="1689"/>
      <c r="D6" s="2045"/>
      <c r="E6" s="2046"/>
      <c r="F6" s="2046"/>
      <c r="G6" s="2046"/>
      <c r="H6" s="356"/>
      <c r="I6" s="356"/>
      <c r="J6" s="389"/>
      <c r="K6" s="169"/>
      <c r="L6" s="169"/>
      <c r="M6" s="264"/>
    </row>
    <row r="7" spans="1:13" ht="42.75">
      <c r="A7" s="381" t="s">
        <v>266</v>
      </c>
      <c r="B7" s="382" t="s">
        <v>267</v>
      </c>
      <c r="C7" s="382" t="s">
        <v>268</v>
      </c>
      <c r="D7" s="382" t="s">
        <v>269</v>
      </c>
      <c r="E7" s="382" t="s">
        <v>270</v>
      </c>
      <c r="F7" s="382" t="s">
        <v>271</v>
      </c>
      <c r="G7" s="383" t="s">
        <v>272</v>
      </c>
      <c r="H7" s="384" t="s">
        <v>273</v>
      </c>
      <c r="I7" s="390" t="s">
        <v>274</v>
      </c>
      <c r="J7" s="391" t="s">
        <v>275</v>
      </c>
      <c r="K7" s="391" t="s">
        <v>276</v>
      </c>
      <c r="L7" s="382" t="s">
        <v>277</v>
      </c>
      <c r="M7" s="392" t="s">
        <v>278</v>
      </c>
    </row>
    <row r="8" spans="1:13" s="375" customFormat="1" ht="30" customHeight="1">
      <c r="A8" s="324">
        <v>42795</v>
      </c>
      <c r="B8" s="360">
        <v>14</v>
      </c>
      <c r="C8" s="385">
        <f>B8*280</f>
        <v>3920</v>
      </c>
      <c r="D8" s="360">
        <f>B8</f>
        <v>14</v>
      </c>
      <c r="E8" s="360">
        <f>C8</f>
        <v>3920</v>
      </c>
      <c r="F8" s="360"/>
      <c r="G8" s="360">
        <f t="shared" ref="G8:G13" si="0">E8*0.2</f>
        <v>784</v>
      </c>
      <c r="H8" s="360"/>
      <c r="I8" s="360"/>
      <c r="J8" s="360"/>
      <c r="K8" s="360"/>
      <c r="L8" s="360">
        <f t="shared" ref="L8:L13" si="1">E8-J8</f>
        <v>3920</v>
      </c>
      <c r="M8" s="393"/>
    </row>
    <row r="9" spans="1:13" s="375" customFormat="1" ht="30" customHeight="1">
      <c r="A9" s="324">
        <v>42826</v>
      </c>
      <c r="B9" s="360">
        <v>100</v>
      </c>
      <c r="C9" s="385">
        <f>B9*280</f>
        <v>28000</v>
      </c>
      <c r="D9" s="360">
        <f t="shared" ref="D9:E13" si="2">B9+D8</f>
        <v>114</v>
      </c>
      <c r="E9" s="360">
        <f t="shared" si="2"/>
        <v>31920</v>
      </c>
      <c r="F9" s="360"/>
      <c r="G9" s="360">
        <f t="shared" si="0"/>
        <v>6384</v>
      </c>
      <c r="H9" s="360">
        <f t="shared" ref="H9:H14" si="3">C8*0.8</f>
        <v>3136</v>
      </c>
      <c r="I9" s="360"/>
      <c r="J9" s="360"/>
      <c r="K9" s="360">
        <f t="shared" ref="K9:K14" si="4">K8+H9-I9</f>
        <v>3136</v>
      </c>
      <c r="L9" s="360">
        <f t="shared" si="1"/>
        <v>31920</v>
      </c>
      <c r="M9" s="393"/>
    </row>
    <row r="10" spans="1:13" s="375" customFormat="1" ht="30" customHeight="1">
      <c r="A10" s="324">
        <v>42856</v>
      </c>
      <c r="B10" s="360">
        <v>249</v>
      </c>
      <c r="C10" s="385">
        <f>B10*280</f>
        <v>69720</v>
      </c>
      <c r="D10" s="360">
        <f t="shared" si="2"/>
        <v>363</v>
      </c>
      <c r="E10" s="360">
        <f t="shared" si="2"/>
        <v>101640</v>
      </c>
      <c r="F10" s="360"/>
      <c r="G10" s="360">
        <f t="shared" si="0"/>
        <v>20328</v>
      </c>
      <c r="H10" s="360">
        <f t="shared" si="3"/>
        <v>22400</v>
      </c>
      <c r="I10" s="360"/>
      <c r="J10" s="360"/>
      <c r="K10" s="360">
        <f t="shared" si="4"/>
        <v>25536</v>
      </c>
      <c r="L10" s="360">
        <f t="shared" si="1"/>
        <v>101640</v>
      </c>
      <c r="M10" s="394"/>
    </row>
    <row r="11" spans="1:13" s="375" customFormat="1" ht="30" customHeight="1">
      <c r="A11" s="324">
        <v>42887</v>
      </c>
      <c r="B11" s="360">
        <v>329</v>
      </c>
      <c r="C11" s="360">
        <f>B11*280</f>
        <v>92120</v>
      </c>
      <c r="D11" s="360">
        <f t="shared" si="2"/>
        <v>692</v>
      </c>
      <c r="E11" s="360">
        <f t="shared" si="2"/>
        <v>193760</v>
      </c>
      <c r="F11" s="360"/>
      <c r="G11" s="360">
        <f t="shared" si="0"/>
        <v>38752</v>
      </c>
      <c r="H11" s="360">
        <f t="shared" si="3"/>
        <v>55776</v>
      </c>
      <c r="I11" s="360"/>
      <c r="J11" s="360"/>
      <c r="K11" s="360">
        <f t="shared" si="4"/>
        <v>81312</v>
      </c>
      <c r="L11" s="360">
        <f t="shared" si="1"/>
        <v>193760</v>
      </c>
      <c r="M11" s="360"/>
    </row>
    <row r="12" spans="1:13" s="375" customFormat="1" ht="30" customHeight="1">
      <c r="A12" s="324">
        <v>42917</v>
      </c>
      <c r="B12" s="360">
        <v>643</v>
      </c>
      <c r="C12" s="360">
        <f>B12*280</f>
        <v>180040</v>
      </c>
      <c r="D12" s="360">
        <f t="shared" si="2"/>
        <v>1335</v>
      </c>
      <c r="E12" s="360">
        <f t="shared" si="2"/>
        <v>373800</v>
      </c>
      <c r="F12" s="360"/>
      <c r="G12" s="360">
        <f t="shared" si="0"/>
        <v>74760</v>
      </c>
      <c r="H12" s="360">
        <f t="shared" si="3"/>
        <v>73696</v>
      </c>
      <c r="I12" s="360"/>
      <c r="J12" s="360"/>
      <c r="K12" s="360">
        <f t="shared" si="4"/>
        <v>155008</v>
      </c>
      <c r="L12" s="360">
        <f t="shared" si="1"/>
        <v>373800</v>
      </c>
      <c r="M12" s="360"/>
    </row>
    <row r="13" spans="1:13" s="375" customFormat="1" ht="30" customHeight="1">
      <c r="A13" s="324">
        <v>42948</v>
      </c>
      <c r="B13" s="360">
        <v>1245.5</v>
      </c>
      <c r="C13" s="360">
        <v>332020</v>
      </c>
      <c r="D13" s="360">
        <f t="shared" si="2"/>
        <v>2580.5</v>
      </c>
      <c r="E13" s="360">
        <f t="shared" si="2"/>
        <v>705820</v>
      </c>
      <c r="F13" s="360"/>
      <c r="G13" s="360">
        <f t="shared" si="0"/>
        <v>141164</v>
      </c>
      <c r="H13" s="360">
        <f t="shared" si="3"/>
        <v>144032</v>
      </c>
      <c r="I13" s="360"/>
      <c r="J13" s="360"/>
      <c r="K13" s="360">
        <f t="shared" si="4"/>
        <v>299040</v>
      </c>
      <c r="L13" s="360">
        <f t="shared" si="1"/>
        <v>705820</v>
      </c>
      <c r="M13" s="360"/>
    </row>
    <row r="14" spans="1:13" s="375" customFormat="1" ht="30" customHeight="1">
      <c r="A14" s="324"/>
      <c r="B14" s="360"/>
      <c r="C14" s="360"/>
      <c r="D14" s="360"/>
      <c r="E14" s="360"/>
      <c r="F14" s="360"/>
      <c r="G14" s="360"/>
      <c r="H14" s="360">
        <f t="shared" si="3"/>
        <v>265616</v>
      </c>
      <c r="I14" s="360"/>
      <c r="J14" s="360"/>
      <c r="K14" s="360">
        <f t="shared" si="4"/>
        <v>564656</v>
      </c>
      <c r="L14" s="360"/>
      <c r="M14" s="360"/>
    </row>
    <row r="15" spans="1:13" s="375" customFormat="1" ht="30" customHeight="1">
      <c r="A15" s="324"/>
      <c r="B15" s="360"/>
      <c r="C15" s="360"/>
      <c r="D15" s="360"/>
      <c r="E15" s="360"/>
      <c r="F15" s="360"/>
      <c r="G15" s="360"/>
      <c r="H15" s="360"/>
      <c r="I15" s="360"/>
      <c r="J15" s="360"/>
      <c r="K15" s="360"/>
      <c r="L15" s="360"/>
      <c r="M15" s="360"/>
    </row>
    <row r="16" spans="1:13" s="375" customFormat="1" ht="30" customHeight="1">
      <c r="A16" s="324"/>
      <c r="B16" s="360"/>
      <c r="C16" s="360"/>
      <c r="D16" s="360"/>
      <c r="E16" s="360"/>
      <c r="F16" s="360"/>
      <c r="G16" s="360"/>
      <c r="H16" s="360"/>
      <c r="I16" s="360"/>
      <c r="J16" s="360"/>
      <c r="K16" s="360"/>
      <c r="L16" s="360"/>
      <c r="M16" s="360"/>
    </row>
    <row r="17" spans="1:13" s="375" customFormat="1" ht="30" customHeight="1">
      <c r="A17" s="324"/>
      <c r="B17" s="360"/>
      <c r="C17" s="360"/>
      <c r="D17" s="360"/>
      <c r="E17" s="360"/>
      <c r="F17" s="360"/>
      <c r="G17" s="360"/>
      <c r="H17" s="360"/>
      <c r="I17" s="360"/>
      <c r="J17" s="360"/>
      <c r="K17" s="360"/>
      <c r="L17" s="360"/>
      <c r="M17" s="360"/>
    </row>
    <row r="20" spans="1:13">
      <c r="D20" s="360"/>
    </row>
  </sheetData>
  <mergeCells count="14">
    <mergeCell ref="A6:C6"/>
    <mergeCell ref="D6:G6"/>
    <mergeCell ref="A2:A3"/>
    <mergeCell ref="D2:D3"/>
    <mergeCell ref="B2:C3"/>
    <mergeCell ref="E2:H3"/>
    <mergeCell ref="E1:F1"/>
    <mergeCell ref="G1:H1"/>
    <mergeCell ref="J1:L1"/>
    <mergeCell ref="J2:M2"/>
    <mergeCell ref="B4:C4"/>
    <mergeCell ref="B5:E5"/>
    <mergeCell ref="F5:I5"/>
    <mergeCell ref="J5:L5"/>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8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
  <sheetViews>
    <sheetView topLeftCell="A10" zoomScaleSheetLayoutView="100" workbookViewId="0">
      <selection activeCell="A12" sqref="A12"/>
    </sheetView>
  </sheetViews>
  <sheetFormatPr defaultColWidth="9" defaultRowHeight="14.25"/>
  <cols>
    <col min="1" max="1" width="13.625" customWidth="1"/>
    <col min="2" max="2" width="14" customWidth="1"/>
    <col min="3" max="3" width="13.5" customWidth="1"/>
    <col min="4" max="4" width="12.125" customWidth="1"/>
    <col min="5" max="5" width="13.5" customWidth="1"/>
    <col min="6" max="6" width="15" customWidth="1"/>
    <col min="7" max="7" width="12.625" customWidth="1"/>
    <col min="8" max="8" width="12.375" customWidth="1"/>
    <col min="9" max="9" width="14.375" customWidth="1"/>
    <col min="10" max="10" width="13.75" customWidth="1"/>
    <col min="11" max="11" width="12.625" customWidth="1"/>
    <col min="12" max="12" width="11.125" customWidth="1"/>
    <col min="13" max="13" width="35.125" customWidth="1"/>
  </cols>
  <sheetData>
    <row r="1" spans="1:13" ht="78.95" customHeight="1">
      <c r="A1" s="349" t="s">
        <v>556</v>
      </c>
      <c r="B1" s="350"/>
      <c r="C1" s="351" t="s">
        <v>1525</v>
      </c>
      <c r="D1" s="350" t="s">
        <v>236</v>
      </c>
      <c r="E1" s="2207"/>
      <c r="F1" s="2208"/>
      <c r="G1" s="2209"/>
      <c r="H1" s="2210"/>
      <c r="I1" s="386" t="s">
        <v>237</v>
      </c>
      <c r="J1" s="2211" t="s">
        <v>4255</v>
      </c>
      <c r="K1" s="2212"/>
      <c r="L1" s="2213"/>
      <c r="M1" s="387"/>
    </row>
    <row r="2" spans="1:13" ht="60" customHeight="1">
      <c r="A2" s="2215" t="s">
        <v>240</v>
      </c>
      <c r="B2" s="2219" t="s">
        <v>1886</v>
      </c>
      <c r="C2" s="2220"/>
      <c r="D2" s="2217" t="s">
        <v>242</v>
      </c>
      <c r="E2" s="2223"/>
      <c r="F2" s="2223"/>
      <c r="G2" s="2223"/>
      <c r="H2" s="2038"/>
      <c r="I2" s="1706"/>
      <c r="J2" s="1706"/>
      <c r="K2" s="1706"/>
      <c r="L2" s="1706"/>
      <c r="M2" s="1706"/>
    </row>
    <row r="3" spans="1:13" ht="36" customHeight="1">
      <c r="A3" s="2216"/>
      <c r="B3" s="2221"/>
      <c r="C3" s="2222"/>
      <c r="D3" s="2218"/>
      <c r="E3" s="2223"/>
      <c r="F3" s="2223"/>
      <c r="G3" s="2223"/>
      <c r="H3" s="2223"/>
      <c r="I3" s="388" t="s">
        <v>243</v>
      </c>
      <c r="J3" s="395"/>
      <c r="K3" s="396"/>
      <c r="L3" s="397" t="s">
        <v>245</v>
      </c>
      <c r="M3" s="398"/>
    </row>
    <row r="4" spans="1:13" ht="45" customHeight="1">
      <c r="A4" s="133" t="s">
        <v>247</v>
      </c>
      <c r="B4" s="1682" t="s">
        <v>4256</v>
      </c>
      <c r="C4" s="1682"/>
      <c r="D4" s="134" t="s">
        <v>249</v>
      </c>
      <c r="E4" s="380"/>
      <c r="F4" s="306" t="s">
        <v>251</v>
      </c>
      <c r="G4" s="306"/>
      <c r="H4" s="306" t="s">
        <v>252</v>
      </c>
      <c r="I4" s="206"/>
      <c r="J4" s="399" t="s">
        <v>565</v>
      </c>
      <c r="K4" s="15"/>
      <c r="L4" s="400" t="s">
        <v>255</v>
      </c>
      <c r="M4" s="207"/>
    </row>
    <row r="5" spans="1:13" ht="66.95" customHeight="1">
      <c r="A5" s="133" t="s">
        <v>260</v>
      </c>
      <c r="B5" s="1727"/>
      <c r="C5" s="1727"/>
      <c r="D5" s="1727"/>
      <c r="E5" s="1727"/>
      <c r="F5" s="1726"/>
      <c r="G5" s="1726"/>
      <c r="H5" s="2052"/>
      <c r="I5" s="2052"/>
      <c r="J5" s="2080"/>
      <c r="K5" s="2186"/>
      <c r="L5" s="2080"/>
      <c r="M5" s="170"/>
    </row>
    <row r="6" spans="1:13" ht="84" customHeight="1">
      <c r="A6" s="1688" t="s">
        <v>660</v>
      </c>
      <c r="B6" s="1689"/>
      <c r="C6" s="1689"/>
      <c r="D6" s="2045"/>
      <c r="E6" s="2046"/>
      <c r="F6" s="2046"/>
      <c r="G6" s="2046"/>
      <c r="H6" s="356"/>
      <c r="I6" s="356"/>
      <c r="J6" s="389"/>
      <c r="K6" s="169"/>
      <c r="L6" s="169"/>
      <c r="M6" s="264"/>
    </row>
    <row r="7" spans="1:13" ht="42.75">
      <c r="A7" s="381" t="s">
        <v>266</v>
      </c>
      <c r="B7" s="382" t="s">
        <v>267</v>
      </c>
      <c r="C7" s="382" t="s">
        <v>268</v>
      </c>
      <c r="D7" s="382" t="s">
        <v>269</v>
      </c>
      <c r="E7" s="382" t="s">
        <v>270</v>
      </c>
      <c r="F7" s="382" t="s">
        <v>271</v>
      </c>
      <c r="G7" s="383" t="s">
        <v>272</v>
      </c>
      <c r="H7" s="384" t="s">
        <v>273</v>
      </c>
      <c r="I7" s="390" t="s">
        <v>274</v>
      </c>
      <c r="J7" s="391" t="s">
        <v>275</v>
      </c>
      <c r="K7" s="391" t="s">
        <v>276</v>
      </c>
      <c r="L7" s="382" t="s">
        <v>277</v>
      </c>
      <c r="M7" s="392" t="s">
        <v>278</v>
      </c>
    </row>
    <row r="8" spans="1:13" s="375" customFormat="1" ht="30" customHeight="1">
      <c r="A8" s="324">
        <v>42856</v>
      </c>
      <c r="B8" s="360">
        <v>129</v>
      </c>
      <c r="C8" s="385">
        <f>B8*280</f>
        <v>36120</v>
      </c>
      <c r="D8" s="360">
        <f>B8</f>
        <v>129</v>
      </c>
      <c r="E8" s="360">
        <f>C8</f>
        <v>36120</v>
      </c>
      <c r="F8" s="360"/>
      <c r="G8" s="360">
        <f>E8*0.2</f>
        <v>7224</v>
      </c>
      <c r="H8" s="360"/>
      <c r="I8" s="360"/>
      <c r="J8" s="360"/>
      <c r="K8" s="360"/>
      <c r="L8" s="360">
        <f>E8-J8</f>
        <v>36120</v>
      </c>
      <c r="M8" s="393"/>
    </row>
    <row r="9" spans="1:13" s="375" customFormat="1" ht="30" customHeight="1">
      <c r="A9" s="324">
        <v>42887</v>
      </c>
      <c r="B9" s="360">
        <v>7.5</v>
      </c>
      <c r="C9" s="385">
        <f>B9*280</f>
        <v>2100</v>
      </c>
      <c r="D9" s="360">
        <f t="shared" ref="D9:E11" si="0">D8+B9</f>
        <v>136.5</v>
      </c>
      <c r="E9" s="360">
        <f t="shared" si="0"/>
        <v>38220</v>
      </c>
      <c r="F9" s="360"/>
      <c r="G9" s="360">
        <f>E9*0.2</f>
        <v>7644</v>
      </c>
      <c r="H9" s="360">
        <f>C8*0.8</f>
        <v>28896</v>
      </c>
      <c r="I9" s="360"/>
      <c r="J9" s="360"/>
      <c r="K9" s="360">
        <f>K8+H9-I9</f>
        <v>28896</v>
      </c>
      <c r="L9" s="360">
        <f>E9-J9</f>
        <v>38220</v>
      </c>
      <c r="M9" s="393"/>
    </row>
    <row r="10" spans="1:13" s="375" customFormat="1" ht="30" customHeight="1">
      <c r="A10" s="324">
        <v>42917</v>
      </c>
      <c r="B10" s="360">
        <v>604</v>
      </c>
      <c r="C10" s="385">
        <f>B10*280</f>
        <v>169120</v>
      </c>
      <c r="D10" s="360">
        <f t="shared" si="0"/>
        <v>740.5</v>
      </c>
      <c r="E10" s="360">
        <f t="shared" si="0"/>
        <v>207340</v>
      </c>
      <c r="F10" s="360"/>
      <c r="G10" s="360">
        <f>E10*0.2</f>
        <v>41468</v>
      </c>
      <c r="H10" s="360">
        <f>C9*0.8</f>
        <v>1680</v>
      </c>
      <c r="I10" s="360"/>
      <c r="J10" s="360"/>
      <c r="K10" s="360">
        <f>K9+H10-I10</f>
        <v>30576</v>
      </c>
      <c r="L10" s="360">
        <f>E10-J10</f>
        <v>207340</v>
      </c>
      <c r="M10" s="394"/>
    </row>
    <row r="11" spans="1:13" s="375" customFormat="1" ht="30" customHeight="1">
      <c r="A11" s="324">
        <v>42948</v>
      </c>
      <c r="B11" s="360">
        <v>1136</v>
      </c>
      <c r="C11" s="360">
        <v>335120</v>
      </c>
      <c r="D11" s="360">
        <f t="shared" si="0"/>
        <v>1876.5</v>
      </c>
      <c r="E11" s="360">
        <f t="shared" si="0"/>
        <v>542460</v>
      </c>
      <c r="F11" s="360"/>
      <c r="G11" s="360">
        <f>E11*0.2</f>
        <v>108492</v>
      </c>
      <c r="H11" s="360">
        <f>C10*0.8</f>
        <v>135296</v>
      </c>
      <c r="I11" s="360"/>
      <c r="J11" s="360"/>
      <c r="K11" s="360">
        <f>K10+H11-I11</f>
        <v>165872</v>
      </c>
      <c r="L11" s="360">
        <f>E11-J11</f>
        <v>542460</v>
      </c>
      <c r="M11" s="360"/>
    </row>
    <row r="12" spans="1:13" s="375" customFormat="1" ht="30" customHeight="1">
      <c r="A12" s="324"/>
      <c r="B12" s="360"/>
      <c r="C12" s="360"/>
      <c r="D12" s="360"/>
      <c r="E12" s="360"/>
      <c r="F12" s="360"/>
      <c r="G12" s="360"/>
      <c r="H12" s="360">
        <f>C11*0.8</f>
        <v>268096</v>
      </c>
      <c r="I12" s="360"/>
      <c r="J12" s="360"/>
      <c r="K12" s="360">
        <f>K11+H12-I12</f>
        <v>433968</v>
      </c>
      <c r="L12" s="360"/>
      <c r="M12" s="360"/>
    </row>
    <row r="13" spans="1:13" s="375" customFormat="1" ht="30" customHeight="1">
      <c r="A13" s="324"/>
      <c r="B13" s="360"/>
      <c r="C13" s="360"/>
      <c r="D13" s="360"/>
      <c r="E13" s="360"/>
      <c r="F13" s="360"/>
      <c r="G13" s="360"/>
      <c r="H13" s="360"/>
      <c r="I13" s="360"/>
      <c r="J13" s="360"/>
      <c r="K13" s="360"/>
      <c r="L13" s="360"/>
      <c r="M13" s="360"/>
    </row>
    <row r="14" spans="1:13" s="375" customFormat="1" ht="30" customHeight="1">
      <c r="A14" s="324"/>
      <c r="B14" s="360"/>
      <c r="C14" s="360"/>
      <c r="D14" s="360"/>
      <c r="E14" s="360"/>
      <c r="F14" s="360"/>
      <c r="G14" s="360"/>
      <c r="H14" s="360"/>
      <c r="I14" s="360"/>
      <c r="J14" s="360"/>
      <c r="K14" s="360"/>
      <c r="L14" s="360"/>
      <c r="M14" s="360"/>
    </row>
  </sheetData>
  <mergeCells count="14">
    <mergeCell ref="A6:C6"/>
    <mergeCell ref="D6:G6"/>
    <mergeCell ref="A2:A3"/>
    <mergeCell ref="D2:D3"/>
    <mergeCell ref="B2:C3"/>
    <mergeCell ref="E2:H3"/>
    <mergeCell ref="E1:F1"/>
    <mergeCell ref="G1:H1"/>
    <mergeCell ref="J1:L1"/>
    <mergeCell ref="I2:M2"/>
    <mergeCell ref="B4:C4"/>
    <mergeCell ref="B5:E5"/>
    <mergeCell ref="F5:I5"/>
    <mergeCell ref="J5:L5"/>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8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topLeftCell="A7" zoomScaleSheetLayoutView="100" workbookViewId="0">
      <selection activeCell="B10" sqref="B10:M10"/>
    </sheetView>
  </sheetViews>
  <sheetFormatPr defaultColWidth="9" defaultRowHeight="14.25"/>
  <cols>
    <col min="1" max="1" width="13.625" customWidth="1"/>
    <col min="2" max="2" width="14" customWidth="1"/>
    <col min="3" max="3" width="13.5" customWidth="1"/>
    <col min="4" max="4" width="12.125" customWidth="1"/>
    <col min="5" max="5" width="13.5" customWidth="1"/>
    <col min="6" max="6" width="15" customWidth="1"/>
    <col min="7" max="7" width="12.625" customWidth="1"/>
    <col min="8" max="8" width="12.375" customWidth="1"/>
    <col min="9" max="9" width="14.375" customWidth="1"/>
    <col min="10" max="10" width="13.75" customWidth="1"/>
    <col min="11" max="11" width="12.625" customWidth="1"/>
    <col min="12" max="12" width="11.125" customWidth="1"/>
    <col min="13" max="13" width="35.125" customWidth="1"/>
  </cols>
  <sheetData>
    <row r="1" spans="1:13" ht="78.95" customHeight="1">
      <c r="A1" s="349" t="s">
        <v>556</v>
      </c>
      <c r="B1" s="376">
        <v>42887</v>
      </c>
      <c r="C1" s="377" t="s">
        <v>4257</v>
      </c>
      <c r="D1" s="350" t="s">
        <v>236</v>
      </c>
      <c r="E1" s="2207"/>
      <c r="F1" s="2208"/>
      <c r="G1" s="2209"/>
      <c r="H1" s="2210"/>
      <c r="I1" s="386" t="s">
        <v>237</v>
      </c>
      <c r="J1" s="2211" t="s">
        <v>4258</v>
      </c>
      <c r="K1" s="2212"/>
      <c r="L1" s="2213"/>
      <c r="M1" s="387" t="s">
        <v>4259</v>
      </c>
    </row>
    <row r="2" spans="1:13" ht="60" customHeight="1">
      <c r="A2" s="2215" t="s">
        <v>240</v>
      </c>
      <c r="B2" s="2219" t="s">
        <v>4260</v>
      </c>
      <c r="C2" s="2220"/>
      <c r="D2" s="2217" t="s">
        <v>242</v>
      </c>
      <c r="E2" s="2223"/>
      <c r="F2" s="2223"/>
      <c r="G2" s="2223"/>
      <c r="H2" s="2038"/>
      <c r="I2" s="1706" t="s">
        <v>4261</v>
      </c>
      <c r="J2" s="1706"/>
      <c r="K2" s="1706"/>
      <c r="L2" s="1706"/>
      <c r="M2" s="1706"/>
    </row>
    <row r="3" spans="1:13" ht="36" customHeight="1">
      <c r="A3" s="2216"/>
      <c r="B3" s="2221"/>
      <c r="C3" s="2222"/>
      <c r="D3" s="2218"/>
      <c r="E3" s="2223"/>
      <c r="F3" s="2223"/>
      <c r="G3" s="2223"/>
      <c r="H3" s="2223"/>
      <c r="I3" s="388" t="s">
        <v>243</v>
      </c>
      <c r="J3" s="2225" t="s">
        <v>421</v>
      </c>
      <c r="K3" s="2225"/>
      <c r="L3" s="166" t="s">
        <v>245</v>
      </c>
      <c r="M3" s="293" t="s">
        <v>4262</v>
      </c>
    </row>
    <row r="4" spans="1:13" ht="45" customHeight="1">
      <c r="A4" s="133" t="s">
        <v>247</v>
      </c>
      <c r="B4" s="1682" t="s">
        <v>4263</v>
      </c>
      <c r="C4" s="1682"/>
      <c r="D4" s="134" t="s">
        <v>249</v>
      </c>
      <c r="E4" s="380" t="s">
        <v>955</v>
      </c>
      <c r="F4" s="306" t="s">
        <v>251</v>
      </c>
      <c r="G4" s="306" t="s">
        <v>4264</v>
      </c>
      <c r="H4" s="306" t="s">
        <v>252</v>
      </c>
      <c r="I4" s="206" t="s">
        <v>4265</v>
      </c>
      <c r="J4" s="41" t="s">
        <v>565</v>
      </c>
      <c r="K4" s="15"/>
      <c r="L4" s="15" t="s">
        <v>255</v>
      </c>
      <c r="M4" s="134" t="s">
        <v>4266</v>
      </c>
    </row>
    <row r="5" spans="1:13" ht="66.95" customHeight="1">
      <c r="A5" s="133" t="s">
        <v>260</v>
      </c>
      <c r="B5" s="1727" t="s">
        <v>4267</v>
      </c>
      <c r="C5" s="1727"/>
      <c r="D5" s="1727"/>
      <c r="E5" s="1727"/>
      <c r="F5" s="1690" t="s">
        <v>4268</v>
      </c>
      <c r="G5" s="1690"/>
      <c r="H5" s="2226"/>
      <c r="I5" s="2226"/>
      <c r="J5" s="2080"/>
      <c r="K5" s="2186"/>
      <c r="L5" s="2080"/>
      <c r="M5" s="170"/>
    </row>
    <row r="6" spans="1:13" ht="84" customHeight="1">
      <c r="A6" s="1688" t="s">
        <v>660</v>
      </c>
      <c r="B6" s="1689"/>
      <c r="C6" s="1689"/>
      <c r="D6" s="2045"/>
      <c r="E6" s="2046"/>
      <c r="F6" s="2046"/>
      <c r="G6" s="2046"/>
      <c r="H6" s="356"/>
      <c r="I6" s="356"/>
      <c r="J6" s="389"/>
      <c r="K6" s="169"/>
      <c r="L6" s="169"/>
      <c r="M6" s="264"/>
    </row>
    <row r="7" spans="1:13" ht="42.75">
      <c r="A7" s="381" t="s">
        <v>266</v>
      </c>
      <c r="B7" s="382" t="s">
        <v>267</v>
      </c>
      <c r="C7" s="382" t="s">
        <v>268</v>
      </c>
      <c r="D7" s="382" t="s">
        <v>269</v>
      </c>
      <c r="E7" s="382" t="s">
        <v>270</v>
      </c>
      <c r="F7" s="382" t="s">
        <v>271</v>
      </c>
      <c r="G7" s="383" t="s">
        <v>272</v>
      </c>
      <c r="H7" s="384" t="s">
        <v>273</v>
      </c>
      <c r="I7" s="390" t="s">
        <v>274</v>
      </c>
      <c r="J7" s="391" t="s">
        <v>275</v>
      </c>
      <c r="K7" s="391" t="s">
        <v>276</v>
      </c>
      <c r="L7" s="382" t="s">
        <v>277</v>
      </c>
      <c r="M7" s="392" t="s">
        <v>278</v>
      </c>
    </row>
    <row r="8" spans="1:13" s="375" customFormat="1" ht="30" customHeight="1">
      <c r="A8" s="324">
        <v>42917</v>
      </c>
      <c r="B8" s="360">
        <v>122</v>
      </c>
      <c r="C8" s="385">
        <v>39650</v>
      </c>
      <c r="D8" s="385">
        <f>B8</f>
        <v>122</v>
      </c>
      <c r="E8" s="385">
        <f>C8</f>
        <v>39650</v>
      </c>
      <c r="F8" s="360"/>
      <c r="G8" s="360">
        <f>E8*0.2</f>
        <v>7930</v>
      </c>
      <c r="H8" s="360"/>
      <c r="I8" s="360"/>
      <c r="J8" s="360"/>
      <c r="K8" s="360"/>
      <c r="L8" s="360">
        <f>E8-J8</f>
        <v>39650</v>
      </c>
      <c r="M8" s="393"/>
    </row>
    <row r="9" spans="1:13" s="375" customFormat="1" ht="30" customHeight="1">
      <c r="A9" s="324">
        <v>42948</v>
      </c>
      <c r="B9" s="360">
        <v>0</v>
      </c>
      <c r="C9" s="385">
        <v>0</v>
      </c>
      <c r="D9" s="385">
        <f>B9+D8</f>
        <v>122</v>
      </c>
      <c r="E9" s="385">
        <f>C9+E8</f>
        <v>39650</v>
      </c>
      <c r="F9" s="360"/>
      <c r="G9" s="360">
        <f>C9*0.2</f>
        <v>0</v>
      </c>
      <c r="H9" s="360">
        <f>C8*0.8</f>
        <v>31720</v>
      </c>
      <c r="I9" s="360"/>
      <c r="J9" s="360"/>
      <c r="K9" s="360">
        <f>K8+H9-I9</f>
        <v>31720</v>
      </c>
      <c r="L9" s="360">
        <f>E9-J9</f>
        <v>39650</v>
      </c>
      <c r="M9" s="393"/>
    </row>
    <row r="10" spans="1:13" s="375" customFormat="1" ht="30" customHeight="1">
      <c r="A10" s="324">
        <v>42979</v>
      </c>
      <c r="B10" s="360">
        <v>0</v>
      </c>
      <c r="C10" s="385">
        <v>0</v>
      </c>
      <c r="D10" s="360">
        <v>122</v>
      </c>
      <c r="E10" s="360">
        <v>39650</v>
      </c>
      <c r="F10" s="360"/>
      <c r="G10" s="360">
        <v>0</v>
      </c>
      <c r="H10" s="360">
        <v>31720</v>
      </c>
      <c r="I10" s="360"/>
      <c r="J10" s="360"/>
      <c r="K10" s="360">
        <v>31720</v>
      </c>
      <c r="L10" s="360">
        <v>39650</v>
      </c>
      <c r="M10" s="394"/>
    </row>
    <row r="11" spans="1:13" s="375" customFormat="1" ht="30" customHeight="1">
      <c r="A11" s="324"/>
      <c r="B11" s="360"/>
      <c r="C11" s="360"/>
      <c r="D11" s="360"/>
      <c r="E11" s="360"/>
      <c r="F11" s="360"/>
      <c r="G11" s="360"/>
      <c r="H11" s="360"/>
      <c r="I11" s="360"/>
      <c r="J11" s="360"/>
      <c r="K11" s="360"/>
      <c r="L11" s="360"/>
      <c r="M11" s="360"/>
    </row>
    <row r="12" spans="1:13" s="375" customFormat="1" ht="30" customHeight="1">
      <c r="A12" s="324"/>
      <c r="B12" s="360"/>
      <c r="C12" s="360"/>
      <c r="D12" s="360"/>
      <c r="E12" s="360"/>
      <c r="F12" s="360"/>
      <c r="G12" s="360"/>
      <c r="H12" s="360"/>
      <c r="I12" s="360"/>
      <c r="J12" s="360"/>
      <c r="K12" s="360"/>
      <c r="L12" s="360"/>
      <c r="M12" s="360"/>
    </row>
  </sheetData>
  <mergeCells count="15">
    <mergeCell ref="B5:E5"/>
    <mergeCell ref="F5:I5"/>
    <mergeCell ref="J5:L5"/>
    <mergeCell ref="A6:C6"/>
    <mergeCell ref="D6:G6"/>
    <mergeCell ref="A2:A3"/>
    <mergeCell ref="D2:D3"/>
    <mergeCell ref="B2:C3"/>
    <mergeCell ref="E2:H3"/>
    <mergeCell ref="E1:F1"/>
    <mergeCell ref="G1:H1"/>
    <mergeCell ref="J1:L1"/>
    <mergeCell ref="I2:M2"/>
    <mergeCell ref="J3:K3"/>
    <mergeCell ref="B4:C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8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topLeftCell="A7" zoomScaleSheetLayoutView="100" workbookViewId="0">
      <selection activeCell="F12" sqref="F12"/>
    </sheetView>
  </sheetViews>
  <sheetFormatPr defaultColWidth="9" defaultRowHeight="14.25"/>
  <cols>
    <col min="1" max="1" width="13.625" customWidth="1"/>
    <col min="2" max="2" width="14" customWidth="1"/>
    <col min="3" max="3" width="13.5" customWidth="1"/>
    <col min="4" max="4" width="12.125" customWidth="1"/>
    <col min="5" max="5" width="13.5" customWidth="1"/>
    <col min="6" max="6" width="15" customWidth="1"/>
    <col min="7" max="7" width="12.625" customWidth="1"/>
    <col min="8" max="8" width="12.375" customWidth="1"/>
    <col min="9" max="9" width="14.375" customWidth="1"/>
    <col min="10" max="10" width="13.75" customWidth="1"/>
    <col min="11" max="11" width="12.625" customWidth="1"/>
    <col min="12" max="12" width="11.125" customWidth="1"/>
    <col min="13" max="13" width="35.125" customWidth="1"/>
  </cols>
  <sheetData>
    <row r="1" spans="1:13" ht="78.95" customHeight="1">
      <c r="A1" s="349" t="s">
        <v>556</v>
      </c>
      <c r="B1" s="376" t="s">
        <v>4269</v>
      </c>
      <c r="C1" s="377" t="s">
        <v>4270</v>
      </c>
      <c r="D1" s="350" t="s">
        <v>236</v>
      </c>
      <c r="E1" s="2207"/>
      <c r="F1" s="2208"/>
      <c r="G1" s="2209"/>
      <c r="H1" s="2210"/>
      <c r="I1" s="386" t="s">
        <v>237</v>
      </c>
      <c r="J1" s="2211" t="s">
        <v>4271</v>
      </c>
      <c r="K1" s="2212"/>
      <c r="L1" s="2213"/>
      <c r="M1" s="387" t="s">
        <v>1902</v>
      </c>
    </row>
    <row r="2" spans="1:13" ht="60" customHeight="1">
      <c r="A2" s="2215" t="s">
        <v>240</v>
      </c>
      <c r="B2" s="2219" t="s">
        <v>4272</v>
      </c>
      <c r="C2" s="2220"/>
      <c r="D2" s="2217" t="s">
        <v>242</v>
      </c>
      <c r="E2" s="2223"/>
      <c r="F2" s="2223"/>
      <c r="G2" s="2223"/>
      <c r="H2" s="2038"/>
      <c r="I2" s="137" t="s">
        <v>425</v>
      </c>
      <c r="J2" s="2047" t="s">
        <v>1902</v>
      </c>
      <c r="K2" s="2048"/>
      <c r="L2" s="2048"/>
      <c r="M2" s="2049"/>
    </row>
    <row r="3" spans="1:13" ht="62.1" customHeight="1">
      <c r="A3" s="2216"/>
      <c r="B3" s="2221"/>
      <c r="C3" s="2222"/>
      <c r="D3" s="2218"/>
      <c r="E3" s="2223"/>
      <c r="F3" s="2223"/>
      <c r="G3" s="2223"/>
      <c r="H3" s="2223"/>
      <c r="I3" s="388" t="s">
        <v>243</v>
      </c>
      <c r="J3" s="2225"/>
      <c r="K3" s="2225"/>
      <c r="L3" s="166" t="s">
        <v>245</v>
      </c>
      <c r="M3" s="293" t="s">
        <v>4273</v>
      </c>
    </row>
    <row r="4" spans="1:13" ht="45" customHeight="1">
      <c r="A4" s="133" t="s">
        <v>247</v>
      </c>
      <c r="B4" s="1682" t="s">
        <v>4274</v>
      </c>
      <c r="C4" s="1682"/>
      <c r="D4" s="134" t="s">
        <v>249</v>
      </c>
      <c r="E4" s="380" t="s">
        <v>4275</v>
      </c>
      <c r="F4" s="306" t="s">
        <v>251</v>
      </c>
      <c r="G4" s="306" t="s">
        <v>4276</v>
      </c>
      <c r="H4" s="306" t="s">
        <v>252</v>
      </c>
      <c r="I4" s="206"/>
      <c r="J4" s="41" t="s">
        <v>565</v>
      </c>
      <c r="K4" s="15"/>
      <c r="L4" s="15" t="s">
        <v>255</v>
      </c>
      <c r="M4" s="134" t="s">
        <v>4277</v>
      </c>
    </row>
    <row r="5" spans="1:13" ht="66.95" customHeight="1">
      <c r="A5" s="133" t="s">
        <v>260</v>
      </c>
      <c r="B5" s="1727" t="s">
        <v>4278</v>
      </c>
      <c r="C5" s="1727"/>
      <c r="D5" s="1727"/>
      <c r="E5" s="1727"/>
      <c r="F5" s="1690" t="s">
        <v>4268</v>
      </c>
      <c r="G5" s="1690"/>
      <c r="H5" s="2226"/>
      <c r="I5" s="2226"/>
      <c r="J5" s="2080"/>
      <c r="K5" s="2186"/>
      <c r="L5" s="2080"/>
      <c r="M5" s="170"/>
    </row>
    <row r="6" spans="1:13" ht="84" customHeight="1">
      <c r="A6" s="1688" t="s">
        <v>660</v>
      </c>
      <c r="B6" s="1689"/>
      <c r="C6" s="1689"/>
      <c r="D6" s="2045"/>
      <c r="E6" s="2046"/>
      <c r="F6" s="2046"/>
      <c r="G6" s="2046"/>
      <c r="H6" s="356"/>
      <c r="I6" s="356"/>
      <c r="J6" s="389"/>
      <c r="K6" s="169"/>
      <c r="L6" s="169"/>
      <c r="M6" s="264"/>
    </row>
    <row r="7" spans="1:13" ht="42.75">
      <c r="A7" s="381" t="s">
        <v>266</v>
      </c>
      <c r="B7" s="382" t="s">
        <v>267</v>
      </c>
      <c r="C7" s="382" t="s">
        <v>268</v>
      </c>
      <c r="D7" s="382" t="s">
        <v>269</v>
      </c>
      <c r="E7" s="382" t="s">
        <v>270</v>
      </c>
      <c r="F7" s="382" t="s">
        <v>271</v>
      </c>
      <c r="G7" s="383" t="s">
        <v>272</v>
      </c>
      <c r="H7" s="384" t="s">
        <v>273</v>
      </c>
      <c r="I7" s="390" t="s">
        <v>274</v>
      </c>
      <c r="J7" s="391" t="s">
        <v>275</v>
      </c>
      <c r="K7" s="391" t="s">
        <v>276</v>
      </c>
      <c r="L7" s="382" t="s">
        <v>277</v>
      </c>
      <c r="M7" s="392" t="s">
        <v>278</v>
      </c>
    </row>
    <row r="8" spans="1:13" s="375" customFormat="1" ht="30" customHeight="1">
      <c r="A8" s="324">
        <v>42917</v>
      </c>
      <c r="B8" s="360">
        <f>203+772</f>
        <v>975</v>
      </c>
      <c r="C8" s="385">
        <f>231600+58880</f>
        <v>290480</v>
      </c>
      <c r="D8" s="385">
        <f>B8</f>
        <v>975</v>
      </c>
      <c r="E8" s="385">
        <f>C8</f>
        <v>290480</v>
      </c>
      <c r="F8" s="360"/>
      <c r="G8" s="360">
        <f>C8</f>
        <v>290480</v>
      </c>
      <c r="H8" s="360"/>
      <c r="I8" s="360"/>
      <c r="J8" s="360"/>
      <c r="K8" s="360"/>
      <c r="L8" s="360">
        <f>E8-J8</f>
        <v>290480</v>
      </c>
      <c r="M8" s="393"/>
    </row>
    <row r="9" spans="1:13" s="375" customFormat="1" ht="30" customHeight="1">
      <c r="A9" s="324">
        <v>42948</v>
      </c>
      <c r="B9" s="360">
        <v>248</v>
      </c>
      <c r="C9" s="385">
        <v>72010</v>
      </c>
      <c r="D9" s="360">
        <f>D8+B9</f>
        <v>1223</v>
      </c>
      <c r="E9" s="360">
        <f>E8+C9</f>
        <v>362490</v>
      </c>
      <c r="F9" s="360"/>
      <c r="G9" s="360">
        <f>C8*0.1+C9</f>
        <v>101058</v>
      </c>
      <c r="H9" s="360"/>
      <c r="I9" s="360"/>
      <c r="J9" s="360"/>
      <c r="K9" s="360">
        <f>K8+H9-I9</f>
        <v>0</v>
      </c>
      <c r="L9" s="360">
        <f>E9-J9</f>
        <v>362490</v>
      </c>
      <c r="M9" s="393"/>
    </row>
    <row r="10" spans="1:13" s="375" customFormat="1" ht="30" customHeight="1">
      <c r="A10" s="324">
        <v>42979</v>
      </c>
      <c r="B10" s="360"/>
      <c r="C10" s="385">
        <v>72010</v>
      </c>
      <c r="D10" s="360">
        <v>1223</v>
      </c>
      <c r="E10" s="360">
        <v>362490</v>
      </c>
      <c r="F10" s="360"/>
      <c r="G10" s="360">
        <v>101058</v>
      </c>
      <c r="H10" s="360"/>
      <c r="I10" s="360"/>
      <c r="J10" s="360"/>
      <c r="K10" s="360">
        <v>0</v>
      </c>
      <c r="L10" s="360">
        <v>362490</v>
      </c>
      <c r="M10" s="394"/>
    </row>
    <row r="11" spans="1:13" s="375" customFormat="1" ht="30" customHeight="1">
      <c r="A11" s="324"/>
      <c r="B11" s="360"/>
      <c r="C11" s="360"/>
      <c r="D11" s="360"/>
      <c r="E11" s="360"/>
      <c r="F11" s="360"/>
      <c r="G11" s="360"/>
      <c r="H11" s="360"/>
      <c r="I11" s="360"/>
      <c r="J11" s="360"/>
      <c r="K11" s="360"/>
      <c r="L11" s="360"/>
      <c r="M11" s="360"/>
    </row>
    <row r="12" spans="1:13" s="375" customFormat="1" ht="30" customHeight="1">
      <c r="A12" s="324"/>
      <c r="B12" s="360"/>
      <c r="C12" s="360"/>
      <c r="D12" s="360"/>
      <c r="E12" s="360"/>
      <c r="F12" s="360"/>
      <c r="G12" s="360"/>
      <c r="H12" s="360"/>
      <c r="I12" s="360"/>
      <c r="J12" s="360"/>
      <c r="K12" s="360"/>
      <c r="L12" s="360"/>
      <c r="M12" s="360"/>
    </row>
  </sheetData>
  <mergeCells count="15">
    <mergeCell ref="B5:E5"/>
    <mergeCell ref="F5:I5"/>
    <mergeCell ref="J5:L5"/>
    <mergeCell ref="A6:C6"/>
    <mergeCell ref="D6:G6"/>
    <mergeCell ref="A2:A3"/>
    <mergeCell ref="D2:D3"/>
    <mergeCell ref="B2:C3"/>
    <mergeCell ref="E2:H3"/>
    <mergeCell ref="E1:F1"/>
    <mergeCell ref="G1:H1"/>
    <mergeCell ref="J1:L1"/>
    <mergeCell ref="J2:M2"/>
    <mergeCell ref="J3:K3"/>
    <mergeCell ref="B4:C4"/>
  </mergeCells>
  <phoneticPr fontId="84" type="noConversion"/>
  <pageMargins left="0.75" right="0.75" top="1" bottom="1" header="0.51" footer="0.51"/>
  <pageSetup paperSize="9" orientation="portrait" horizontalDpi="200" verticalDpi="200" r:id="rId1"/>
  <headerFooter scaleWithDoc="0"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2"/>
  <sheetViews>
    <sheetView topLeftCell="A16" zoomScaleSheetLayoutView="100" workbookViewId="0">
      <selection sqref="A1:A2"/>
    </sheetView>
  </sheetViews>
  <sheetFormatPr defaultColWidth="9" defaultRowHeight="14.25"/>
  <cols>
    <col min="1" max="1" width="17.125" customWidth="1"/>
    <col min="2" max="2" width="14.5" customWidth="1"/>
    <col min="3" max="3" width="14.75" customWidth="1"/>
    <col min="4" max="4" width="12" customWidth="1"/>
    <col min="5" max="5" width="13.125" customWidth="1"/>
    <col min="6" max="6" width="12.375" customWidth="1"/>
    <col min="7" max="7" width="13.75" customWidth="1"/>
    <col min="8" max="8" width="11.5" customWidth="1"/>
    <col min="9" max="9" width="15.5" customWidth="1"/>
    <col min="10" max="10" width="14.75" customWidth="1"/>
    <col min="11" max="11" width="13" customWidth="1"/>
    <col min="12" max="12" width="15.125" customWidth="1"/>
    <col min="13" max="13" width="38.375" customWidth="1"/>
  </cols>
  <sheetData>
    <row r="1" spans="1:13" ht="98.1" customHeight="1">
      <c r="A1" s="1709" t="s">
        <v>556</v>
      </c>
      <c r="B1" s="1711"/>
      <c r="C1" s="1713" t="s">
        <v>691</v>
      </c>
      <c r="D1" s="1715" t="s">
        <v>236</v>
      </c>
      <c r="E1" s="1718" t="s">
        <v>692</v>
      </c>
      <c r="F1" s="1719"/>
      <c r="G1" s="1738" t="s">
        <v>693</v>
      </c>
      <c r="H1" s="1739"/>
      <c r="I1" s="223" t="s">
        <v>694</v>
      </c>
      <c r="J1" s="1730" t="s">
        <v>695</v>
      </c>
      <c r="K1" s="1701"/>
      <c r="L1" s="1701"/>
      <c r="M1" s="221" t="s">
        <v>696</v>
      </c>
    </row>
    <row r="2" spans="1:13" ht="98.1" customHeight="1">
      <c r="A2" s="1710"/>
      <c r="B2" s="1712"/>
      <c r="C2" s="1714"/>
      <c r="D2" s="1716"/>
      <c r="E2" s="1720"/>
      <c r="F2" s="1721"/>
      <c r="G2" s="1740"/>
      <c r="H2" s="1741"/>
      <c r="I2" s="416" t="s">
        <v>425</v>
      </c>
      <c r="J2" s="1731" t="s">
        <v>697</v>
      </c>
      <c r="K2" s="1731"/>
      <c r="L2" s="1731"/>
      <c r="M2" s="1732"/>
    </row>
    <row r="3" spans="1:13" ht="53.1" customHeight="1">
      <c r="A3" s="133" t="s">
        <v>240</v>
      </c>
      <c r="B3" s="1682" t="s">
        <v>698</v>
      </c>
      <c r="C3" s="1682"/>
      <c r="D3" s="134" t="s">
        <v>242</v>
      </c>
      <c r="E3" s="1706"/>
      <c r="F3" s="1706"/>
      <c r="G3" s="1706"/>
      <c r="H3" s="1706"/>
      <c r="I3" s="397" t="s">
        <v>243</v>
      </c>
      <c r="J3" s="1733">
        <v>0.03</v>
      </c>
      <c r="K3" s="1708"/>
      <c r="L3" s="166" t="s">
        <v>245</v>
      </c>
      <c r="M3" s="205" t="s">
        <v>699</v>
      </c>
    </row>
    <row r="4" spans="1:13" ht="48" customHeight="1">
      <c r="A4" s="133" t="s">
        <v>247</v>
      </c>
      <c r="B4" s="1682" t="s">
        <v>700</v>
      </c>
      <c r="C4" s="1682"/>
      <c r="D4" s="134" t="s">
        <v>249</v>
      </c>
      <c r="E4" s="136">
        <v>180400</v>
      </c>
      <c r="F4" s="134" t="s">
        <v>251</v>
      </c>
      <c r="G4" s="135"/>
      <c r="H4" s="134" t="s">
        <v>252</v>
      </c>
      <c r="I4" s="206"/>
      <c r="J4" s="41" t="s">
        <v>565</v>
      </c>
      <c r="K4" s="15"/>
      <c r="L4" s="15" t="s">
        <v>255</v>
      </c>
      <c r="M4" s="207" t="s">
        <v>701</v>
      </c>
    </row>
    <row r="5" spans="1:13" ht="108.95" customHeight="1">
      <c r="A5" s="133" t="s">
        <v>260</v>
      </c>
      <c r="B5" s="1726" t="s">
        <v>702</v>
      </c>
      <c r="C5" s="1726"/>
      <c r="D5" s="1726"/>
      <c r="E5" s="1726"/>
      <c r="F5" s="416"/>
      <c r="G5" s="1734" t="s">
        <v>703</v>
      </c>
      <c r="H5" s="1735"/>
      <c r="I5" s="1735"/>
      <c r="J5" s="1736"/>
      <c r="K5" s="420"/>
      <c r="L5" s="420"/>
      <c r="M5" s="170"/>
    </row>
    <row r="6" spans="1:13" ht="57" customHeight="1">
      <c r="A6" s="1688" t="s">
        <v>660</v>
      </c>
      <c r="B6" s="1689"/>
      <c r="C6" s="1689"/>
      <c r="D6" s="1737" t="s">
        <v>704</v>
      </c>
      <c r="E6" s="1737"/>
      <c r="F6" s="1737"/>
      <c r="G6" s="1690"/>
      <c r="H6" s="1690"/>
      <c r="I6" s="1690"/>
      <c r="J6" s="1698"/>
      <c r="K6" s="1699"/>
      <c r="L6" s="1700"/>
      <c r="M6" s="264"/>
    </row>
    <row r="7" spans="1:13" ht="51"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42.95" customHeight="1">
      <c r="A8" s="270" t="s">
        <v>705</v>
      </c>
      <c r="B8" s="259">
        <v>541</v>
      </c>
      <c r="C8" s="181">
        <v>148794</v>
      </c>
      <c r="D8" s="259">
        <f>B8</f>
        <v>541</v>
      </c>
      <c r="E8" s="259">
        <f>C8</f>
        <v>148794</v>
      </c>
      <c r="F8" s="259">
        <f t="shared" ref="F8:F21" si="0">180400-D8</f>
        <v>179859</v>
      </c>
      <c r="G8" s="877">
        <f>E8</f>
        <v>148794</v>
      </c>
      <c r="H8" s="261"/>
      <c r="I8" s="259"/>
      <c r="J8" s="259"/>
      <c r="K8" s="259"/>
      <c r="L8" s="226">
        <f t="shared" ref="L8:L23" si="1">E8-J8</f>
        <v>148794</v>
      </c>
      <c r="M8" s="265"/>
    </row>
    <row r="9" spans="1:13" ht="27.95" customHeight="1">
      <c r="A9" s="270" t="s">
        <v>706</v>
      </c>
      <c r="B9" s="181">
        <v>1994</v>
      </c>
      <c r="C9" s="181">
        <v>572833</v>
      </c>
      <c r="D9" s="181">
        <f t="shared" ref="D9:D23" si="2">D8+B9</f>
        <v>2535</v>
      </c>
      <c r="E9" s="181">
        <f>E8+C9</f>
        <v>721627</v>
      </c>
      <c r="F9" s="259">
        <f t="shared" si="0"/>
        <v>177865</v>
      </c>
      <c r="G9" s="877">
        <f>E9</f>
        <v>721627</v>
      </c>
      <c r="H9" s="181"/>
      <c r="I9" s="181"/>
      <c r="J9" s="181"/>
      <c r="K9" s="181"/>
      <c r="L9" s="226">
        <f t="shared" si="1"/>
        <v>721627</v>
      </c>
      <c r="M9" s="266"/>
    </row>
    <row r="10" spans="1:13" ht="27.95" customHeight="1">
      <c r="A10" s="275" t="s">
        <v>707</v>
      </c>
      <c r="B10" s="259">
        <v>4169.5</v>
      </c>
      <c r="C10" s="181">
        <v>1255391</v>
      </c>
      <c r="D10" s="181">
        <f t="shared" si="2"/>
        <v>6704.5</v>
      </c>
      <c r="E10" s="181">
        <f t="shared" ref="E10:E23" si="3">E9+C10</f>
        <v>1977018</v>
      </c>
      <c r="F10" s="259">
        <f t="shared" si="0"/>
        <v>173695.5</v>
      </c>
      <c r="G10" s="877">
        <f>E10</f>
        <v>1977018</v>
      </c>
      <c r="H10" s="181"/>
      <c r="I10" s="262"/>
      <c r="J10" s="262"/>
      <c r="K10" s="181"/>
      <c r="L10" s="226">
        <f t="shared" si="1"/>
        <v>1977018</v>
      </c>
      <c r="M10" s="262"/>
    </row>
    <row r="11" spans="1:13" ht="27.95" customHeight="1">
      <c r="A11" s="275" t="s">
        <v>708</v>
      </c>
      <c r="B11" s="262">
        <v>8140.5</v>
      </c>
      <c r="C11" s="262">
        <v>2528559</v>
      </c>
      <c r="D11" s="181">
        <f t="shared" si="2"/>
        <v>14845</v>
      </c>
      <c r="E11" s="181">
        <f t="shared" si="3"/>
        <v>4505577</v>
      </c>
      <c r="F11" s="259">
        <f t="shared" si="0"/>
        <v>165555</v>
      </c>
      <c r="G11" s="877">
        <f>C8*0.3+C9+C10+C11</f>
        <v>4401421.2</v>
      </c>
      <c r="H11" s="181"/>
      <c r="I11" s="262"/>
      <c r="J11" s="262"/>
      <c r="K11" s="181"/>
      <c r="L11" s="226">
        <f t="shared" si="1"/>
        <v>4505577</v>
      </c>
      <c r="M11" s="262"/>
    </row>
    <row r="12" spans="1:13" ht="27.95" customHeight="1">
      <c r="A12" s="275" t="s">
        <v>709</v>
      </c>
      <c r="B12" s="262">
        <v>7550</v>
      </c>
      <c r="C12" s="262">
        <v>2375837.5</v>
      </c>
      <c r="D12" s="181">
        <f t="shared" si="2"/>
        <v>22395</v>
      </c>
      <c r="E12" s="181">
        <f t="shared" si="3"/>
        <v>6881414.5</v>
      </c>
      <c r="F12" s="259">
        <f t="shared" si="0"/>
        <v>158005</v>
      </c>
      <c r="G12" s="877">
        <f t="shared" ref="G12:G23" si="4">E9*0.3+C10+C11+C12</f>
        <v>6376275.5999999996</v>
      </c>
      <c r="H12" s="181">
        <f t="shared" ref="H12:H24" si="5">C8*0.7</f>
        <v>104155.79999999999</v>
      </c>
      <c r="I12" s="262"/>
      <c r="J12" s="262"/>
      <c r="K12" s="294">
        <f t="shared" ref="K12:K24" si="6">K11+H12-I12</f>
        <v>104155.79999999999</v>
      </c>
      <c r="L12" s="226">
        <f t="shared" si="1"/>
        <v>6881414.5</v>
      </c>
      <c r="M12" s="262"/>
    </row>
    <row r="13" spans="1:13" ht="27.95" customHeight="1">
      <c r="A13" s="275" t="s">
        <v>710</v>
      </c>
      <c r="B13" s="262">
        <v>2025</v>
      </c>
      <c r="C13" s="262">
        <v>603945</v>
      </c>
      <c r="D13" s="181">
        <f t="shared" si="2"/>
        <v>24420</v>
      </c>
      <c r="E13" s="181">
        <f t="shared" si="3"/>
        <v>7485359.5</v>
      </c>
      <c r="F13" s="259">
        <f t="shared" si="0"/>
        <v>155980</v>
      </c>
      <c r="G13" s="877">
        <f t="shared" si="4"/>
        <v>6101446.9000000004</v>
      </c>
      <c r="H13" s="181">
        <f t="shared" si="5"/>
        <v>400983.1</v>
      </c>
      <c r="I13" s="262"/>
      <c r="J13" s="262"/>
      <c r="K13" s="294">
        <f t="shared" si="6"/>
        <v>505138.89999999997</v>
      </c>
      <c r="L13" s="226">
        <f t="shared" si="1"/>
        <v>7485359.5</v>
      </c>
      <c r="M13" s="262"/>
    </row>
    <row r="14" spans="1:13" ht="27.95" customHeight="1">
      <c r="A14" s="275" t="s">
        <v>711</v>
      </c>
      <c r="B14" s="262">
        <v>5084.5</v>
      </c>
      <c r="C14" s="262">
        <v>1586211</v>
      </c>
      <c r="D14" s="181">
        <f t="shared" si="2"/>
        <v>29504.5</v>
      </c>
      <c r="E14" s="181">
        <f t="shared" si="3"/>
        <v>9071570.5</v>
      </c>
      <c r="F14" s="259">
        <f t="shared" si="0"/>
        <v>150895.5</v>
      </c>
      <c r="G14" s="877">
        <f t="shared" si="4"/>
        <v>5917666.5999999996</v>
      </c>
      <c r="H14" s="181">
        <f t="shared" si="5"/>
        <v>878773.7</v>
      </c>
      <c r="I14" s="262">
        <v>1000000</v>
      </c>
      <c r="J14" s="262">
        <f>I14</f>
        <v>1000000</v>
      </c>
      <c r="K14" s="294">
        <f t="shared" si="6"/>
        <v>383912.59999999986</v>
      </c>
      <c r="L14" s="226">
        <f t="shared" si="1"/>
        <v>8071570.5</v>
      </c>
      <c r="M14" s="262" t="s">
        <v>712</v>
      </c>
    </row>
    <row r="15" spans="1:13" ht="27.95" customHeight="1">
      <c r="A15" s="275" t="s">
        <v>713</v>
      </c>
      <c r="B15" s="262">
        <v>3448</v>
      </c>
      <c r="C15" s="262">
        <v>1096369</v>
      </c>
      <c r="D15" s="181">
        <f t="shared" si="2"/>
        <v>32952.5</v>
      </c>
      <c r="E15" s="181">
        <f t="shared" si="3"/>
        <v>10167939.5</v>
      </c>
      <c r="F15" s="259">
        <f t="shared" si="0"/>
        <v>147447.5</v>
      </c>
      <c r="G15" s="877">
        <f t="shared" si="4"/>
        <v>5350949.3499999996</v>
      </c>
      <c r="H15" s="181">
        <f t="shared" si="5"/>
        <v>1769991.2999999998</v>
      </c>
      <c r="I15" s="262">
        <v>2000000</v>
      </c>
      <c r="J15" s="262">
        <f t="shared" ref="J15:J23" si="7">I15+J14</f>
        <v>3000000</v>
      </c>
      <c r="K15" s="294">
        <f t="shared" si="6"/>
        <v>153903.89999999944</v>
      </c>
      <c r="L15" s="226">
        <f t="shared" si="1"/>
        <v>7167939.5</v>
      </c>
      <c r="M15" s="262" t="s">
        <v>714</v>
      </c>
    </row>
    <row r="16" spans="1:13" ht="27.95" customHeight="1">
      <c r="A16" s="275" t="s">
        <v>715</v>
      </c>
      <c r="B16" s="262">
        <v>997</v>
      </c>
      <c r="C16" s="262">
        <v>305931</v>
      </c>
      <c r="D16" s="181">
        <f t="shared" si="2"/>
        <v>33949.5</v>
      </c>
      <c r="E16" s="181">
        <f t="shared" si="3"/>
        <v>10473870.5</v>
      </c>
      <c r="F16" s="259">
        <f t="shared" si="0"/>
        <v>146450.5</v>
      </c>
      <c r="G16" s="877">
        <f t="shared" si="4"/>
        <v>5234118.8499999996</v>
      </c>
      <c r="H16" s="181">
        <f t="shared" si="5"/>
        <v>1663086.25</v>
      </c>
      <c r="I16" s="262"/>
      <c r="J16" s="262">
        <f t="shared" si="7"/>
        <v>3000000</v>
      </c>
      <c r="K16" s="294">
        <f t="shared" si="6"/>
        <v>1816990.1499999994</v>
      </c>
      <c r="L16" s="226">
        <f t="shared" si="1"/>
        <v>7473870.5</v>
      </c>
      <c r="M16" s="262"/>
    </row>
    <row r="17" spans="1:13" ht="27.95" customHeight="1">
      <c r="A17" s="275" t="s">
        <v>716</v>
      </c>
      <c r="B17" s="262">
        <v>0</v>
      </c>
      <c r="C17" s="262">
        <v>0</v>
      </c>
      <c r="D17" s="181">
        <f t="shared" si="2"/>
        <v>33949.5</v>
      </c>
      <c r="E17" s="181">
        <f t="shared" si="3"/>
        <v>10473870.5</v>
      </c>
      <c r="F17" s="259">
        <f t="shared" si="0"/>
        <v>146450.5</v>
      </c>
      <c r="G17" s="877">
        <f t="shared" si="4"/>
        <v>4123771.15</v>
      </c>
      <c r="H17" s="181">
        <f t="shared" si="5"/>
        <v>422761.5</v>
      </c>
      <c r="I17" s="262"/>
      <c r="J17" s="262">
        <f t="shared" si="7"/>
        <v>3000000</v>
      </c>
      <c r="K17" s="294">
        <f t="shared" si="6"/>
        <v>2239751.6499999994</v>
      </c>
      <c r="L17" s="226">
        <f t="shared" si="1"/>
        <v>7473870.5</v>
      </c>
      <c r="M17" s="262"/>
    </row>
    <row r="18" spans="1:13" ht="27.95" customHeight="1">
      <c r="A18" s="275" t="s">
        <v>717</v>
      </c>
      <c r="B18" s="262">
        <v>781</v>
      </c>
      <c r="C18" s="262">
        <v>227798</v>
      </c>
      <c r="D18" s="181">
        <f t="shared" si="2"/>
        <v>34730.5</v>
      </c>
      <c r="E18" s="181">
        <f t="shared" si="3"/>
        <v>10701668.5</v>
      </c>
      <c r="F18" s="259">
        <f t="shared" si="0"/>
        <v>145669.5</v>
      </c>
      <c r="G18" s="877">
        <f t="shared" si="4"/>
        <v>3584110.85</v>
      </c>
      <c r="H18" s="181">
        <f t="shared" si="5"/>
        <v>1110347.7</v>
      </c>
      <c r="I18" s="262"/>
      <c r="J18" s="262">
        <f t="shared" si="7"/>
        <v>3000000</v>
      </c>
      <c r="K18" s="294">
        <f t="shared" si="6"/>
        <v>3350099.3499999996</v>
      </c>
      <c r="L18" s="226">
        <f t="shared" si="1"/>
        <v>7701668.5</v>
      </c>
      <c r="M18" s="262"/>
    </row>
    <row r="19" spans="1:13" ht="27.95" customHeight="1">
      <c r="A19" s="275" t="s">
        <v>718</v>
      </c>
      <c r="B19" s="262">
        <v>8284.5</v>
      </c>
      <c r="C19" s="262">
        <v>2655011</v>
      </c>
      <c r="D19" s="181">
        <f t="shared" si="2"/>
        <v>43015</v>
      </c>
      <c r="E19" s="181">
        <f t="shared" si="3"/>
        <v>13356679.5</v>
      </c>
      <c r="F19" s="259">
        <f t="shared" si="0"/>
        <v>137385</v>
      </c>
      <c r="G19" s="877">
        <f t="shared" si="4"/>
        <v>6024970.1500000004</v>
      </c>
      <c r="H19" s="181">
        <f t="shared" si="5"/>
        <v>767458.29999999993</v>
      </c>
      <c r="I19" s="262">
        <v>1000000</v>
      </c>
      <c r="J19" s="262">
        <f t="shared" si="7"/>
        <v>4000000</v>
      </c>
      <c r="K19" s="294">
        <f t="shared" si="6"/>
        <v>3117557.6499999994</v>
      </c>
      <c r="L19" s="226">
        <f t="shared" si="1"/>
        <v>9356679.5</v>
      </c>
      <c r="M19" s="262" t="s">
        <v>719</v>
      </c>
    </row>
    <row r="20" spans="1:13" ht="27.95" customHeight="1">
      <c r="A20" s="275">
        <v>42856</v>
      </c>
      <c r="B20" s="262">
        <v>0</v>
      </c>
      <c r="C20" s="262">
        <v>0</v>
      </c>
      <c r="D20" s="181">
        <f t="shared" si="2"/>
        <v>43015</v>
      </c>
      <c r="E20" s="181">
        <f t="shared" si="3"/>
        <v>13356679.5</v>
      </c>
      <c r="F20" s="259">
        <f t="shared" si="0"/>
        <v>137385</v>
      </c>
      <c r="G20" s="877">
        <f t="shared" si="4"/>
        <v>6024970.1500000004</v>
      </c>
      <c r="H20" s="181">
        <f t="shared" si="5"/>
        <v>214151.69999999998</v>
      </c>
      <c r="I20" s="262">
        <v>1000000</v>
      </c>
      <c r="J20" s="262">
        <f t="shared" si="7"/>
        <v>5000000</v>
      </c>
      <c r="K20" s="294">
        <f t="shared" si="6"/>
        <v>2331709.3499999996</v>
      </c>
      <c r="L20" s="226">
        <f t="shared" si="1"/>
        <v>8356679.5</v>
      </c>
      <c r="M20" s="262" t="s">
        <v>720</v>
      </c>
    </row>
    <row r="21" spans="1:13" ht="27.95" customHeight="1">
      <c r="A21" s="275">
        <v>42887</v>
      </c>
      <c r="B21" s="262">
        <v>0</v>
      </c>
      <c r="C21" s="262">
        <v>0</v>
      </c>
      <c r="D21" s="181">
        <f t="shared" si="2"/>
        <v>43015</v>
      </c>
      <c r="E21" s="181">
        <f t="shared" si="3"/>
        <v>13356679.5</v>
      </c>
      <c r="F21" s="259">
        <f t="shared" si="0"/>
        <v>137385</v>
      </c>
      <c r="G21" s="877">
        <f t="shared" si="4"/>
        <v>5865511.5499999998</v>
      </c>
      <c r="H21" s="181">
        <f t="shared" si="5"/>
        <v>0</v>
      </c>
      <c r="I21" s="262">
        <v>1000000</v>
      </c>
      <c r="J21" s="262">
        <f t="shared" si="7"/>
        <v>6000000</v>
      </c>
      <c r="K21" s="294">
        <f t="shared" si="6"/>
        <v>1331709.3499999996</v>
      </c>
      <c r="L21" s="226">
        <f t="shared" si="1"/>
        <v>7356679.5</v>
      </c>
      <c r="M21" s="262" t="s">
        <v>721</v>
      </c>
    </row>
    <row r="22" spans="1:13" ht="27.95" customHeight="1">
      <c r="A22" s="275">
        <v>42917</v>
      </c>
      <c r="B22" s="262">
        <v>0</v>
      </c>
      <c r="C22" s="262">
        <v>0</v>
      </c>
      <c r="D22" s="181">
        <f t="shared" si="2"/>
        <v>43015</v>
      </c>
      <c r="E22" s="181">
        <f t="shared" si="3"/>
        <v>13356679.5</v>
      </c>
      <c r="F22" s="259"/>
      <c r="G22" s="877">
        <f t="shared" si="4"/>
        <v>4007003.8499999996</v>
      </c>
      <c r="H22" s="181">
        <f t="shared" si="5"/>
        <v>159458.59999999998</v>
      </c>
      <c r="I22" s="262"/>
      <c r="J22" s="262">
        <f t="shared" si="7"/>
        <v>6000000</v>
      </c>
      <c r="K22" s="294">
        <f t="shared" si="6"/>
        <v>1491167.9499999997</v>
      </c>
      <c r="L22" s="226">
        <f t="shared" si="1"/>
        <v>7356679.5</v>
      </c>
      <c r="M22" s="262"/>
    </row>
    <row r="23" spans="1:13" ht="27.95" customHeight="1">
      <c r="A23" s="275">
        <v>42948</v>
      </c>
      <c r="B23" s="262">
        <v>0</v>
      </c>
      <c r="C23" s="262">
        <v>0</v>
      </c>
      <c r="D23" s="181">
        <f t="shared" si="2"/>
        <v>43015</v>
      </c>
      <c r="E23" s="181">
        <f t="shared" si="3"/>
        <v>13356679.5</v>
      </c>
      <c r="F23" s="262"/>
      <c r="G23" s="877">
        <f t="shared" si="4"/>
        <v>4007003.8499999996</v>
      </c>
      <c r="H23" s="181">
        <f t="shared" si="5"/>
        <v>1858507.7</v>
      </c>
      <c r="I23" s="262">
        <v>1000000</v>
      </c>
      <c r="J23" s="262">
        <f t="shared" si="7"/>
        <v>7000000</v>
      </c>
      <c r="K23" s="294">
        <f t="shared" si="6"/>
        <v>2349675.6499999994</v>
      </c>
      <c r="L23" s="226">
        <f t="shared" si="1"/>
        <v>6356679.5</v>
      </c>
      <c r="M23" s="262" t="s">
        <v>722</v>
      </c>
    </row>
    <row r="24" spans="1:13" ht="27.95" customHeight="1">
      <c r="A24" s="275"/>
      <c r="B24" s="262"/>
      <c r="C24" s="262"/>
      <c r="D24" s="181"/>
      <c r="E24" s="181"/>
      <c r="F24" s="262"/>
      <c r="G24" s="260"/>
      <c r="H24" s="181">
        <f t="shared" si="5"/>
        <v>0</v>
      </c>
      <c r="I24" s="262"/>
      <c r="J24" s="262"/>
      <c r="K24" s="294">
        <f t="shared" si="6"/>
        <v>2349675.6499999994</v>
      </c>
      <c r="L24" s="200"/>
      <c r="M24" s="262"/>
    </row>
    <row r="25" spans="1:13" ht="27.95" customHeight="1">
      <c r="A25" s="275"/>
      <c r="B25" s="262"/>
      <c r="C25" s="262"/>
      <c r="D25" s="181"/>
      <c r="E25" s="181"/>
      <c r="F25" s="262"/>
      <c r="G25" s="260"/>
      <c r="H25" s="181"/>
      <c r="I25" s="262"/>
      <c r="J25" s="262"/>
      <c r="K25" s="294"/>
      <c r="L25" s="200"/>
      <c r="M25" s="262"/>
    </row>
    <row r="26" spans="1:13" ht="27.95" customHeight="1">
      <c r="A26" s="258"/>
      <c r="B26" s="262"/>
      <c r="C26" s="262"/>
      <c r="D26" s="181"/>
      <c r="E26" s="181"/>
      <c r="F26" s="262"/>
      <c r="G26" s="260"/>
      <c r="H26" s="181"/>
      <c r="I26" s="262"/>
      <c r="J26" s="262"/>
      <c r="K26" s="181"/>
      <c r="L26" s="200"/>
      <c r="M26" s="262"/>
    </row>
    <row r="27" spans="1:13" ht="27.95" customHeight="1">
      <c r="A27" s="258"/>
      <c r="B27" s="262"/>
      <c r="C27" s="262"/>
      <c r="D27" s="181"/>
      <c r="E27" s="181"/>
      <c r="F27" s="262"/>
      <c r="G27" s="260"/>
      <c r="H27" s="181"/>
      <c r="I27" s="262"/>
      <c r="J27" s="262"/>
      <c r="K27" s="181"/>
      <c r="L27" s="200"/>
      <c r="M27" s="262"/>
    </row>
    <row r="32" spans="1:13" ht="15" customHeight="1"/>
  </sheetData>
  <mergeCells count="18">
    <mergeCell ref="A1:A2"/>
    <mergeCell ref="B1:B2"/>
    <mergeCell ref="C1:C2"/>
    <mergeCell ref="D1:D2"/>
    <mergeCell ref="E1:F2"/>
    <mergeCell ref="G1:H2"/>
    <mergeCell ref="B5:E5"/>
    <mergeCell ref="G5:J5"/>
    <mergeCell ref="A6:C6"/>
    <mergeCell ref="D6:F6"/>
    <mergeCell ref="G6:I6"/>
    <mergeCell ref="J6:L6"/>
    <mergeCell ref="J1:L1"/>
    <mergeCell ref="J2:M2"/>
    <mergeCell ref="B3:C3"/>
    <mergeCell ref="E3:H3"/>
    <mergeCell ref="J3:K3"/>
    <mergeCell ref="B4:C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topLeftCell="A16" zoomScaleSheetLayoutView="100" workbookViewId="0"/>
  </sheetViews>
  <sheetFormatPr defaultColWidth="9" defaultRowHeight="14.25"/>
  <cols>
    <col min="1" max="1" width="15.25" customWidth="1"/>
    <col min="2" max="2" width="14.125" customWidth="1"/>
    <col min="3" max="4" width="15.625" customWidth="1"/>
    <col min="5" max="5" width="15.375" customWidth="1"/>
    <col min="6" max="6" width="13" customWidth="1"/>
    <col min="7" max="7" width="13.75" customWidth="1"/>
    <col min="8" max="8" width="15.5" customWidth="1"/>
    <col min="9" max="10" width="13.5" customWidth="1"/>
    <col min="11" max="11" width="15.25" customWidth="1"/>
    <col min="12" max="12" width="14.875" customWidth="1"/>
    <col min="13" max="13" width="30" customWidth="1"/>
  </cols>
  <sheetData>
    <row r="1" spans="1:13" ht="90" customHeight="1">
      <c r="A1" s="349" t="s">
        <v>4279</v>
      </c>
      <c r="B1" s="350"/>
      <c r="C1" s="351" t="s">
        <v>4280</v>
      </c>
      <c r="D1" s="350" t="s">
        <v>4281</v>
      </c>
      <c r="E1" s="2104"/>
      <c r="F1" s="2104"/>
      <c r="G1" s="2028" t="s">
        <v>4282</v>
      </c>
      <c r="H1" s="2028"/>
      <c r="I1" s="306" t="s">
        <v>237</v>
      </c>
      <c r="J1" s="1695" t="s">
        <v>4283</v>
      </c>
      <c r="K1" s="1695"/>
      <c r="L1" s="1695"/>
      <c r="M1" s="367" t="s">
        <v>4284</v>
      </c>
    </row>
    <row r="2" spans="1:13" ht="45.95" customHeight="1">
      <c r="A2" s="133" t="s">
        <v>240</v>
      </c>
      <c r="B2" s="1682" t="s">
        <v>3028</v>
      </c>
      <c r="C2" s="1682"/>
      <c r="D2" s="134" t="s">
        <v>242</v>
      </c>
      <c r="E2" s="1706"/>
      <c r="F2" s="1706"/>
      <c r="G2" s="1706"/>
      <c r="H2" s="1706"/>
      <c r="I2" s="166" t="s">
        <v>243</v>
      </c>
      <c r="J2" s="166" t="s">
        <v>4285</v>
      </c>
      <c r="K2" s="310"/>
      <c r="L2" s="166" t="s">
        <v>245</v>
      </c>
      <c r="M2" s="205" t="s">
        <v>1966</v>
      </c>
    </row>
    <row r="3" spans="1:13" ht="45" customHeight="1">
      <c r="A3" s="133" t="s">
        <v>247</v>
      </c>
      <c r="B3" s="2051" t="s">
        <v>4286</v>
      </c>
      <c r="C3" s="2051"/>
      <c r="D3" s="352" t="s">
        <v>249</v>
      </c>
      <c r="E3" s="353">
        <v>10000</v>
      </c>
      <c r="F3" s="352" t="s">
        <v>251</v>
      </c>
      <c r="G3" s="134"/>
      <c r="H3" s="134" t="s">
        <v>252</v>
      </c>
      <c r="I3" s="206"/>
      <c r="J3" s="41" t="s">
        <v>565</v>
      </c>
      <c r="K3" s="15" t="s">
        <v>4287</v>
      </c>
      <c r="L3" s="15" t="s">
        <v>255</v>
      </c>
      <c r="M3" s="15" t="s">
        <v>4287</v>
      </c>
    </row>
    <row r="4" spans="1:13" ht="51" customHeight="1">
      <c r="A4" s="354" t="s">
        <v>260</v>
      </c>
      <c r="B4" s="1690" t="s">
        <v>4288</v>
      </c>
      <c r="C4" s="2045"/>
      <c r="D4" s="2045" t="s">
        <v>4289</v>
      </c>
      <c r="E4" s="2046"/>
      <c r="F4" s="2097"/>
      <c r="G4" s="355"/>
      <c r="H4" s="356"/>
      <c r="I4" s="356"/>
      <c r="J4" s="1697"/>
      <c r="K4" s="1697"/>
      <c r="L4" s="1697"/>
      <c r="M4" s="170"/>
    </row>
    <row r="5" spans="1:13" ht="33.950000000000003" customHeight="1">
      <c r="A5" s="1688" t="s">
        <v>660</v>
      </c>
      <c r="B5" s="2227"/>
      <c r="C5" s="2227"/>
      <c r="D5" s="2228"/>
      <c r="E5" s="2228"/>
      <c r="F5" s="2228"/>
      <c r="G5" s="1690"/>
      <c r="H5" s="1690"/>
      <c r="I5" s="1690"/>
      <c r="J5" s="169"/>
      <c r="K5" s="169"/>
      <c r="L5" s="169"/>
      <c r="M5" s="264"/>
    </row>
    <row r="6" spans="1:13" ht="30.75">
      <c r="A6" s="357"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358">
        <v>41913</v>
      </c>
      <c r="B7" s="259">
        <v>37</v>
      </c>
      <c r="C7" s="259">
        <v>10360</v>
      </c>
      <c r="D7" s="259">
        <f>B7</f>
        <v>37</v>
      </c>
      <c r="E7" s="259">
        <f>C7</f>
        <v>10360</v>
      </c>
      <c r="F7" s="259"/>
      <c r="G7" s="260">
        <f>C7</f>
        <v>10360</v>
      </c>
      <c r="H7" s="261"/>
      <c r="I7" s="259"/>
      <c r="J7" s="259"/>
      <c r="K7" s="259"/>
      <c r="L7" s="259">
        <f t="shared" ref="L7:L22" si="0">E7-J7</f>
        <v>10360</v>
      </c>
      <c r="M7" s="265"/>
    </row>
    <row r="8" spans="1:13" ht="33" customHeight="1">
      <c r="A8" s="309">
        <v>41944</v>
      </c>
      <c r="B8" s="181">
        <v>129</v>
      </c>
      <c r="C8" s="181">
        <v>37485</v>
      </c>
      <c r="D8" s="181">
        <f t="shared" ref="D8:E11" si="1">D7+B8</f>
        <v>166</v>
      </c>
      <c r="E8" s="181">
        <f t="shared" si="1"/>
        <v>47845</v>
      </c>
      <c r="F8" s="181"/>
      <c r="G8" s="181">
        <f>C7*0.1</f>
        <v>1036</v>
      </c>
      <c r="H8" s="181">
        <f t="shared" ref="H8:H23" si="2">C7*0.9</f>
        <v>9324</v>
      </c>
      <c r="I8" s="181"/>
      <c r="J8" s="181"/>
      <c r="K8" s="181">
        <f t="shared" ref="K8:K22" si="3">K7+H8-I8</f>
        <v>9324</v>
      </c>
      <c r="L8" s="259">
        <f t="shared" si="0"/>
        <v>47845</v>
      </c>
      <c r="M8" s="368"/>
    </row>
    <row r="9" spans="1:13" ht="33" customHeight="1">
      <c r="A9" s="309">
        <v>41974</v>
      </c>
      <c r="B9" s="252">
        <v>1478</v>
      </c>
      <c r="C9" s="252">
        <v>479340</v>
      </c>
      <c r="D9" s="252">
        <f t="shared" si="1"/>
        <v>1644</v>
      </c>
      <c r="E9" s="252">
        <f t="shared" si="1"/>
        <v>527185</v>
      </c>
      <c r="F9" s="252"/>
      <c r="G9" s="252">
        <f t="shared" ref="G9:G22" si="4">E9*0.1</f>
        <v>52718.5</v>
      </c>
      <c r="H9" s="252">
        <f t="shared" si="2"/>
        <v>33736.5</v>
      </c>
      <c r="I9" s="252"/>
      <c r="J9" s="252"/>
      <c r="K9" s="252">
        <f t="shared" si="3"/>
        <v>43060.5</v>
      </c>
      <c r="L9" s="369">
        <f t="shared" si="0"/>
        <v>527185</v>
      </c>
      <c r="M9" s="370"/>
    </row>
    <row r="10" spans="1:13" ht="33" customHeight="1">
      <c r="A10" s="359">
        <v>42005</v>
      </c>
      <c r="B10" s="360">
        <v>3870.5</v>
      </c>
      <c r="C10" s="360">
        <v>1296617.5</v>
      </c>
      <c r="D10" s="360">
        <f t="shared" si="1"/>
        <v>5514.5</v>
      </c>
      <c r="E10" s="360">
        <f t="shared" si="1"/>
        <v>1823802.5</v>
      </c>
      <c r="F10" s="361"/>
      <c r="G10" s="181">
        <f t="shared" si="4"/>
        <v>182380.25</v>
      </c>
      <c r="H10" s="362">
        <f t="shared" si="2"/>
        <v>431406</v>
      </c>
      <c r="I10" s="360">
        <v>400000</v>
      </c>
      <c r="J10" s="360">
        <f t="shared" ref="J10:J22" si="5">J9+I10</f>
        <v>400000</v>
      </c>
      <c r="K10" s="361">
        <f t="shared" si="3"/>
        <v>74466.5</v>
      </c>
      <c r="L10" s="259">
        <f t="shared" si="0"/>
        <v>1423802.5</v>
      </c>
      <c r="M10" s="371" t="s">
        <v>4290</v>
      </c>
    </row>
    <row r="11" spans="1:13" ht="33" customHeight="1">
      <c r="A11" s="359">
        <v>42037</v>
      </c>
      <c r="B11" s="363">
        <v>2242</v>
      </c>
      <c r="C11" s="364">
        <v>751070</v>
      </c>
      <c r="D11" s="360">
        <f t="shared" si="1"/>
        <v>7756.5</v>
      </c>
      <c r="E11" s="360">
        <f t="shared" si="1"/>
        <v>2574872.5</v>
      </c>
      <c r="F11" s="364"/>
      <c r="G11" s="181">
        <f t="shared" si="4"/>
        <v>257487.25</v>
      </c>
      <c r="H11" s="360">
        <f t="shared" si="2"/>
        <v>1166955.75</v>
      </c>
      <c r="I11" s="364">
        <v>1000000</v>
      </c>
      <c r="J11" s="360">
        <f t="shared" si="5"/>
        <v>1400000</v>
      </c>
      <c r="K11" s="360">
        <f t="shared" si="3"/>
        <v>241422.25</v>
      </c>
      <c r="L11" s="259">
        <f t="shared" si="0"/>
        <v>1174872.5</v>
      </c>
      <c r="M11" s="372" t="s">
        <v>4291</v>
      </c>
    </row>
    <row r="12" spans="1:13" ht="33" customHeight="1">
      <c r="A12" s="359">
        <v>42069</v>
      </c>
      <c r="B12" s="363">
        <v>1214</v>
      </c>
      <c r="C12" s="364">
        <v>401910</v>
      </c>
      <c r="D12" s="360">
        <f t="shared" ref="D12:D22" si="6">D11+B12</f>
        <v>8970.5</v>
      </c>
      <c r="E12" s="360">
        <f t="shared" ref="E12:E22" si="7">E11+C12</f>
        <v>2976782.5</v>
      </c>
      <c r="F12" s="364"/>
      <c r="G12" s="181">
        <f t="shared" si="4"/>
        <v>297678.25</v>
      </c>
      <c r="H12" s="360">
        <f t="shared" si="2"/>
        <v>675963</v>
      </c>
      <c r="I12" s="364"/>
      <c r="J12" s="360">
        <f t="shared" si="5"/>
        <v>1400000</v>
      </c>
      <c r="K12" s="360">
        <f t="shared" si="3"/>
        <v>917385.25</v>
      </c>
      <c r="L12" s="259">
        <f t="shared" si="0"/>
        <v>1576782.5</v>
      </c>
      <c r="M12" s="372"/>
    </row>
    <row r="13" spans="1:13" ht="33" customHeight="1">
      <c r="A13" s="359">
        <v>42100</v>
      </c>
      <c r="B13" s="360">
        <v>95.5</v>
      </c>
      <c r="C13" s="360">
        <v>32392.5</v>
      </c>
      <c r="D13" s="360">
        <f t="shared" si="6"/>
        <v>9066</v>
      </c>
      <c r="E13" s="360">
        <f t="shared" si="7"/>
        <v>3009175</v>
      </c>
      <c r="F13" s="360"/>
      <c r="G13" s="181">
        <f t="shared" si="4"/>
        <v>300917.5</v>
      </c>
      <c r="H13" s="360">
        <f t="shared" si="2"/>
        <v>361719</v>
      </c>
      <c r="I13" s="360"/>
      <c r="J13" s="360">
        <f t="shared" si="5"/>
        <v>1400000</v>
      </c>
      <c r="K13" s="360">
        <f t="shared" si="3"/>
        <v>1279104.25</v>
      </c>
      <c r="L13" s="259">
        <f t="shared" si="0"/>
        <v>1609175</v>
      </c>
      <c r="M13" s="373"/>
    </row>
    <row r="14" spans="1:13" ht="33" customHeight="1">
      <c r="A14" s="365">
        <v>42125</v>
      </c>
      <c r="B14" s="360">
        <v>790.5</v>
      </c>
      <c r="C14" s="360">
        <v>270782.5</v>
      </c>
      <c r="D14" s="360">
        <f t="shared" si="6"/>
        <v>9856.5</v>
      </c>
      <c r="E14" s="360">
        <f t="shared" si="7"/>
        <v>3279957.5</v>
      </c>
      <c r="F14" s="360"/>
      <c r="G14" s="181">
        <f t="shared" si="4"/>
        <v>327995.75</v>
      </c>
      <c r="H14" s="360">
        <f t="shared" si="2"/>
        <v>29153.25</v>
      </c>
      <c r="I14" s="360">
        <v>500000</v>
      </c>
      <c r="J14" s="360">
        <f t="shared" si="5"/>
        <v>1900000</v>
      </c>
      <c r="K14" s="360">
        <f t="shared" si="3"/>
        <v>808257.5</v>
      </c>
      <c r="L14" s="259">
        <f t="shared" si="0"/>
        <v>1379957.5</v>
      </c>
      <c r="M14" s="373" t="s">
        <v>4292</v>
      </c>
    </row>
    <row r="15" spans="1:13" ht="33" customHeight="1">
      <c r="A15" s="365">
        <v>42156</v>
      </c>
      <c r="B15" s="360">
        <v>332</v>
      </c>
      <c r="C15" s="360">
        <v>116200</v>
      </c>
      <c r="D15" s="360">
        <f t="shared" si="6"/>
        <v>10188.5</v>
      </c>
      <c r="E15" s="360">
        <f t="shared" si="7"/>
        <v>3396157.5</v>
      </c>
      <c r="F15" s="360"/>
      <c r="G15" s="181">
        <f t="shared" si="4"/>
        <v>339615.75</v>
      </c>
      <c r="H15" s="360">
        <f t="shared" si="2"/>
        <v>243704.25</v>
      </c>
      <c r="I15" s="360"/>
      <c r="J15" s="360">
        <f t="shared" si="5"/>
        <v>1900000</v>
      </c>
      <c r="K15" s="360">
        <f t="shared" si="3"/>
        <v>1051961.75</v>
      </c>
      <c r="L15" s="259">
        <f t="shared" si="0"/>
        <v>1496157.5</v>
      </c>
      <c r="M15" s="373"/>
    </row>
    <row r="16" spans="1:13" ht="33" customHeight="1">
      <c r="A16" s="365">
        <v>42186</v>
      </c>
      <c r="B16" s="360">
        <v>621.5</v>
      </c>
      <c r="C16" s="360">
        <v>210177.5</v>
      </c>
      <c r="D16" s="360">
        <f t="shared" si="6"/>
        <v>10810</v>
      </c>
      <c r="E16" s="360">
        <f t="shared" si="7"/>
        <v>3606335</v>
      </c>
      <c r="F16" s="360"/>
      <c r="G16" s="181">
        <f t="shared" si="4"/>
        <v>360633.5</v>
      </c>
      <c r="H16" s="360">
        <f t="shared" si="2"/>
        <v>104580</v>
      </c>
      <c r="I16" s="360"/>
      <c r="J16" s="360">
        <f t="shared" si="5"/>
        <v>1900000</v>
      </c>
      <c r="K16" s="360">
        <f t="shared" si="3"/>
        <v>1156541.75</v>
      </c>
      <c r="L16" s="259">
        <f t="shared" si="0"/>
        <v>1706335</v>
      </c>
      <c r="M16" s="373" t="s">
        <v>4293</v>
      </c>
    </row>
    <row r="17" spans="1:13" ht="33" customHeight="1">
      <c r="A17" s="365">
        <v>42217</v>
      </c>
      <c r="B17" s="360">
        <v>382</v>
      </c>
      <c r="C17" s="360">
        <v>130405</v>
      </c>
      <c r="D17" s="360">
        <f t="shared" si="6"/>
        <v>11192</v>
      </c>
      <c r="E17" s="360">
        <f t="shared" si="7"/>
        <v>3736740</v>
      </c>
      <c r="F17" s="360"/>
      <c r="G17" s="181">
        <f t="shared" si="4"/>
        <v>373674</v>
      </c>
      <c r="H17" s="360">
        <f t="shared" si="2"/>
        <v>189159.75</v>
      </c>
      <c r="I17" s="360">
        <v>480000</v>
      </c>
      <c r="J17" s="360">
        <f t="shared" si="5"/>
        <v>2380000</v>
      </c>
      <c r="K17" s="360">
        <f t="shared" si="3"/>
        <v>865701.5</v>
      </c>
      <c r="L17" s="259">
        <f t="shared" si="0"/>
        <v>1356740</v>
      </c>
      <c r="M17" s="373" t="s">
        <v>4294</v>
      </c>
    </row>
    <row r="18" spans="1:13" ht="33" customHeight="1">
      <c r="A18" s="365">
        <v>42248</v>
      </c>
      <c r="B18" s="360">
        <v>0</v>
      </c>
      <c r="C18" s="360">
        <v>0</v>
      </c>
      <c r="D18" s="360">
        <f t="shared" si="6"/>
        <v>11192</v>
      </c>
      <c r="E18" s="360">
        <f t="shared" si="7"/>
        <v>3736740</v>
      </c>
      <c r="F18" s="360"/>
      <c r="G18" s="181">
        <f t="shared" si="4"/>
        <v>373674</v>
      </c>
      <c r="H18" s="360">
        <f t="shared" si="2"/>
        <v>117364.5</v>
      </c>
      <c r="I18" s="360"/>
      <c r="J18" s="360">
        <f t="shared" si="5"/>
        <v>2380000</v>
      </c>
      <c r="K18" s="360">
        <f t="shared" si="3"/>
        <v>983066</v>
      </c>
      <c r="L18" s="259">
        <f t="shared" si="0"/>
        <v>1356740</v>
      </c>
      <c r="M18" s="373"/>
    </row>
    <row r="19" spans="1:13" ht="33" customHeight="1">
      <c r="A19" s="365">
        <v>42278</v>
      </c>
      <c r="B19" s="360">
        <v>268</v>
      </c>
      <c r="C19" s="360">
        <v>85900</v>
      </c>
      <c r="D19" s="360">
        <f t="shared" si="6"/>
        <v>11460</v>
      </c>
      <c r="E19" s="360">
        <f t="shared" si="7"/>
        <v>3822640</v>
      </c>
      <c r="F19" s="360"/>
      <c r="G19" s="181">
        <f t="shared" si="4"/>
        <v>382264</v>
      </c>
      <c r="H19" s="360">
        <f t="shared" si="2"/>
        <v>0</v>
      </c>
      <c r="I19" s="360">
        <v>350000</v>
      </c>
      <c r="J19" s="360">
        <f t="shared" si="5"/>
        <v>2730000</v>
      </c>
      <c r="K19" s="360">
        <f t="shared" si="3"/>
        <v>633066</v>
      </c>
      <c r="L19" s="259">
        <f t="shared" si="0"/>
        <v>1092640</v>
      </c>
      <c r="M19" s="373" t="s">
        <v>4295</v>
      </c>
    </row>
    <row r="20" spans="1:13" ht="33" customHeight="1">
      <c r="A20" s="365">
        <v>42309</v>
      </c>
      <c r="B20" s="360">
        <v>42</v>
      </c>
      <c r="C20" s="360">
        <v>11970</v>
      </c>
      <c r="D20" s="360">
        <f t="shared" si="6"/>
        <v>11502</v>
      </c>
      <c r="E20" s="360">
        <f t="shared" si="7"/>
        <v>3834610</v>
      </c>
      <c r="F20" s="360"/>
      <c r="G20" s="181">
        <f t="shared" si="4"/>
        <v>383461</v>
      </c>
      <c r="H20" s="360">
        <f t="shared" si="2"/>
        <v>77310</v>
      </c>
      <c r="I20" s="360">
        <v>300000</v>
      </c>
      <c r="J20" s="360">
        <f t="shared" si="5"/>
        <v>3030000</v>
      </c>
      <c r="K20" s="360">
        <f t="shared" si="3"/>
        <v>410376</v>
      </c>
      <c r="L20" s="259">
        <f t="shared" si="0"/>
        <v>804610</v>
      </c>
      <c r="M20" s="373"/>
    </row>
    <row r="21" spans="1:13" ht="33" customHeight="1">
      <c r="A21" s="365">
        <v>42339</v>
      </c>
      <c r="B21" s="360">
        <v>197</v>
      </c>
      <c r="C21" s="360">
        <v>64025</v>
      </c>
      <c r="D21" s="360">
        <f t="shared" si="6"/>
        <v>11699</v>
      </c>
      <c r="E21" s="360">
        <f t="shared" si="7"/>
        <v>3898635</v>
      </c>
      <c r="F21" s="360"/>
      <c r="G21" s="181">
        <f t="shared" si="4"/>
        <v>389863.5</v>
      </c>
      <c r="H21" s="360">
        <f t="shared" si="2"/>
        <v>10773</v>
      </c>
      <c r="I21" s="360">
        <v>100000</v>
      </c>
      <c r="J21" s="360">
        <f t="shared" si="5"/>
        <v>3130000</v>
      </c>
      <c r="K21" s="360">
        <f t="shared" si="3"/>
        <v>321149</v>
      </c>
      <c r="L21" s="259">
        <f t="shared" si="0"/>
        <v>768635</v>
      </c>
      <c r="M21" s="373" t="s">
        <v>4296</v>
      </c>
    </row>
    <row r="22" spans="1:13" ht="33" customHeight="1">
      <c r="A22" s="365">
        <v>42614</v>
      </c>
      <c r="B22" s="360">
        <v>0</v>
      </c>
      <c r="C22" s="360">
        <v>0</v>
      </c>
      <c r="D22" s="360">
        <f t="shared" si="6"/>
        <v>11699</v>
      </c>
      <c r="E22" s="360">
        <f t="shared" si="7"/>
        <v>3898635</v>
      </c>
      <c r="F22" s="360"/>
      <c r="G22" s="181">
        <f t="shared" si="4"/>
        <v>389863.5</v>
      </c>
      <c r="H22" s="360">
        <f t="shared" si="2"/>
        <v>57622.5</v>
      </c>
      <c r="I22" s="360">
        <v>768635</v>
      </c>
      <c r="J22" s="360">
        <f t="shared" si="5"/>
        <v>3898635</v>
      </c>
      <c r="K22" s="360">
        <f t="shared" si="3"/>
        <v>-389863.5</v>
      </c>
      <c r="L22" s="259">
        <f t="shared" si="0"/>
        <v>0</v>
      </c>
      <c r="M22" s="373" t="s">
        <v>4297</v>
      </c>
    </row>
    <row r="23" spans="1:13" ht="33" customHeight="1">
      <c r="A23" s="365"/>
      <c r="B23" s="360"/>
      <c r="C23" s="360"/>
      <c r="D23" s="360"/>
      <c r="E23" s="360"/>
      <c r="F23" s="360"/>
      <c r="G23" s="360"/>
      <c r="H23" s="360">
        <f t="shared" si="2"/>
        <v>0</v>
      </c>
      <c r="I23" s="360"/>
      <c r="J23" s="360"/>
      <c r="K23" s="360">
        <f>K22+H23-I23+G22</f>
        <v>0</v>
      </c>
      <c r="L23" s="373"/>
      <c r="M23" s="374" t="s">
        <v>4298</v>
      </c>
    </row>
    <row r="24" spans="1:13" ht="33" customHeight="1">
      <c r="A24" s="365"/>
      <c r="B24" s="360"/>
      <c r="C24" s="360"/>
      <c r="D24" s="360"/>
      <c r="E24" s="360"/>
      <c r="F24" s="360"/>
      <c r="G24" s="360"/>
      <c r="H24" s="360"/>
      <c r="I24" s="360"/>
      <c r="J24" s="360"/>
      <c r="K24" s="360"/>
      <c r="L24" s="373"/>
      <c r="M24" s="373"/>
    </row>
    <row r="25" spans="1:13" ht="33" customHeight="1">
      <c r="A25" s="365"/>
      <c r="B25" s="360"/>
      <c r="C25" s="360"/>
      <c r="D25" s="360"/>
      <c r="E25" s="360"/>
      <c r="F25" s="360"/>
      <c r="G25" s="360"/>
      <c r="H25" s="360"/>
      <c r="I25" s="360"/>
      <c r="J25" s="360"/>
      <c r="K25" s="360"/>
      <c r="L25" s="373"/>
      <c r="M25" s="373"/>
    </row>
    <row r="26" spans="1:13" ht="33" customHeight="1">
      <c r="A26" s="365"/>
      <c r="B26" s="360"/>
      <c r="C26" s="360"/>
      <c r="D26" s="360"/>
      <c r="E26" s="360"/>
      <c r="F26" s="360"/>
      <c r="G26" s="360"/>
      <c r="H26" s="360"/>
      <c r="I26" s="360"/>
      <c r="J26" s="360"/>
      <c r="K26" s="360"/>
      <c r="L26" s="373"/>
      <c r="M26" s="373"/>
    </row>
  </sheetData>
  <mergeCells count="12">
    <mergeCell ref="B4:C4"/>
    <mergeCell ref="D4:F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9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2"/>
  <sheetViews>
    <sheetView topLeftCell="A35" zoomScaleSheetLayoutView="100" workbookViewId="0">
      <selection activeCell="I42" sqref="I42"/>
    </sheetView>
  </sheetViews>
  <sheetFormatPr defaultColWidth="9" defaultRowHeight="14.25"/>
  <cols>
    <col min="1" max="1" width="13.125" customWidth="1"/>
    <col min="2" max="3" width="14" customWidth="1"/>
    <col min="4" max="4" width="15.25" customWidth="1"/>
    <col min="5" max="5" width="15.375" customWidth="1"/>
    <col min="6" max="6" width="11.25" customWidth="1"/>
    <col min="7" max="7" width="13.5" customWidth="1"/>
    <col min="8" max="8" width="14.25" customWidth="1"/>
    <col min="9" max="9" width="13.25" customWidth="1"/>
    <col min="10" max="10" width="14.375" customWidth="1"/>
    <col min="11" max="11" width="16" customWidth="1"/>
    <col min="12" max="12" width="14.125" customWidth="1"/>
    <col min="13" max="13" width="26.125" customWidth="1"/>
  </cols>
  <sheetData>
    <row r="1" spans="1:13" ht="45" customHeight="1">
      <c r="A1" s="130" t="s">
        <v>4299</v>
      </c>
      <c r="B1" s="131"/>
      <c r="C1" s="132" t="s">
        <v>4300</v>
      </c>
      <c r="D1" s="131" t="s">
        <v>236</v>
      </c>
      <c r="E1" s="2095"/>
      <c r="F1" s="2095"/>
      <c r="G1" s="2116"/>
      <c r="H1" s="2116"/>
      <c r="I1" s="164" t="s">
        <v>237</v>
      </c>
      <c r="J1" s="1701" t="s">
        <v>4301</v>
      </c>
      <c r="K1" s="1701"/>
      <c r="L1" s="1701"/>
      <c r="M1" s="165"/>
    </row>
    <row r="2" spans="1:13" ht="30" customHeight="1">
      <c r="A2" s="133" t="s">
        <v>240</v>
      </c>
      <c r="B2" s="1682" t="s">
        <v>4302</v>
      </c>
      <c r="C2" s="1682"/>
      <c r="D2" s="134" t="s">
        <v>242</v>
      </c>
      <c r="E2" s="1706" t="s">
        <v>4303</v>
      </c>
      <c r="F2" s="1706"/>
      <c r="G2" s="1706"/>
      <c r="H2" s="1706"/>
      <c r="I2" s="166" t="s">
        <v>243</v>
      </c>
      <c r="J2" s="166" t="s">
        <v>1050</v>
      </c>
      <c r="K2" s="310"/>
      <c r="L2" s="166" t="s">
        <v>245</v>
      </c>
      <c r="M2" s="205"/>
    </row>
    <row r="3" spans="1:13" ht="32.1" customHeight="1">
      <c r="A3" s="133" t="s">
        <v>247</v>
      </c>
      <c r="B3" s="1682" t="s">
        <v>4304</v>
      </c>
      <c r="C3" s="1682"/>
      <c r="D3" s="134" t="s">
        <v>249</v>
      </c>
      <c r="E3" s="136"/>
      <c r="F3" s="134" t="s">
        <v>251</v>
      </c>
      <c r="G3" s="134"/>
      <c r="H3" s="134" t="s">
        <v>252</v>
      </c>
      <c r="I3" s="206"/>
      <c r="J3" s="41" t="s">
        <v>565</v>
      </c>
      <c r="K3" s="15"/>
      <c r="L3" s="15" t="s">
        <v>255</v>
      </c>
      <c r="M3" s="207"/>
    </row>
    <row r="4" spans="1:13" ht="54" customHeight="1">
      <c r="A4" s="133" t="s">
        <v>260</v>
      </c>
      <c r="B4" s="1726" t="s">
        <v>4305</v>
      </c>
      <c r="C4" s="1726"/>
      <c r="D4" s="1726"/>
      <c r="E4" s="1726"/>
      <c r="F4" s="1697"/>
      <c r="G4" s="1697"/>
      <c r="H4" s="1697"/>
      <c r="I4" s="1697"/>
      <c r="J4" s="1697"/>
      <c r="K4" s="1697"/>
      <c r="L4" s="1697"/>
      <c r="M4" s="170"/>
    </row>
    <row r="5" spans="1:13" ht="30.95" customHeight="1">
      <c r="A5" s="1688" t="s">
        <v>660</v>
      </c>
      <c r="B5" s="1689"/>
      <c r="C5" s="1689"/>
      <c r="D5" s="1690" t="s">
        <v>570</v>
      </c>
      <c r="E5" s="1690"/>
      <c r="F5" s="1690"/>
      <c r="G5" s="1690" t="s">
        <v>4306</v>
      </c>
      <c r="H5" s="1690"/>
      <c r="I5" s="1690"/>
      <c r="J5" s="169"/>
      <c r="K5" s="169"/>
      <c r="L5" s="169"/>
      <c r="M5" s="264"/>
    </row>
    <row r="6" spans="1:13" ht="30.95"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9.1" customHeight="1">
      <c r="A7" s="336">
        <v>41487</v>
      </c>
      <c r="B7" s="140">
        <v>153.5</v>
      </c>
      <c r="C7" s="140">
        <v>40900</v>
      </c>
      <c r="D7" s="140">
        <f>B7</f>
        <v>153.5</v>
      </c>
      <c r="E7" s="140">
        <f>C7</f>
        <v>40900</v>
      </c>
      <c r="F7" s="140"/>
      <c r="G7" s="46">
        <f t="shared" ref="G7:G13" si="0">E7*0.1</f>
        <v>4090</v>
      </c>
      <c r="H7" s="141">
        <f t="shared" ref="H7:H12" si="1">E7*0.9</f>
        <v>36810</v>
      </c>
      <c r="I7" s="140"/>
      <c r="J7" s="140"/>
      <c r="K7" s="140"/>
      <c r="L7" s="140">
        <f t="shared" ref="L7:L13" si="2">E7-J7</f>
        <v>40900</v>
      </c>
      <c r="M7" s="171"/>
    </row>
    <row r="8" spans="1:13" ht="29.1" customHeight="1">
      <c r="A8" s="336">
        <v>41518</v>
      </c>
      <c r="B8" s="140">
        <v>35</v>
      </c>
      <c r="C8" s="140">
        <v>8910</v>
      </c>
      <c r="D8" s="140">
        <f t="shared" ref="D8:D13" si="3">D7+B8</f>
        <v>188.5</v>
      </c>
      <c r="E8" s="140">
        <f t="shared" ref="E8:E13" si="4">E7+C8</f>
        <v>49810</v>
      </c>
      <c r="F8" s="140"/>
      <c r="G8" s="46">
        <f t="shared" si="0"/>
        <v>4981</v>
      </c>
      <c r="H8" s="141">
        <f t="shared" si="1"/>
        <v>44829</v>
      </c>
      <c r="I8" s="140"/>
      <c r="J8" s="140">
        <f t="shared" ref="J8:J13" si="5">J7+I8</f>
        <v>0</v>
      </c>
      <c r="K8" s="140">
        <f t="shared" ref="K8:K13" si="6">K7+H8-I8</f>
        <v>44829</v>
      </c>
      <c r="L8" s="140">
        <f t="shared" si="2"/>
        <v>49810</v>
      </c>
      <c r="M8" s="171"/>
    </row>
    <row r="9" spans="1:13" ht="29.1" customHeight="1">
      <c r="A9" s="336">
        <v>41548</v>
      </c>
      <c r="B9" s="140">
        <v>114</v>
      </c>
      <c r="C9" s="140">
        <v>32600</v>
      </c>
      <c r="D9" s="140">
        <f t="shared" si="3"/>
        <v>302.5</v>
      </c>
      <c r="E9" s="140">
        <f t="shared" si="4"/>
        <v>82410</v>
      </c>
      <c r="F9" s="140"/>
      <c r="G9" s="46">
        <f t="shared" si="0"/>
        <v>8241</v>
      </c>
      <c r="H9" s="141">
        <f t="shared" si="1"/>
        <v>74169</v>
      </c>
      <c r="I9" s="140"/>
      <c r="J9" s="140">
        <f t="shared" si="5"/>
        <v>0</v>
      </c>
      <c r="K9" s="140">
        <f t="shared" si="6"/>
        <v>118998</v>
      </c>
      <c r="L9" s="140">
        <f t="shared" si="2"/>
        <v>82410</v>
      </c>
      <c r="M9" s="171"/>
    </row>
    <row r="10" spans="1:13" ht="29.1" customHeight="1">
      <c r="A10" s="336">
        <v>41579</v>
      </c>
      <c r="B10" s="140">
        <v>32</v>
      </c>
      <c r="C10" s="140">
        <v>9120</v>
      </c>
      <c r="D10" s="140">
        <f t="shared" si="3"/>
        <v>334.5</v>
      </c>
      <c r="E10" s="140">
        <f t="shared" si="4"/>
        <v>91530</v>
      </c>
      <c r="F10" s="140"/>
      <c r="G10" s="46">
        <f t="shared" si="0"/>
        <v>9153</v>
      </c>
      <c r="H10" s="141">
        <f t="shared" si="1"/>
        <v>82377</v>
      </c>
      <c r="I10" s="140"/>
      <c r="J10" s="140">
        <f t="shared" si="5"/>
        <v>0</v>
      </c>
      <c r="K10" s="140">
        <f t="shared" si="6"/>
        <v>201375</v>
      </c>
      <c r="L10" s="140">
        <f t="shared" si="2"/>
        <v>91530</v>
      </c>
      <c r="M10" s="171"/>
    </row>
    <row r="11" spans="1:13" ht="29.1" customHeight="1">
      <c r="A11" s="336">
        <v>41609</v>
      </c>
      <c r="B11" s="140">
        <v>271.5</v>
      </c>
      <c r="C11" s="337">
        <v>83310</v>
      </c>
      <c r="D11" s="140">
        <f t="shared" si="3"/>
        <v>606</v>
      </c>
      <c r="E11" s="140">
        <f t="shared" si="4"/>
        <v>174840</v>
      </c>
      <c r="F11" s="140"/>
      <c r="G11" s="46">
        <f t="shared" si="0"/>
        <v>17484</v>
      </c>
      <c r="H11" s="141">
        <f t="shared" si="1"/>
        <v>157356</v>
      </c>
      <c r="I11" s="140"/>
      <c r="J11" s="140">
        <f t="shared" si="5"/>
        <v>0</v>
      </c>
      <c r="K11" s="140">
        <f t="shared" si="6"/>
        <v>358731</v>
      </c>
      <c r="L11" s="140">
        <f t="shared" si="2"/>
        <v>174840</v>
      </c>
      <c r="M11" s="171"/>
    </row>
    <row r="12" spans="1:13" ht="29.1" customHeight="1">
      <c r="A12" s="336">
        <v>41640</v>
      </c>
      <c r="B12" s="140">
        <v>0</v>
      </c>
      <c r="C12" s="140">
        <v>0</v>
      </c>
      <c r="D12" s="140">
        <f t="shared" si="3"/>
        <v>606</v>
      </c>
      <c r="E12" s="140">
        <f t="shared" si="4"/>
        <v>174840</v>
      </c>
      <c r="F12" s="140"/>
      <c r="G12" s="46">
        <f t="shared" si="0"/>
        <v>17484</v>
      </c>
      <c r="H12" s="141">
        <f t="shared" si="1"/>
        <v>157356</v>
      </c>
      <c r="I12" s="140">
        <v>91530</v>
      </c>
      <c r="J12" s="140">
        <f t="shared" si="5"/>
        <v>91530</v>
      </c>
      <c r="K12" s="140">
        <f t="shared" si="6"/>
        <v>424557</v>
      </c>
      <c r="L12" s="140">
        <f t="shared" si="2"/>
        <v>83310</v>
      </c>
      <c r="M12" s="171" t="s">
        <v>4307</v>
      </c>
    </row>
    <row r="13" spans="1:13" ht="29.1" customHeight="1">
      <c r="A13" s="336">
        <v>41671</v>
      </c>
      <c r="B13" s="140"/>
      <c r="C13" s="140"/>
      <c r="D13" s="140">
        <f t="shared" si="3"/>
        <v>606</v>
      </c>
      <c r="E13" s="140">
        <f t="shared" si="4"/>
        <v>174840</v>
      </c>
      <c r="F13" s="140"/>
      <c r="G13" s="46">
        <f t="shared" si="0"/>
        <v>17484</v>
      </c>
      <c r="H13" s="141">
        <f>C12*0.9</f>
        <v>0</v>
      </c>
      <c r="I13" s="47">
        <v>83310</v>
      </c>
      <c r="J13" s="140">
        <f t="shared" si="5"/>
        <v>174840</v>
      </c>
      <c r="K13" s="140">
        <f t="shared" si="6"/>
        <v>341247</v>
      </c>
      <c r="L13" s="140">
        <f t="shared" si="2"/>
        <v>0</v>
      </c>
      <c r="M13" s="171" t="s">
        <v>4308</v>
      </c>
    </row>
    <row r="14" spans="1:13" ht="54" customHeight="1">
      <c r="A14" s="130" t="s">
        <v>4309</v>
      </c>
      <c r="B14" s="131"/>
      <c r="C14" s="132" t="s">
        <v>4310</v>
      </c>
      <c r="D14" s="131" t="s">
        <v>236</v>
      </c>
      <c r="E14" s="2095" t="s">
        <v>4311</v>
      </c>
      <c r="F14" s="2095"/>
      <c r="G14" s="2116"/>
      <c r="H14" s="2116"/>
      <c r="I14" s="164" t="s">
        <v>237</v>
      </c>
      <c r="J14" s="1701" t="s">
        <v>4312</v>
      </c>
      <c r="K14" s="1701"/>
      <c r="L14" s="1701"/>
      <c r="M14" s="165" t="s">
        <v>4313</v>
      </c>
    </row>
    <row r="15" spans="1:13" ht="29.1" customHeight="1">
      <c r="A15" s="133" t="s">
        <v>240</v>
      </c>
      <c r="B15" s="1682" t="s">
        <v>4302</v>
      </c>
      <c r="C15" s="1682"/>
      <c r="D15" s="134" t="s">
        <v>242</v>
      </c>
      <c r="E15" s="1706" t="s">
        <v>4302</v>
      </c>
      <c r="F15" s="1706"/>
      <c r="G15" s="1706"/>
      <c r="H15" s="1706"/>
      <c r="I15" s="166" t="s">
        <v>243</v>
      </c>
      <c r="J15" s="166" t="s">
        <v>4314</v>
      </c>
      <c r="K15" s="310"/>
      <c r="L15" s="166" t="s">
        <v>245</v>
      </c>
      <c r="M15" s="205"/>
    </row>
    <row r="16" spans="1:13" ht="51.95" customHeight="1">
      <c r="A16" s="133" t="s">
        <v>247</v>
      </c>
      <c r="B16" s="1682" t="s">
        <v>4315</v>
      </c>
      <c r="C16" s="1682"/>
      <c r="D16" s="134" t="s">
        <v>249</v>
      </c>
      <c r="E16" s="136" t="s">
        <v>985</v>
      </c>
      <c r="F16" s="134" t="s">
        <v>251</v>
      </c>
      <c r="G16" s="134" t="s">
        <v>4316</v>
      </c>
      <c r="H16" s="134" t="s">
        <v>252</v>
      </c>
      <c r="I16" s="206"/>
      <c r="J16" s="41" t="s">
        <v>565</v>
      </c>
      <c r="K16" s="15" t="s">
        <v>4317</v>
      </c>
      <c r="L16" s="15" t="s">
        <v>255</v>
      </c>
      <c r="M16" s="207" t="s">
        <v>4318</v>
      </c>
    </row>
    <row r="17" spans="1:13" ht="51" customHeight="1">
      <c r="A17" s="133" t="s">
        <v>260</v>
      </c>
      <c r="B17" s="1726" t="s">
        <v>4319</v>
      </c>
      <c r="C17" s="1726"/>
      <c r="D17" s="1726"/>
      <c r="E17" s="1726"/>
      <c r="F17" s="1697" t="s">
        <v>3354</v>
      </c>
      <c r="G17" s="1697"/>
      <c r="H17" s="1697"/>
      <c r="I17" s="1697"/>
      <c r="J17" s="1697" t="s">
        <v>4320</v>
      </c>
      <c r="K17" s="1697"/>
      <c r="L17" s="1697"/>
      <c r="M17" s="170"/>
    </row>
    <row r="18" spans="1:13" ht="36" customHeight="1">
      <c r="A18" s="1688" t="s">
        <v>660</v>
      </c>
      <c r="B18" s="1689"/>
      <c r="C18" s="1689"/>
      <c r="D18" s="1690"/>
      <c r="E18" s="1690"/>
      <c r="F18" s="1690"/>
      <c r="G18" s="1690"/>
      <c r="H18" s="1690"/>
      <c r="I18" s="1690"/>
      <c r="J18" s="169"/>
      <c r="K18" s="169"/>
      <c r="L18" s="169"/>
      <c r="M18" s="264"/>
    </row>
    <row r="19" spans="1:13" ht="38.1" customHeight="1">
      <c r="A19" s="19" t="s">
        <v>266</v>
      </c>
      <c r="B19" s="20" t="s">
        <v>267</v>
      </c>
      <c r="C19" s="20" t="s">
        <v>268</v>
      </c>
      <c r="D19" s="20" t="s">
        <v>269</v>
      </c>
      <c r="E19" s="20" t="s">
        <v>270</v>
      </c>
      <c r="F19" s="20" t="s">
        <v>271</v>
      </c>
      <c r="G19" s="21" t="s">
        <v>272</v>
      </c>
      <c r="H19" s="22" t="s">
        <v>273</v>
      </c>
      <c r="I19" s="20" t="s">
        <v>274</v>
      </c>
      <c r="J19" s="70" t="s">
        <v>275</v>
      </c>
      <c r="K19" s="70" t="s">
        <v>276</v>
      </c>
      <c r="L19" s="20" t="s">
        <v>277</v>
      </c>
      <c r="M19" s="71" t="s">
        <v>278</v>
      </c>
    </row>
    <row r="20" spans="1:13" ht="30" customHeight="1">
      <c r="A20" s="336">
        <v>41640</v>
      </c>
      <c r="B20" s="140">
        <v>4371.5</v>
      </c>
      <c r="C20" s="140">
        <v>1411735</v>
      </c>
      <c r="D20" s="140">
        <f>B20</f>
        <v>4371.5</v>
      </c>
      <c r="E20" s="140">
        <f>C20</f>
        <v>1411735</v>
      </c>
      <c r="F20" s="140"/>
      <c r="G20" s="46">
        <f t="shared" ref="G20:G30" si="7">E20*0.1</f>
        <v>141173.5</v>
      </c>
      <c r="H20" s="141"/>
      <c r="I20" s="140"/>
      <c r="J20" s="140"/>
      <c r="K20" s="140"/>
      <c r="L20" s="140">
        <f t="shared" ref="L20:L41" si="8">E20-J20</f>
        <v>1411735</v>
      </c>
      <c r="M20" s="171"/>
    </row>
    <row r="21" spans="1:13" ht="30" customHeight="1">
      <c r="A21" s="336">
        <v>41671</v>
      </c>
      <c r="B21" s="140">
        <v>3320.5</v>
      </c>
      <c r="C21" s="140">
        <v>1108730</v>
      </c>
      <c r="D21" s="140">
        <f t="shared" ref="D21:D41" si="9">D20+B21</f>
        <v>7692</v>
      </c>
      <c r="E21" s="140">
        <f t="shared" ref="E21:E41" si="10">E20+C21</f>
        <v>2520465</v>
      </c>
      <c r="F21" s="140"/>
      <c r="G21" s="46">
        <f t="shared" si="7"/>
        <v>252046.5</v>
      </c>
      <c r="H21" s="141">
        <f t="shared" ref="H21:H30" si="11">C20*0.9</f>
        <v>1270561.5</v>
      </c>
      <c r="I21" s="140"/>
      <c r="J21" s="140"/>
      <c r="K21" s="140">
        <f t="shared" ref="K21:K41" si="12">K20+H21-I21</f>
        <v>1270561.5</v>
      </c>
      <c r="L21" s="140">
        <f t="shared" si="8"/>
        <v>2520465</v>
      </c>
      <c r="M21" s="171"/>
    </row>
    <row r="22" spans="1:13" ht="30" customHeight="1">
      <c r="A22" s="336">
        <v>41699</v>
      </c>
      <c r="B22" s="140">
        <v>4876</v>
      </c>
      <c r="C22" s="140">
        <v>1636965</v>
      </c>
      <c r="D22" s="140">
        <f t="shared" si="9"/>
        <v>12568</v>
      </c>
      <c r="E22" s="140">
        <f t="shared" si="10"/>
        <v>4157430</v>
      </c>
      <c r="F22" s="140"/>
      <c r="G22" s="46">
        <f t="shared" si="7"/>
        <v>415743</v>
      </c>
      <c r="H22" s="141">
        <f t="shared" si="11"/>
        <v>997857</v>
      </c>
      <c r="I22" s="140">
        <f>116690+700000+55000+145000</f>
        <v>1016690</v>
      </c>
      <c r="J22" s="140">
        <f t="shared" ref="J22:J41" si="13">J21+I22</f>
        <v>1016690</v>
      </c>
      <c r="K22" s="140">
        <f t="shared" si="12"/>
        <v>1251728.5</v>
      </c>
      <c r="L22" s="140">
        <f t="shared" si="8"/>
        <v>3140740</v>
      </c>
      <c r="M22" s="171" t="s">
        <v>4321</v>
      </c>
    </row>
    <row r="23" spans="1:13" ht="30" customHeight="1">
      <c r="A23" s="199">
        <v>41730</v>
      </c>
      <c r="B23" s="200">
        <v>5705.5</v>
      </c>
      <c r="C23" s="200">
        <v>1888035</v>
      </c>
      <c r="D23" s="200">
        <f t="shared" si="9"/>
        <v>18273.5</v>
      </c>
      <c r="E23" s="200">
        <f t="shared" si="10"/>
        <v>6045465</v>
      </c>
      <c r="F23" s="200"/>
      <c r="G23" s="180">
        <f t="shared" si="7"/>
        <v>604546.5</v>
      </c>
      <c r="H23" s="201">
        <f t="shared" si="11"/>
        <v>1473268.5</v>
      </c>
      <c r="I23" s="200">
        <v>1753871.5</v>
      </c>
      <c r="J23" s="200">
        <f t="shared" si="13"/>
        <v>2770561.5</v>
      </c>
      <c r="K23" s="200">
        <f t="shared" si="12"/>
        <v>971125.5</v>
      </c>
      <c r="L23" s="200">
        <f t="shared" si="8"/>
        <v>3274903.5</v>
      </c>
      <c r="M23" s="210" t="s">
        <v>4322</v>
      </c>
    </row>
    <row r="24" spans="1:13" ht="32.1" customHeight="1">
      <c r="A24" s="202">
        <v>41760</v>
      </c>
      <c r="B24" s="200">
        <v>2652.5</v>
      </c>
      <c r="C24" s="200">
        <v>850667.5</v>
      </c>
      <c r="D24" s="200">
        <f t="shared" si="9"/>
        <v>20926</v>
      </c>
      <c r="E24" s="200">
        <f t="shared" si="10"/>
        <v>6896132.5</v>
      </c>
      <c r="F24" s="200"/>
      <c r="G24" s="180">
        <f t="shared" si="7"/>
        <v>689613.25</v>
      </c>
      <c r="H24" s="201">
        <f t="shared" si="11"/>
        <v>1699231.5</v>
      </c>
      <c r="I24" s="200">
        <f>969919.5+699231.5</f>
        <v>1669151</v>
      </c>
      <c r="J24" s="200">
        <f t="shared" si="13"/>
        <v>4439712.5</v>
      </c>
      <c r="K24" s="200">
        <f t="shared" si="12"/>
        <v>1001206</v>
      </c>
      <c r="L24" s="200">
        <f t="shared" si="8"/>
        <v>2456420</v>
      </c>
      <c r="M24" s="210" t="s">
        <v>4323</v>
      </c>
    </row>
    <row r="25" spans="1:13" ht="32.1" customHeight="1">
      <c r="A25" s="202">
        <v>41791</v>
      </c>
      <c r="B25" s="200">
        <v>2216.5</v>
      </c>
      <c r="C25" s="200">
        <v>705442.5</v>
      </c>
      <c r="D25" s="200">
        <f t="shared" si="9"/>
        <v>23142.5</v>
      </c>
      <c r="E25" s="200">
        <f t="shared" si="10"/>
        <v>7601575</v>
      </c>
      <c r="F25" s="200"/>
      <c r="G25" s="180">
        <f t="shared" si="7"/>
        <v>760157.5</v>
      </c>
      <c r="H25" s="201">
        <f t="shared" si="11"/>
        <v>765600.75</v>
      </c>
      <c r="I25" s="200">
        <v>1000000</v>
      </c>
      <c r="J25" s="200">
        <f t="shared" si="13"/>
        <v>5439712.5</v>
      </c>
      <c r="K25" s="200">
        <f t="shared" si="12"/>
        <v>766806.75</v>
      </c>
      <c r="L25" s="200">
        <f t="shared" si="8"/>
        <v>2161862.5</v>
      </c>
      <c r="M25" s="210" t="s">
        <v>4324</v>
      </c>
    </row>
    <row r="26" spans="1:13" ht="32.1" customHeight="1">
      <c r="A26" s="202">
        <v>41821</v>
      </c>
      <c r="B26" s="200">
        <v>1378</v>
      </c>
      <c r="C26" s="200">
        <v>456775</v>
      </c>
      <c r="D26" s="200">
        <f t="shared" si="9"/>
        <v>24520.5</v>
      </c>
      <c r="E26" s="200">
        <f t="shared" si="10"/>
        <v>8058350</v>
      </c>
      <c r="F26" s="200"/>
      <c r="G26" s="180">
        <f t="shared" si="7"/>
        <v>805835</v>
      </c>
      <c r="H26" s="201">
        <f t="shared" si="11"/>
        <v>634898.25</v>
      </c>
      <c r="I26" s="200">
        <v>766940.75</v>
      </c>
      <c r="J26" s="200">
        <f t="shared" si="13"/>
        <v>6206653.25</v>
      </c>
      <c r="K26" s="200">
        <f t="shared" si="12"/>
        <v>634764.25</v>
      </c>
      <c r="L26" s="200">
        <f t="shared" si="8"/>
        <v>1851696.75</v>
      </c>
      <c r="M26" s="210" t="s">
        <v>4325</v>
      </c>
    </row>
    <row r="27" spans="1:13" ht="32.1" customHeight="1">
      <c r="A27" s="202">
        <v>41852</v>
      </c>
      <c r="B27" s="338">
        <v>755.5</v>
      </c>
      <c r="C27" s="338">
        <v>249252.5</v>
      </c>
      <c r="D27" s="200">
        <f t="shared" si="9"/>
        <v>25276</v>
      </c>
      <c r="E27" s="200">
        <f t="shared" si="10"/>
        <v>8307602.5</v>
      </c>
      <c r="F27" s="338"/>
      <c r="G27" s="180">
        <f t="shared" si="7"/>
        <v>830760.25</v>
      </c>
      <c r="H27" s="201">
        <f t="shared" si="11"/>
        <v>411097.5</v>
      </c>
      <c r="I27" s="338">
        <v>634898.25</v>
      </c>
      <c r="J27" s="200">
        <f t="shared" si="13"/>
        <v>6841551.5</v>
      </c>
      <c r="K27" s="200">
        <f t="shared" si="12"/>
        <v>410963.5</v>
      </c>
      <c r="L27" s="200">
        <f t="shared" si="8"/>
        <v>1466051</v>
      </c>
      <c r="M27" s="345"/>
    </row>
    <row r="28" spans="1:13" ht="32.1" customHeight="1">
      <c r="A28" s="202">
        <v>41883</v>
      </c>
      <c r="B28" s="338">
        <v>316.5</v>
      </c>
      <c r="C28" s="338">
        <v>96555</v>
      </c>
      <c r="D28" s="200">
        <f t="shared" si="9"/>
        <v>25592.5</v>
      </c>
      <c r="E28" s="200">
        <f t="shared" si="10"/>
        <v>8404157.5</v>
      </c>
      <c r="F28" s="338"/>
      <c r="G28" s="180">
        <f t="shared" si="7"/>
        <v>840415.75</v>
      </c>
      <c r="H28" s="201">
        <f t="shared" si="11"/>
        <v>224327.25</v>
      </c>
      <c r="I28" s="338">
        <f>200000</f>
        <v>200000</v>
      </c>
      <c r="J28" s="200">
        <f t="shared" si="13"/>
        <v>7041551.5</v>
      </c>
      <c r="K28" s="200">
        <f t="shared" si="12"/>
        <v>435290.75</v>
      </c>
      <c r="L28" s="200">
        <f t="shared" si="8"/>
        <v>1362606</v>
      </c>
      <c r="M28" s="346" t="s">
        <v>4326</v>
      </c>
    </row>
    <row r="29" spans="1:13" ht="32.1" customHeight="1">
      <c r="A29" s="202">
        <v>41913</v>
      </c>
      <c r="B29" s="338">
        <v>154</v>
      </c>
      <c r="C29" s="338">
        <v>45650</v>
      </c>
      <c r="D29" s="200">
        <f t="shared" si="9"/>
        <v>25746.5</v>
      </c>
      <c r="E29" s="200">
        <f t="shared" si="10"/>
        <v>8449807.5</v>
      </c>
      <c r="F29" s="338"/>
      <c r="G29" s="180">
        <f t="shared" si="7"/>
        <v>844980.75</v>
      </c>
      <c r="H29" s="201">
        <f t="shared" si="11"/>
        <v>86899.5</v>
      </c>
      <c r="I29" s="338">
        <v>211097.5</v>
      </c>
      <c r="J29" s="200">
        <f t="shared" si="13"/>
        <v>7252649</v>
      </c>
      <c r="K29" s="200">
        <f t="shared" si="12"/>
        <v>311092.75</v>
      </c>
      <c r="L29" s="200">
        <f t="shared" si="8"/>
        <v>1197158.5</v>
      </c>
      <c r="M29" s="346" t="s">
        <v>4327</v>
      </c>
    </row>
    <row r="30" spans="1:13" ht="30.95" customHeight="1">
      <c r="A30" s="202">
        <v>41944</v>
      </c>
      <c r="B30" s="338">
        <v>1048.5</v>
      </c>
      <c r="C30" s="338">
        <v>358312.5</v>
      </c>
      <c r="D30" s="200">
        <f t="shared" si="9"/>
        <v>26795</v>
      </c>
      <c r="E30" s="200">
        <f t="shared" si="10"/>
        <v>8808120</v>
      </c>
      <c r="F30" s="338"/>
      <c r="G30" s="180">
        <f t="shared" si="7"/>
        <v>880812</v>
      </c>
      <c r="H30" s="201">
        <f t="shared" si="11"/>
        <v>41085</v>
      </c>
      <c r="I30" s="338">
        <v>352311.75</v>
      </c>
      <c r="J30" s="200">
        <f t="shared" si="13"/>
        <v>7604960.75</v>
      </c>
      <c r="K30" s="200">
        <f t="shared" si="12"/>
        <v>-134</v>
      </c>
      <c r="L30" s="200">
        <f t="shared" si="8"/>
        <v>1203159.25</v>
      </c>
      <c r="M30" s="345" t="s">
        <v>4328</v>
      </c>
    </row>
    <row r="31" spans="1:13" ht="30.95" customHeight="1">
      <c r="A31" s="202">
        <v>41974</v>
      </c>
      <c r="B31" s="338">
        <v>1033</v>
      </c>
      <c r="C31" s="338">
        <v>355980</v>
      </c>
      <c r="D31" s="200">
        <f t="shared" si="9"/>
        <v>27828</v>
      </c>
      <c r="E31" s="200">
        <f t="shared" si="10"/>
        <v>9164100</v>
      </c>
      <c r="F31" s="338"/>
      <c r="G31" s="180"/>
      <c r="H31" s="201">
        <f>C30*0.9+E30*0.1</f>
        <v>1203293.25</v>
      </c>
      <c r="I31" s="338"/>
      <c r="J31" s="200">
        <f t="shared" si="13"/>
        <v>7604960.75</v>
      </c>
      <c r="K31" s="200">
        <f t="shared" si="12"/>
        <v>1203159.25</v>
      </c>
      <c r="L31" s="200">
        <f t="shared" si="8"/>
        <v>1559139.25</v>
      </c>
      <c r="M31" s="345"/>
    </row>
    <row r="32" spans="1:13" ht="30.95" customHeight="1">
      <c r="A32" s="339">
        <v>42005</v>
      </c>
      <c r="B32" s="338">
        <v>683.5</v>
      </c>
      <c r="C32" s="338">
        <v>234640</v>
      </c>
      <c r="D32" s="200">
        <f t="shared" si="9"/>
        <v>28511.5</v>
      </c>
      <c r="E32" s="200">
        <f t="shared" si="10"/>
        <v>9398740</v>
      </c>
      <c r="F32" s="338"/>
      <c r="G32" s="340"/>
      <c r="H32" s="201">
        <f t="shared" ref="H32:H38" si="14">C31</f>
        <v>355980</v>
      </c>
      <c r="I32" s="338">
        <v>322481.25</v>
      </c>
      <c r="J32" s="200">
        <f t="shared" si="13"/>
        <v>7927442</v>
      </c>
      <c r="K32" s="200">
        <f t="shared" si="12"/>
        <v>1236658</v>
      </c>
      <c r="L32" s="200">
        <f t="shared" si="8"/>
        <v>1471298</v>
      </c>
      <c r="M32" s="345" t="s">
        <v>4329</v>
      </c>
    </row>
    <row r="33" spans="1:13" ht="30.95" customHeight="1">
      <c r="A33" s="339">
        <v>42037</v>
      </c>
      <c r="B33" s="338">
        <v>0</v>
      </c>
      <c r="C33" s="338">
        <v>0</v>
      </c>
      <c r="D33" s="200">
        <f t="shared" si="9"/>
        <v>28511.5</v>
      </c>
      <c r="E33" s="200">
        <f t="shared" si="10"/>
        <v>9398740</v>
      </c>
      <c r="F33" s="338"/>
      <c r="G33" s="340"/>
      <c r="H33" s="201">
        <f t="shared" si="14"/>
        <v>234640</v>
      </c>
      <c r="I33" s="338">
        <v>531558</v>
      </c>
      <c r="J33" s="200">
        <f t="shared" si="13"/>
        <v>8459000</v>
      </c>
      <c r="K33" s="200">
        <f t="shared" si="12"/>
        <v>939740</v>
      </c>
      <c r="L33" s="200">
        <f t="shared" si="8"/>
        <v>939740</v>
      </c>
      <c r="M33" s="347" t="s">
        <v>4330</v>
      </c>
    </row>
    <row r="34" spans="1:13" ht="30.95" customHeight="1">
      <c r="A34" s="339">
        <v>42156</v>
      </c>
      <c r="B34" s="338">
        <v>5</v>
      </c>
      <c r="C34" s="338">
        <v>1525</v>
      </c>
      <c r="D34" s="200">
        <f t="shared" si="9"/>
        <v>28516.5</v>
      </c>
      <c r="E34" s="200">
        <f t="shared" si="10"/>
        <v>9400265</v>
      </c>
      <c r="F34" s="338"/>
      <c r="G34" s="340"/>
      <c r="H34" s="201">
        <f t="shared" si="14"/>
        <v>0</v>
      </c>
      <c r="I34" s="338">
        <v>400000</v>
      </c>
      <c r="J34" s="200">
        <f t="shared" si="13"/>
        <v>8859000</v>
      </c>
      <c r="K34" s="200">
        <f t="shared" si="12"/>
        <v>539740</v>
      </c>
      <c r="L34" s="213">
        <f t="shared" si="8"/>
        <v>541265</v>
      </c>
      <c r="M34" s="214" t="s">
        <v>4331</v>
      </c>
    </row>
    <row r="35" spans="1:13" ht="30.95" customHeight="1">
      <c r="A35" s="341">
        <v>42217</v>
      </c>
      <c r="B35" s="338">
        <v>20</v>
      </c>
      <c r="C35" s="338">
        <v>6000</v>
      </c>
      <c r="D35" s="200">
        <f t="shared" si="9"/>
        <v>28536.5</v>
      </c>
      <c r="E35" s="200">
        <f t="shared" si="10"/>
        <v>9406265</v>
      </c>
      <c r="F35" s="338"/>
      <c r="G35" s="340"/>
      <c r="H35" s="201">
        <f t="shared" si="14"/>
        <v>1525</v>
      </c>
      <c r="I35" s="338">
        <v>150000</v>
      </c>
      <c r="J35" s="200">
        <f t="shared" si="13"/>
        <v>9009000</v>
      </c>
      <c r="K35" s="200">
        <f t="shared" si="12"/>
        <v>391265</v>
      </c>
      <c r="L35" s="213">
        <f t="shared" si="8"/>
        <v>397265</v>
      </c>
      <c r="M35" s="214" t="s">
        <v>4332</v>
      </c>
    </row>
    <row r="36" spans="1:13" ht="30.95" customHeight="1">
      <c r="A36" s="341">
        <v>42248</v>
      </c>
      <c r="B36" s="338">
        <v>0</v>
      </c>
      <c r="C36" s="338">
        <v>0</v>
      </c>
      <c r="D36" s="200">
        <f t="shared" si="9"/>
        <v>28536.5</v>
      </c>
      <c r="E36" s="200">
        <f t="shared" si="10"/>
        <v>9406265</v>
      </c>
      <c r="F36" s="338"/>
      <c r="G36" s="340"/>
      <c r="H36" s="201">
        <f t="shared" si="14"/>
        <v>6000</v>
      </c>
      <c r="I36" s="338">
        <v>50000</v>
      </c>
      <c r="J36" s="200">
        <f t="shared" si="13"/>
        <v>9059000</v>
      </c>
      <c r="K36" s="200">
        <f t="shared" si="12"/>
        <v>347265</v>
      </c>
      <c r="L36" s="213">
        <f t="shared" si="8"/>
        <v>347265</v>
      </c>
      <c r="M36" s="214" t="s">
        <v>4333</v>
      </c>
    </row>
    <row r="37" spans="1:13" ht="30.95" customHeight="1">
      <c r="A37" s="341">
        <v>42339</v>
      </c>
      <c r="B37" s="338">
        <v>0</v>
      </c>
      <c r="C37" s="338">
        <v>0</v>
      </c>
      <c r="D37" s="200">
        <f t="shared" si="9"/>
        <v>28536.5</v>
      </c>
      <c r="E37" s="200">
        <f t="shared" si="10"/>
        <v>9406265</v>
      </c>
      <c r="F37" s="338"/>
      <c r="G37" s="340"/>
      <c r="H37" s="201">
        <f t="shared" si="14"/>
        <v>0</v>
      </c>
      <c r="I37" s="338">
        <v>50000</v>
      </c>
      <c r="J37" s="200">
        <f t="shared" si="13"/>
        <v>9109000</v>
      </c>
      <c r="K37" s="200">
        <f t="shared" si="12"/>
        <v>297265</v>
      </c>
      <c r="L37" s="213">
        <f t="shared" si="8"/>
        <v>297265</v>
      </c>
      <c r="M37" s="214" t="s">
        <v>4334</v>
      </c>
    </row>
    <row r="38" spans="1:13" ht="30.95" customHeight="1">
      <c r="A38" s="341">
        <v>42583</v>
      </c>
      <c r="B38" s="338">
        <v>0</v>
      </c>
      <c r="C38" s="338">
        <v>0</v>
      </c>
      <c r="D38" s="200">
        <f t="shared" si="9"/>
        <v>28536.5</v>
      </c>
      <c r="E38" s="200">
        <f t="shared" si="10"/>
        <v>9406265</v>
      </c>
      <c r="F38" s="338"/>
      <c r="G38" s="340"/>
      <c r="H38" s="201">
        <f t="shared" si="14"/>
        <v>0</v>
      </c>
      <c r="I38" s="338">
        <v>50000</v>
      </c>
      <c r="J38" s="200">
        <f t="shared" si="13"/>
        <v>9159000</v>
      </c>
      <c r="K38" s="200">
        <f t="shared" si="12"/>
        <v>247265</v>
      </c>
      <c r="L38" s="213">
        <f t="shared" si="8"/>
        <v>247265</v>
      </c>
      <c r="M38" s="214" t="s">
        <v>4335</v>
      </c>
    </row>
    <row r="39" spans="1:13" ht="30.95" customHeight="1">
      <c r="A39" s="341">
        <v>42584</v>
      </c>
      <c r="B39" s="200"/>
      <c r="C39" s="200"/>
      <c r="D39" s="200">
        <f t="shared" si="9"/>
        <v>28536.5</v>
      </c>
      <c r="E39" s="200">
        <f t="shared" si="10"/>
        <v>9406265</v>
      </c>
      <c r="F39" s="200"/>
      <c r="G39" s="180"/>
      <c r="H39" s="201"/>
      <c r="I39" s="338">
        <v>50000</v>
      </c>
      <c r="J39" s="200">
        <f t="shared" si="13"/>
        <v>9209000</v>
      </c>
      <c r="K39" s="200">
        <f t="shared" si="12"/>
        <v>197265</v>
      </c>
      <c r="L39" s="213">
        <f t="shared" si="8"/>
        <v>197265</v>
      </c>
      <c r="M39" s="214" t="s">
        <v>4336</v>
      </c>
    </row>
    <row r="40" spans="1:13" ht="30.95" customHeight="1">
      <c r="A40" s="341">
        <v>42738</v>
      </c>
      <c r="B40" s="200">
        <v>0</v>
      </c>
      <c r="C40" s="200">
        <v>0</v>
      </c>
      <c r="D40" s="200">
        <f t="shared" si="9"/>
        <v>28536.5</v>
      </c>
      <c r="E40" s="200">
        <f t="shared" si="10"/>
        <v>9406265</v>
      </c>
      <c r="F40" s="200"/>
      <c r="G40" s="180"/>
      <c r="H40" s="201"/>
      <c r="I40" s="338">
        <v>50000</v>
      </c>
      <c r="J40" s="200">
        <f t="shared" si="13"/>
        <v>9259000</v>
      </c>
      <c r="K40" s="200">
        <f t="shared" si="12"/>
        <v>147265</v>
      </c>
      <c r="L40" s="213">
        <f t="shared" si="8"/>
        <v>147265</v>
      </c>
      <c r="M40" s="348" t="s">
        <v>4337</v>
      </c>
    </row>
    <row r="41" spans="1:13" ht="30.95" customHeight="1">
      <c r="A41" s="341">
        <v>42917</v>
      </c>
      <c r="B41" s="200">
        <v>1</v>
      </c>
      <c r="C41" s="200">
        <v>1</v>
      </c>
      <c r="D41" s="200">
        <f t="shared" si="9"/>
        <v>28537.5</v>
      </c>
      <c r="E41" s="200">
        <f t="shared" si="10"/>
        <v>9406266</v>
      </c>
      <c r="F41" s="342"/>
      <c r="G41" s="343"/>
      <c r="H41" s="344"/>
      <c r="I41" s="342">
        <f>147000+265</f>
        <v>147265</v>
      </c>
      <c r="J41" s="200">
        <f t="shared" si="13"/>
        <v>9406265</v>
      </c>
      <c r="K41" s="200">
        <f t="shared" si="12"/>
        <v>0</v>
      </c>
      <c r="L41" s="213">
        <f t="shared" si="8"/>
        <v>1</v>
      </c>
      <c r="M41" t="s">
        <v>4338</v>
      </c>
    </row>
    <row r="42" spans="1:13" ht="29.1" customHeight="1"/>
  </sheetData>
  <mergeCells count="24">
    <mergeCell ref="B17:E17"/>
    <mergeCell ref="F17:I17"/>
    <mergeCell ref="J17:L17"/>
    <mergeCell ref="A18:C18"/>
    <mergeCell ref="D18:F18"/>
    <mergeCell ref="G18:I18"/>
    <mergeCell ref="E14:F14"/>
    <mergeCell ref="G14:H14"/>
    <mergeCell ref="J14:L14"/>
    <mergeCell ref="B15:C15"/>
    <mergeCell ref="E15:H15"/>
    <mergeCell ref="B16:C16"/>
    <mergeCell ref="B4:E4"/>
    <mergeCell ref="F4:I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C00000"/>
  </sheetPr>
  <dimension ref="A1:M26"/>
  <sheetViews>
    <sheetView topLeftCell="A19" zoomScaleSheetLayoutView="100" workbookViewId="0">
      <selection activeCell="E2" sqref="E2:H2"/>
    </sheetView>
  </sheetViews>
  <sheetFormatPr defaultColWidth="9" defaultRowHeight="14.25"/>
  <cols>
    <col min="1" max="1" width="13.125" customWidth="1"/>
    <col min="2" max="2" width="14" customWidth="1"/>
    <col min="3" max="3" width="17.625" customWidth="1"/>
    <col min="4" max="4" width="15.25" customWidth="1"/>
    <col min="5" max="5" width="15.375" customWidth="1"/>
    <col min="6" max="6" width="11.25" customWidth="1"/>
    <col min="7" max="7" width="13.5" customWidth="1"/>
    <col min="8" max="8" width="14.25" customWidth="1"/>
    <col min="9" max="9" width="17.25" customWidth="1"/>
    <col min="10" max="10" width="14.375" customWidth="1"/>
    <col min="11" max="11" width="16" customWidth="1"/>
    <col min="12" max="12" width="15" customWidth="1"/>
    <col min="13" max="13" width="40.75" customWidth="1"/>
  </cols>
  <sheetData>
    <row r="1" spans="1:13" s="328" customFormat="1" ht="93.95" customHeight="1">
      <c r="A1" s="130" t="s">
        <v>556</v>
      </c>
      <c r="B1" s="194">
        <v>42212</v>
      </c>
      <c r="C1" s="329" t="s">
        <v>4339</v>
      </c>
      <c r="D1" s="131" t="s">
        <v>236</v>
      </c>
      <c r="E1" s="2095" t="s">
        <v>4340</v>
      </c>
      <c r="F1" s="2095"/>
      <c r="G1" s="2116" t="s">
        <v>4341</v>
      </c>
      <c r="H1" s="2116"/>
      <c r="I1" s="164" t="s">
        <v>4342</v>
      </c>
      <c r="J1" s="1701" t="s">
        <v>4343</v>
      </c>
      <c r="K1" s="2229"/>
      <c r="L1" s="2229"/>
      <c r="M1" s="239" t="s">
        <v>4344</v>
      </c>
    </row>
    <row r="2" spans="1:13" s="328" customFormat="1" ht="50.1" customHeight="1">
      <c r="A2" s="133" t="s">
        <v>240</v>
      </c>
      <c r="B2" s="1682" t="s">
        <v>1283</v>
      </c>
      <c r="C2" s="1682"/>
      <c r="D2" s="134" t="s">
        <v>242</v>
      </c>
      <c r="E2" s="1706"/>
      <c r="F2" s="1706"/>
      <c r="G2" s="1706"/>
      <c r="H2" s="1706"/>
      <c r="I2" s="166" t="s">
        <v>243</v>
      </c>
      <c r="J2" s="1707" t="s">
        <v>421</v>
      </c>
      <c r="K2" s="1708"/>
      <c r="L2" s="166" t="s">
        <v>245</v>
      </c>
      <c r="M2" s="205" t="s">
        <v>4345</v>
      </c>
    </row>
    <row r="3" spans="1:13" s="328" customFormat="1" ht="51.95" customHeight="1">
      <c r="A3" s="133" t="s">
        <v>247</v>
      </c>
      <c r="B3" s="1682" t="s">
        <v>4346</v>
      </c>
      <c r="C3" s="1682"/>
      <c r="D3" s="134" t="s">
        <v>249</v>
      </c>
      <c r="E3" s="197">
        <v>20000</v>
      </c>
      <c r="F3" s="134" t="s">
        <v>251</v>
      </c>
      <c r="G3" s="134" t="s">
        <v>4347</v>
      </c>
      <c r="H3" s="134" t="s">
        <v>252</v>
      </c>
      <c r="I3" s="206" t="s">
        <v>4348</v>
      </c>
      <c r="J3" s="41" t="s">
        <v>565</v>
      </c>
      <c r="K3" s="15" t="s">
        <v>4349</v>
      </c>
      <c r="L3" s="15" t="s">
        <v>255</v>
      </c>
      <c r="M3" s="207" t="s">
        <v>4350</v>
      </c>
    </row>
    <row r="4" spans="1:13" s="328" customFormat="1" ht="89.1" customHeight="1">
      <c r="A4" s="133" t="s">
        <v>260</v>
      </c>
      <c r="B4" s="1726" t="s">
        <v>4351</v>
      </c>
      <c r="C4" s="1726"/>
      <c r="D4" s="1726"/>
      <c r="E4" s="1726"/>
      <c r="F4" s="1726" t="s">
        <v>4352</v>
      </c>
      <c r="G4" s="1726"/>
      <c r="H4" s="1726"/>
      <c r="I4" s="1726"/>
      <c r="J4" s="1726" t="s">
        <v>4353</v>
      </c>
      <c r="K4" s="1726"/>
      <c r="L4" s="1726"/>
      <c r="M4" s="208"/>
    </row>
    <row r="5" spans="1:13" s="328" customFormat="1" ht="36" customHeight="1">
      <c r="A5" s="1688" t="s">
        <v>660</v>
      </c>
      <c r="B5" s="1689"/>
      <c r="C5" s="1689"/>
      <c r="D5" s="1690"/>
      <c r="E5" s="1690"/>
      <c r="F5" s="1690"/>
      <c r="G5" s="1690"/>
      <c r="H5" s="1690"/>
      <c r="I5" s="1690"/>
      <c r="J5" s="138"/>
      <c r="K5" s="138"/>
      <c r="L5" s="138"/>
      <c r="M5" s="209"/>
    </row>
    <row r="6" spans="1:13" ht="38.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42125</v>
      </c>
      <c r="B7" s="200">
        <v>69</v>
      </c>
      <c r="C7" s="200">
        <v>19948</v>
      </c>
      <c r="D7" s="200">
        <f>B7</f>
        <v>69</v>
      </c>
      <c r="E7" s="200">
        <f>C7</f>
        <v>19948</v>
      </c>
      <c r="F7" s="200"/>
      <c r="G7" s="180">
        <f>E7</f>
        <v>19948</v>
      </c>
      <c r="H7" s="201"/>
      <c r="I7" s="200"/>
      <c r="J7" s="200"/>
      <c r="K7" s="200"/>
      <c r="L7" s="200">
        <f t="shared" ref="L7:L26" si="0">E7-J7</f>
        <v>19948</v>
      </c>
      <c r="M7" s="210"/>
    </row>
    <row r="8" spans="1:13" ht="30" customHeight="1">
      <c r="A8" s="199">
        <v>42156</v>
      </c>
      <c r="B8" s="200">
        <v>17</v>
      </c>
      <c r="C8" s="200">
        <v>5984</v>
      </c>
      <c r="D8" s="200">
        <f t="shared" ref="D8:D26" si="1">D7+B8</f>
        <v>86</v>
      </c>
      <c r="E8" s="200">
        <f t="shared" ref="E8:E26" si="2">C8+E7</f>
        <v>25932</v>
      </c>
      <c r="F8" s="200"/>
      <c r="G8" s="180">
        <f t="shared" ref="G8:G16" si="3">E8*0.2</f>
        <v>5186.4000000000005</v>
      </c>
      <c r="H8" s="201">
        <f t="shared" ref="H8:H17" si="4">C7*0.8</f>
        <v>15958.400000000001</v>
      </c>
      <c r="I8" s="200"/>
      <c r="J8" s="200">
        <f>I8</f>
        <v>0</v>
      </c>
      <c r="K8" s="200">
        <f t="shared" ref="K8:K25" si="5">K7+H8-I8</f>
        <v>15958.400000000001</v>
      </c>
      <c r="L8" s="200">
        <f t="shared" si="0"/>
        <v>25932</v>
      </c>
      <c r="M8" s="210"/>
    </row>
    <row r="9" spans="1:13" ht="30" customHeight="1">
      <c r="A9" s="199">
        <v>42186</v>
      </c>
      <c r="B9" s="200">
        <v>138.5</v>
      </c>
      <c r="C9" s="200">
        <v>45093.25</v>
      </c>
      <c r="D9" s="200">
        <f t="shared" si="1"/>
        <v>224.5</v>
      </c>
      <c r="E9" s="200">
        <f t="shared" si="2"/>
        <v>71025.25</v>
      </c>
      <c r="F9" s="200"/>
      <c r="G9" s="180">
        <f t="shared" si="3"/>
        <v>14205.050000000001</v>
      </c>
      <c r="H9" s="201">
        <f t="shared" si="4"/>
        <v>4787.2</v>
      </c>
      <c r="I9" s="200"/>
      <c r="J9" s="200">
        <f>J8+I9</f>
        <v>0</v>
      </c>
      <c r="K9" s="200">
        <f t="shared" si="5"/>
        <v>20745.600000000002</v>
      </c>
      <c r="L9" s="200">
        <f t="shared" si="0"/>
        <v>71025.25</v>
      </c>
      <c r="M9" s="210"/>
    </row>
    <row r="10" spans="1:13" ht="30" customHeight="1">
      <c r="A10" s="199">
        <v>42217</v>
      </c>
      <c r="B10" s="200">
        <v>1595</v>
      </c>
      <c r="C10" s="200">
        <v>470572.5</v>
      </c>
      <c r="D10" s="200">
        <f t="shared" si="1"/>
        <v>1819.5</v>
      </c>
      <c r="E10" s="200">
        <f t="shared" si="2"/>
        <v>541597.75</v>
      </c>
      <c r="F10" s="200"/>
      <c r="G10" s="180">
        <f t="shared" si="3"/>
        <v>108319.55</v>
      </c>
      <c r="H10" s="201">
        <f t="shared" si="4"/>
        <v>36074.6</v>
      </c>
      <c r="I10" s="200"/>
      <c r="J10" s="200">
        <f>J9+I10</f>
        <v>0</v>
      </c>
      <c r="K10" s="200">
        <f t="shared" si="5"/>
        <v>56820.2</v>
      </c>
      <c r="L10" s="200">
        <f t="shared" si="0"/>
        <v>541597.75</v>
      </c>
      <c r="M10" s="210"/>
    </row>
    <row r="11" spans="1:13" ht="30" customHeight="1">
      <c r="A11" s="217">
        <v>42248</v>
      </c>
      <c r="B11" s="200">
        <v>5381</v>
      </c>
      <c r="C11" s="200">
        <v>1633027.5</v>
      </c>
      <c r="D11" s="200">
        <f t="shared" si="1"/>
        <v>7200.5</v>
      </c>
      <c r="E11" s="200">
        <f t="shared" si="2"/>
        <v>2174625.25</v>
      </c>
      <c r="F11" s="200"/>
      <c r="G11" s="180">
        <f t="shared" si="3"/>
        <v>434925.05000000005</v>
      </c>
      <c r="H11" s="201">
        <f t="shared" si="4"/>
        <v>376458</v>
      </c>
      <c r="I11" s="200">
        <v>433278</v>
      </c>
      <c r="J11" s="200">
        <f t="shared" ref="J11:J26" si="6">I11+J10</f>
        <v>433278</v>
      </c>
      <c r="K11" s="200">
        <f t="shared" si="5"/>
        <v>0.20000000001164153</v>
      </c>
      <c r="L11" s="200">
        <f t="shared" si="0"/>
        <v>1741347.25</v>
      </c>
      <c r="M11" s="210"/>
    </row>
    <row r="12" spans="1:13" ht="30" customHeight="1">
      <c r="A12" s="217">
        <v>42278</v>
      </c>
      <c r="B12" s="200">
        <v>3652</v>
      </c>
      <c r="C12" s="200">
        <v>1142465</v>
      </c>
      <c r="D12" s="200">
        <f t="shared" si="1"/>
        <v>10852.5</v>
      </c>
      <c r="E12" s="200">
        <f t="shared" si="2"/>
        <v>3317090.25</v>
      </c>
      <c r="F12" s="200"/>
      <c r="G12" s="180">
        <f t="shared" si="3"/>
        <v>663418.05000000005</v>
      </c>
      <c r="H12" s="201">
        <f t="shared" si="4"/>
        <v>1306422</v>
      </c>
      <c r="I12" s="200">
        <v>1306422</v>
      </c>
      <c r="J12" s="200">
        <f t="shared" si="6"/>
        <v>1739700</v>
      </c>
      <c r="K12" s="200">
        <f t="shared" si="5"/>
        <v>0.19999999995343387</v>
      </c>
      <c r="L12" s="200">
        <f t="shared" si="0"/>
        <v>1577390.25</v>
      </c>
      <c r="M12" s="210" t="s">
        <v>4354</v>
      </c>
    </row>
    <row r="13" spans="1:13" ht="30" customHeight="1">
      <c r="A13" s="217">
        <v>42309</v>
      </c>
      <c r="B13" s="200">
        <v>3509</v>
      </c>
      <c r="C13" s="200">
        <v>1057457</v>
      </c>
      <c r="D13" s="200">
        <f t="shared" si="1"/>
        <v>14361.5</v>
      </c>
      <c r="E13" s="200">
        <f t="shared" si="2"/>
        <v>4374547.25</v>
      </c>
      <c r="F13" s="200"/>
      <c r="G13" s="180">
        <f t="shared" si="3"/>
        <v>874909.45000000007</v>
      </c>
      <c r="H13" s="201">
        <f t="shared" si="4"/>
        <v>913972</v>
      </c>
      <c r="I13" s="200"/>
      <c r="J13" s="200">
        <f t="shared" si="6"/>
        <v>1739700</v>
      </c>
      <c r="K13" s="200">
        <f t="shared" si="5"/>
        <v>913972.2</v>
      </c>
      <c r="L13" s="200">
        <f t="shared" si="0"/>
        <v>2634847.25</v>
      </c>
      <c r="M13" s="210" t="s">
        <v>4355</v>
      </c>
    </row>
    <row r="14" spans="1:13" ht="30" customHeight="1">
      <c r="A14" s="217">
        <v>42339</v>
      </c>
      <c r="B14" s="200">
        <v>4115.5</v>
      </c>
      <c r="C14" s="200">
        <v>1204769</v>
      </c>
      <c r="D14" s="200">
        <f t="shared" si="1"/>
        <v>18477</v>
      </c>
      <c r="E14" s="200">
        <f t="shared" si="2"/>
        <v>5579316.25</v>
      </c>
      <c r="F14" s="200"/>
      <c r="G14" s="180">
        <f t="shared" si="3"/>
        <v>1115863.25</v>
      </c>
      <c r="H14" s="201">
        <f t="shared" si="4"/>
        <v>845965.60000000009</v>
      </c>
      <c r="I14" s="200">
        <v>1759937.8</v>
      </c>
      <c r="J14" s="200">
        <f t="shared" si="6"/>
        <v>3499637.8</v>
      </c>
      <c r="K14" s="200">
        <f t="shared" si="5"/>
        <v>0</v>
      </c>
      <c r="L14" s="200">
        <f t="shared" si="0"/>
        <v>2079678.4500000002</v>
      </c>
      <c r="M14" s="210" t="s">
        <v>4356</v>
      </c>
    </row>
    <row r="15" spans="1:13" ht="30" customHeight="1">
      <c r="A15" s="330">
        <v>42370</v>
      </c>
      <c r="B15" s="331">
        <v>2791.5</v>
      </c>
      <c r="C15" s="331">
        <v>804837</v>
      </c>
      <c r="D15" s="200">
        <f t="shared" si="1"/>
        <v>21268.5</v>
      </c>
      <c r="E15" s="200">
        <f t="shared" si="2"/>
        <v>6384153.25</v>
      </c>
      <c r="F15" s="200"/>
      <c r="G15" s="332">
        <f t="shared" si="3"/>
        <v>1276830.6500000001</v>
      </c>
      <c r="H15" s="201">
        <f t="shared" si="4"/>
        <v>963815.20000000007</v>
      </c>
      <c r="I15" s="200">
        <v>963815</v>
      </c>
      <c r="J15" s="200">
        <f t="shared" si="6"/>
        <v>4463452.8</v>
      </c>
      <c r="K15" s="200">
        <f t="shared" si="5"/>
        <v>0.20000000006984919</v>
      </c>
      <c r="L15" s="200">
        <f t="shared" si="0"/>
        <v>1920700.4500000002</v>
      </c>
      <c r="M15" s="335" t="s">
        <v>4357</v>
      </c>
    </row>
    <row r="16" spans="1:13" ht="30" customHeight="1">
      <c r="A16" s="330">
        <v>42401</v>
      </c>
      <c r="B16" s="331">
        <v>24</v>
      </c>
      <c r="C16" s="331">
        <v>6912</v>
      </c>
      <c r="D16" s="200">
        <f t="shared" si="1"/>
        <v>21292.5</v>
      </c>
      <c r="E16" s="200">
        <f t="shared" si="2"/>
        <v>6391065.25</v>
      </c>
      <c r="F16" s="200"/>
      <c r="G16" s="332">
        <f t="shared" si="3"/>
        <v>1278213.05</v>
      </c>
      <c r="H16" s="333">
        <f t="shared" si="4"/>
        <v>643869.60000000009</v>
      </c>
      <c r="I16" s="200"/>
      <c r="J16" s="200">
        <f t="shared" si="6"/>
        <v>4463452.8</v>
      </c>
      <c r="K16" s="200">
        <f t="shared" si="5"/>
        <v>643869.80000000016</v>
      </c>
      <c r="L16" s="200">
        <f t="shared" si="0"/>
        <v>1927612.4500000002</v>
      </c>
      <c r="M16" s="210"/>
    </row>
    <row r="17" spans="1:13" ht="30" customHeight="1">
      <c r="A17" s="330">
        <v>42430</v>
      </c>
      <c r="B17" s="331">
        <v>266</v>
      </c>
      <c r="C17" s="218">
        <v>75278</v>
      </c>
      <c r="D17" s="200">
        <f t="shared" si="1"/>
        <v>21558.5</v>
      </c>
      <c r="E17" s="200">
        <f t="shared" si="2"/>
        <v>6466343.25</v>
      </c>
      <c r="F17" s="200"/>
      <c r="G17" s="224">
        <f>G16*0.05</f>
        <v>63910.652500000004</v>
      </c>
      <c r="H17" s="333">
        <f t="shared" si="4"/>
        <v>5529.6</v>
      </c>
      <c r="I17" s="200">
        <v>500000</v>
      </c>
      <c r="J17" s="200">
        <f t="shared" si="6"/>
        <v>4963452.8</v>
      </c>
      <c r="K17" s="200">
        <f t="shared" si="5"/>
        <v>149399.40000000014</v>
      </c>
      <c r="L17" s="200">
        <f t="shared" si="0"/>
        <v>1502890.4500000002</v>
      </c>
      <c r="M17" s="210"/>
    </row>
    <row r="18" spans="1:13" ht="30" customHeight="1">
      <c r="A18" s="217">
        <v>42461</v>
      </c>
      <c r="B18" s="200">
        <v>18.5</v>
      </c>
      <c r="C18" s="200">
        <v>5373</v>
      </c>
      <c r="D18" s="200">
        <f t="shared" si="1"/>
        <v>21577</v>
      </c>
      <c r="E18" s="200">
        <f t="shared" si="2"/>
        <v>6471716.25</v>
      </c>
      <c r="F18" s="200"/>
      <c r="G18" s="224">
        <f>G16*0.05</f>
        <v>63910.652500000004</v>
      </c>
      <c r="H18" s="334">
        <f>C17+G16*0.95</f>
        <v>1289580.3975</v>
      </c>
      <c r="I18" s="200"/>
      <c r="J18" s="200">
        <f t="shared" si="6"/>
        <v>4963452.8</v>
      </c>
      <c r="K18" s="226">
        <f t="shared" si="5"/>
        <v>1438979.7975000001</v>
      </c>
      <c r="L18" s="200">
        <f t="shared" si="0"/>
        <v>1508263.4500000002</v>
      </c>
      <c r="M18" s="210" t="s">
        <v>4358</v>
      </c>
    </row>
    <row r="19" spans="1:13" ht="30" customHeight="1">
      <c r="A19" s="217">
        <v>42491</v>
      </c>
      <c r="B19" s="200">
        <v>162</v>
      </c>
      <c r="C19" s="200">
        <v>49896</v>
      </c>
      <c r="D19" s="200">
        <f t="shared" si="1"/>
        <v>21739</v>
      </c>
      <c r="E19" s="200">
        <f t="shared" si="2"/>
        <v>6521612.25</v>
      </c>
      <c r="F19" s="200"/>
      <c r="G19" s="224">
        <f>G16*0.05</f>
        <v>63910.652500000004</v>
      </c>
      <c r="H19" s="334">
        <f t="shared" ref="H19:H26" si="7">C18</f>
        <v>5373</v>
      </c>
      <c r="I19" s="200"/>
      <c r="J19" s="200">
        <f t="shared" si="6"/>
        <v>4963452.8</v>
      </c>
      <c r="K19" s="226">
        <f t="shared" si="5"/>
        <v>1444352.7975000001</v>
      </c>
      <c r="L19" s="200">
        <f t="shared" si="0"/>
        <v>1558159.4500000002</v>
      </c>
      <c r="M19" s="210"/>
    </row>
    <row r="20" spans="1:13" ht="30" customHeight="1">
      <c r="A20" s="217">
        <v>42522</v>
      </c>
      <c r="B20" s="200">
        <v>250.5</v>
      </c>
      <c r="C20" s="200">
        <v>77154</v>
      </c>
      <c r="D20" s="200">
        <f t="shared" si="1"/>
        <v>21989.5</v>
      </c>
      <c r="E20" s="200">
        <f t="shared" si="2"/>
        <v>6598766.25</v>
      </c>
      <c r="F20" s="200"/>
      <c r="G20" s="224">
        <f>G16*0.05</f>
        <v>63910.652500000004</v>
      </c>
      <c r="H20" s="334">
        <f t="shared" si="7"/>
        <v>49896</v>
      </c>
      <c r="I20" s="200"/>
      <c r="J20" s="200">
        <f t="shared" si="6"/>
        <v>4963452.8</v>
      </c>
      <c r="K20" s="226">
        <f t="shared" si="5"/>
        <v>1494248.7975000001</v>
      </c>
      <c r="L20" s="200">
        <f t="shared" si="0"/>
        <v>1635313.4500000002</v>
      </c>
      <c r="M20" s="210"/>
    </row>
    <row r="21" spans="1:13" ht="30" customHeight="1">
      <c r="A21" s="217">
        <v>42552</v>
      </c>
      <c r="B21" s="200">
        <v>126</v>
      </c>
      <c r="C21" s="200">
        <v>35028</v>
      </c>
      <c r="D21" s="200">
        <f t="shared" si="1"/>
        <v>22115.5</v>
      </c>
      <c r="E21" s="200">
        <f t="shared" si="2"/>
        <v>6633794.25</v>
      </c>
      <c r="F21" s="200"/>
      <c r="G21" s="224">
        <f>G16*0.05</f>
        <v>63910.652500000004</v>
      </c>
      <c r="H21" s="334">
        <f t="shared" si="7"/>
        <v>77154</v>
      </c>
      <c r="I21" s="200">
        <v>856255.93</v>
      </c>
      <c r="J21" s="200">
        <f t="shared" si="6"/>
        <v>5819708.7299999995</v>
      </c>
      <c r="K21" s="226">
        <f t="shared" si="5"/>
        <v>715146.86750000005</v>
      </c>
      <c r="L21" s="200">
        <f t="shared" si="0"/>
        <v>814085.52000000048</v>
      </c>
      <c r="M21" s="210" t="s">
        <v>4359</v>
      </c>
    </row>
    <row r="22" spans="1:13" ht="30" customHeight="1">
      <c r="A22" s="217">
        <v>42583</v>
      </c>
      <c r="B22" s="200">
        <v>0</v>
      </c>
      <c r="C22" s="200">
        <v>0</v>
      </c>
      <c r="D22" s="200">
        <f t="shared" si="1"/>
        <v>22115.5</v>
      </c>
      <c r="E22" s="200">
        <f t="shared" si="2"/>
        <v>6633794.25</v>
      </c>
      <c r="F22" s="200"/>
      <c r="G22" s="224"/>
      <c r="H22" s="334">
        <f t="shared" si="7"/>
        <v>35028</v>
      </c>
      <c r="I22" s="200">
        <v>814085.33</v>
      </c>
      <c r="J22" s="200">
        <f t="shared" si="6"/>
        <v>6633794.0599999996</v>
      </c>
      <c r="K22" s="226">
        <f t="shared" si="5"/>
        <v>-63910.462499999907</v>
      </c>
      <c r="L22" s="200">
        <f t="shared" si="0"/>
        <v>0.19000000040978193</v>
      </c>
      <c r="M22" s="210" t="s">
        <v>4360</v>
      </c>
    </row>
    <row r="23" spans="1:13" ht="30" customHeight="1">
      <c r="A23" s="217">
        <v>42736</v>
      </c>
      <c r="B23" s="200">
        <v>168.5</v>
      </c>
      <c r="C23" s="200">
        <v>49120</v>
      </c>
      <c r="D23" s="200">
        <f t="shared" si="1"/>
        <v>22284</v>
      </c>
      <c r="E23" s="200">
        <f t="shared" si="2"/>
        <v>6682914.25</v>
      </c>
      <c r="F23" s="200"/>
      <c r="G23" s="332"/>
      <c r="H23" s="334">
        <f t="shared" si="7"/>
        <v>0</v>
      </c>
      <c r="I23" s="200">
        <v>79618.75</v>
      </c>
      <c r="J23" s="200">
        <f t="shared" si="6"/>
        <v>6713412.8099999996</v>
      </c>
      <c r="K23" s="226">
        <f t="shared" si="5"/>
        <v>-143529.21249999991</v>
      </c>
      <c r="L23" s="200">
        <f t="shared" si="0"/>
        <v>-30498.55999999959</v>
      </c>
      <c r="M23" s="210" t="s">
        <v>4361</v>
      </c>
    </row>
    <row r="24" spans="1:13" ht="30" customHeight="1">
      <c r="A24" s="217">
        <v>42767</v>
      </c>
      <c r="B24" s="200">
        <v>12</v>
      </c>
      <c r="C24" s="200">
        <v>3480</v>
      </c>
      <c r="D24" s="200">
        <f t="shared" si="1"/>
        <v>22296</v>
      </c>
      <c r="E24" s="200">
        <f t="shared" si="2"/>
        <v>6686394.25</v>
      </c>
      <c r="F24" s="200"/>
      <c r="G24" s="332"/>
      <c r="H24" s="334">
        <f t="shared" si="7"/>
        <v>49120</v>
      </c>
      <c r="I24" s="200"/>
      <c r="J24" s="200">
        <f t="shared" si="6"/>
        <v>6713412.8099999996</v>
      </c>
      <c r="K24" s="226">
        <f t="shared" si="5"/>
        <v>-94409.212499999907</v>
      </c>
      <c r="L24" s="200">
        <f t="shared" si="0"/>
        <v>-27018.55999999959</v>
      </c>
      <c r="M24" s="210"/>
    </row>
    <row r="25" spans="1:13" ht="30" customHeight="1">
      <c r="A25" s="217">
        <v>42795</v>
      </c>
      <c r="B25" s="200">
        <v>0</v>
      </c>
      <c r="C25" s="200">
        <v>0</v>
      </c>
      <c r="D25" s="200">
        <f t="shared" si="1"/>
        <v>22296</v>
      </c>
      <c r="E25" s="200">
        <f t="shared" si="2"/>
        <v>6686394.25</v>
      </c>
      <c r="F25" s="200"/>
      <c r="G25" s="332"/>
      <c r="H25" s="334">
        <f t="shared" si="7"/>
        <v>3480</v>
      </c>
      <c r="I25" s="200"/>
      <c r="J25" s="200">
        <f t="shared" si="6"/>
        <v>6713412.8099999996</v>
      </c>
      <c r="K25" s="226">
        <f t="shared" si="5"/>
        <v>-90929.212499999907</v>
      </c>
      <c r="L25" s="200">
        <f t="shared" si="0"/>
        <v>-27018.55999999959</v>
      </c>
      <c r="M25" s="210"/>
    </row>
    <row r="26" spans="1:13" ht="30" customHeight="1">
      <c r="A26" s="217">
        <v>42826</v>
      </c>
      <c r="B26" s="200">
        <v>26.5</v>
      </c>
      <c r="C26" s="200">
        <v>7415</v>
      </c>
      <c r="D26" s="200">
        <f t="shared" si="1"/>
        <v>22322.5</v>
      </c>
      <c r="E26" s="200">
        <f t="shared" si="2"/>
        <v>6693809.25</v>
      </c>
      <c r="F26" s="200"/>
      <c r="G26" s="332"/>
      <c r="H26" s="334">
        <f t="shared" si="7"/>
        <v>0</v>
      </c>
      <c r="I26" s="200"/>
      <c r="J26" s="200">
        <f t="shared" si="6"/>
        <v>6713412.8099999996</v>
      </c>
      <c r="K26" s="226"/>
      <c r="L26" s="200">
        <f t="shared" si="0"/>
        <v>-19603.55999999959</v>
      </c>
      <c r="M26" s="210"/>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8"/>
  <sheetViews>
    <sheetView topLeftCell="E7" zoomScaleSheetLayoutView="100" workbookViewId="0">
      <selection activeCell="K7" sqref="K7"/>
    </sheetView>
  </sheetViews>
  <sheetFormatPr defaultColWidth="9" defaultRowHeight="14.25"/>
  <cols>
    <col min="1" max="1" width="13.125" customWidth="1"/>
    <col min="2" max="2" width="14" customWidth="1"/>
    <col min="3" max="3" width="17.625" customWidth="1"/>
    <col min="4" max="4" width="15.25" customWidth="1"/>
    <col min="5" max="5" width="15.375" customWidth="1"/>
    <col min="6" max="6" width="11.25" customWidth="1"/>
    <col min="7" max="7" width="13.5" customWidth="1"/>
    <col min="8" max="8" width="14.25" customWidth="1"/>
    <col min="9" max="9" width="17.25" customWidth="1"/>
    <col min="10" max="10" width="14.375" customWidth="1"/>
    <col min="11" max="11" width="16" customWidth="1"/>
    <col min="12" max="12" width="15" customWidth="1"/>
    <col min="13" max="13" width="40.75" customWidth="1"/>
  </cols>
  <sheetData>
    <row r="1" spans="1:13" s="328" customFormat="1" ht="93.95" customHeight="1">
      <c r="A1" s="130" t="s">
        <v>556</v>
      </c>
      <c r="B1" s="194"/>
      <c r="C1" s="329" t="s">
        <v>1388</v>
      </c>
      <c r="D1" s="131" t="s">
        <v>236</v>
      </c>
      <c r="E1" s="2095"/>
      <c r="F1" s="2095"/>
      <c r="G1" s="2116"/>
      <c r="H1" s="2116"/>
      <c r="I1" s="164" t="s">
        <v>4342</v>
      </c>
      <c r="J1" s="1701"/>
      <c r="K1" s="2229"/>
      <c r="L1" s="2229"/>
      <c r="M1" s="239"/>
    </row>
    <row r="2" spans="1:13" s="328" customFormat="1" ht="50.1" customHeight="1">
      <c r="A2" s="133" t="s">
        <v>240</v>
      </c>
      <c r="B2" s="1682" t="s">
        <v>4362</v>
      </c>
      <c r="C2" s="1682"/>
      <c r="D2" s="134" t="s">
        <v>242</v>
      </c>
      <c r="E2" s="1706"/>
      <c r="F2" s="1706"/>
      <c r="G2" s="1706"/>
      <c r="H2" s="1706"/>
      <c r="I2" s="166" t="s">
        <v>243</v>
      </c>
      <c r="J2" s="1707"/>
      <c r="K2" s="1708"/>
      <c r="L2" s="166" t="s">
        <v>245</v>
      </c>
      <c r="M2" s="205"/>
    </row>
    <row r="3" spans="1:13" s="328" customFormat="1" ht="51.95" customHeight="1">
      <c r="A3" s="133" t="s">
        <v>247</v>
      </c>
      <c r="B3" s="1682" t="s">
        <v>4363</v>
      </c>
      <c r="C3" s="1682"/>
      <c r="D3" s="134" t="s">
        <v>249</v>
      </c>
      <c r="E3" s="197"/>
      <c r="F3" s="134" t="s">
        <v>251</v>
      </c>
      <c r="G3" s="134"/>
      <c r="H3" s="134" t="s">
        <v>252</v>
      </c>
      <c r="I3" s="206"/>
      <c r="J3" s="41" t="s">
        <v>565</v>
      </c>
      <c r="K3" s="15"/>
      <c r="L3" s="15" t="s">
        <v>255</v>
      </c>
      <c r="M3" s="207"/>
    </row>
    <row r="4" spans="1:13" s="328" customFormat="1" ht="89.1" customHeight="1">
      <c r="A4" s="133" t="s">
        <v>260</v>
      </c>
      <c r="B4" s="1726"/>
      <c r="C4" s="1726"/>
      <c r="D4" s="1726"/>
      <c r="E4" s="1726"/>
      <c r="F4" s="1726"/>
      <c r="G4" s="1726"/>
      <c r="H4" s="1726"/>
      <c r="I4" s="1726"/>
      <c r="J4" s="1726"/>
      <c r="K4" s="1726"/>
      <c r="L4" s="1726"/>
      <c r="M4" s="208"/>
    </row>
    <row r="5" spans="1:13" s="328" customFormat="1" ht="36" customHeight="1">
      <c r="A5" s="1688" t="s">
        <v>660</v>
      </c>
      <c r="B5" s="1689"/>
      <c r="C5" s="1689"/>
      <c r="D5" s="1690"/>
      <c r="E5" s="1690"/>
      <c r="F5" s="1690"/>
      <c r="G5" s="1690"/>
      <c r="H5" s="1690"/>
      <c r="I5" s="1690"/>
      <c r="J5" s="138"/>
      <c r="K5" s="138"/>
      <c r="L5" s="138"/>
      <c r="M5" s="209"/>
    </row>
    <row r="6" spans="1:13" ht="38.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330">
        <v>42705</v>
      </c>
      <c r="B7" s="331">
        <v>8</v>
      </c>
      <c r="C7" s="331">
        <v>2080</v>
      </c>
      <c r="D7" s="200">
        <f>+B7</f>
        <v>8</v>
      </c>
      <c r="E7" s="200">
        <f>C7</f>
        <v>2080</v>
      </c>
      <c r="F7" s="200"/>
      <c r="G7" s="332"/>
      <c r="H7" s="201"/>
      <c r="I7" s="200"/>
      <c r="J7" s="200">
        <f>I7</f>
        <v>0</v>
      </c>
      <c r="K7" s="200">
        <v>2080</v>
      </c>
      <c r="L7" s="200">
        <v>2080</v>
      </c>
      <c r="M7" s="335" t="s">
        <v>4364</v>
      </c>
    </row>
    <row r="8" spans="1:13" ht="30" customHeight="1">
      <c r="A8" s="330"/>
      <c r="B8" s="331"/>
      <c r="C8" s="331"/>
      <c r="D8" s="200">
        <f t="shared" ref="D8:D14" si="0">D7+B8</f>
        <v>8</v>
      </c>
      <c r="E8" s="200">
        <f t="shared" ref="E8:E14" si="1">C8+E7</f>
        <v>2080</v>
      </c>
      <c r="F8" s="200"/>
      <c r="G8" s="332"/>
      <c r="H8" s="333"/>
      <c r="I8" s="200"/>
      <c r="J8" s="200">
        <f t="shared" ref="J8:J14" si="2">I8+J7</f>
        <v>0</v>
      </c>
      <c r="K8" s="200">
        <f t="shared" ref="K8:K15" si="3">K7+H8-I8</f>
        <v>2080</v>
      </c>
      <c r="M8" s="210"/>
    </row>
    <row r="9" spans="1:13" ht="30" customHeight="1">
      <c r="A9" s="330"/>
      <c r="B9" s="331"/>
      <c r="C9" s="218"/>
      <c r="D9" s="200">
        <f t="shared" si="0"/>
        <v>8</v>
      </c>
      <c r="E9" s="200">
        <f t="shared" si="1"/>
        <v>2080</v>
      </c>
      <c r="F9" s="200"/>
      <c r="G9" s="224"/>
      <c r="H9" s="333"/>
      <c r="I9" s="200"/>
      <c r="J9" s="200">
        <f t="shared" si="2"/>
        <v>0</v>
      </c>
      <c r="K9" s="200">
        <f t="shared" si="3"/>
        <v>2080</v>
      </c>
      <c r="L9" s="200">
        <f t="shared" ref="L9:L14" si="4">E9-J9</f>
        <v>2080</v>
      </c>
      <c r="M9" s="210"/>
    </row>
    <row r="10" spans="1:13" ht="30" customHeight="1">
      <c r="A10" s="217"/>
      <c r="B10" s="200"/>
      <c r="C10" s="200"/>
      <c r="D10" s="200">
        <f t="shared" si="0"/>
        <v>8</v>
      </c>
      <c r="E10" s="200">
        <f t="shared" si="1"/>
        <v>2080</v>
      </c>
      <c r="F10" s="200"/>
      <c r="G10" s="224"/>
      <c r="H10" s="334"/>
      <c r="I10" s="200"/>
      <c r="J10" s="200">
        <f t="shared" si="2"/>
        <v>0</v>
      </c>
      <c r="K10" s="226">
        <f t="shared" si="3"/>
        <v>2080</v>
      </c>
      <c r="L10" s="200">
        <f t="shared" si="4"/>
        <v>2080</v>
      </c>
      <c r="M10" s="210"/>
    </row>
    <row r="11" spans="1:13" ht="30" customHeight="1">
      <c r="A11" s="217"/>
      <c r="B11" s="200"/>
      <c r="C11" s="200"/>
      <c r="D11" s="200">
        <f t="shared" si="0"/>
        <v>8</v>
      </c>
      <c r="E11" s="200">
        <f t="shared" si="1"/>
        <v>2080</v>
      </c>
      <c r="F11" s="200"/>
      <c r="G11" s="224"/>
      <c r="H11" s="334"/>
      <c r="I11" s="200"/>
      <c r="J11" s="200">
        <f t="shared" si="2"/>
        <v>0</v>
      </c>
      <c r="K11" s="226">
        <f t="shared" si="3"/>
        <v>2080</v>
      </c>
      <c r="L11" s="200">
        <f t="shared" si="4"/>
        <v>2080</v>
      </c>
      <c r="M11" s="210"/>
    </row>
    <row r="12" spans="1:13" ht="30" customHeight="1">
      <c r="A12" s="217"/>
      <c r="B12" s="200"/>
      <c r="C12" s="200"/>
      <c r="D12" s="200">
        <f t="shared" si="0"/>
        <v>8</v>
      </c>
      <c r="E12" s="200">
        <f t="shared" si="1"/>
        <v>2080</v>
      </c>
      <c r="F12" s="200"/>
      <c r="G12" s="224"/>
      <c r="H12" s="334"/>
      <c r="I12" s="200"/>
      <c r="J12" s="200">
        <f t="shared" si="2"/>
        <v>0</v>
      </c>
      <c r="K12" s="226">
        <f t="shared" si="3"/>
        <v>2080</v>
      </c>
      <c r="L12" s="200">
        <f t="shared" si="4"/>
        <v>2080</v>
      </c>
      <c r="M12" s="210"/>
    </row>
    <row r="13" spans="1:13" ht="30" customHeight="1">
      <c r="A13" s="217"/>
      <c r="B13" s="200"/>
      <c r="C13" s="200"/>
      <c r="D13" s="200">
        <f t="shared" si="0"/>
        <v>8</v>
      </c>
      <c r="E13" s="200">
        <f t="shared" si="1"/>
        <v>2080</v>
      </c>
      <c r="F13" s="200"/>
      <c r="G13" s="224"/>
      <c r="H13" s="334"/>
      <c r="I13" s="200"/>
      <c r="J13" s="200">
        <f t="shared" si="2"/>
        <v>0</v>
      </c>
      <c r="K13" s="226">
        <f t="shared" si="3"/>
        <v>2080</v>
      </c>
      <c r="L13" s="200">
        <f t="shared" si="4"/>
        <v>2080</v>
      </c>
      <c r="M13" s="210"/>
    </row>
    <row r="14" spans="1:13" ht="30" customHeight="1">
      <c r="A14" s="217"/>
      <c r="B14" s="200"/>
      <c r="C14" s="200"/>
      <c r="D14" s="200">
        <f t="shared" si="0"/>
        <v>8</v>
      </c>
      <c r="E14" s="200">
        <f t="shared" si="1"/>
        <v>2080</v>
      </c>
      <c r="F14" s="200"/>
      <c r="G14" s="224"/>
      <c r="H14" s="334"/>
      <c r="I14" s="200"/>
      <c r="J14" s="200">
        <f t="shared" si="2"/>
        <v>0</v>
      </c>
      <c r="K14" s="226">
        <f t="shared" si="3"/>
        <v>2080</v>
      </c>
      <c r="L14" s="200">
        <f t="shared" si="4"/>
        <v>2080</v>
      </c>
      <c r="M14" s="210"/>
    </row>
    <row r="15" spans="1:13" ht="30" customHeight="1">
      <c r="A15" s="217"/>
      <c r="B15" s="200"/>
      <c r="C15" s="200"/>
      <c r="D15" s="200"/>
      <c r="E15" s="200"/>
      <c r="F15" s="200"/>
      <c r="G15" s="332"/>
      <c r="H15" s="334"/>
      <c r="I15" s="200"/>
      <c r="J15" s="200"/>
      <c r="K15" s="226">
        <f t="shared" si="3"/>
        <v>2080</v>
      </c>
      <c r="L15" s="200"/>
      <c r="M15" s="210"/>
    </row>
    <row r="16" spans="1:13" ht="30" customHeight="1">
      <c r="A16" s="217"/>
      <c r="B16" s="200"/>
      <c r="C16" s="200"/>
      <c r="D16" s="200"/>
      <c r="E16" s="200"/>
      <c r="F16" s="200"/>
      <c r="G16" s="332"/>
      <c r="H16" s="201"/>
      <c r="I16" s="200"/>
      <c r="J16" s="200"/>
      <c r="K16" s="200"/>
      <c r="L16" s="200"/>
      <c r="M16" s="210"/>
    </row>
    <row r="17" spans="1:13" ht="30" customHeight="1">
      <c r="A17" s="217"/>
      <c r="B17" s="200"/>
      <c r="C17" s="200"/>
      <c r="D17" s="200"/>
      <c r="E17" s="200"/>
      <c r="F17" s="200"/>
      <c r="G17" s="332"/>
      <c r="H17" s="201"/>
      <c r="I17" s="200"/>
      <c r="J17" s="200"/>
      <c r="K17" s="200"/>
      <c r="L17" s="200"/>
      <c r="M17" s="210"/>
    </row>
    <row r="18" spans="1:13" ht="30" customHeight="1">
      <c r="A18" s="217"/>
      <c r="B18" s="200"/>
      <c r="C18" s="200"/>
      <c r="D18" s="200"/>
      <c r="E18" s="200"/>
      <c r="F18" s="200"/>
      <c r="G18" s="332"/>
      <c r="H18" s="201"/>
      <c r="I18" s="200"/>
      <c r="J18" s="200"/>
      <c r="K18" s="200"/>
      <c r="L18" s="200"/>
      <c r="M18" s="210"/>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1"/>
  <sheetViews>
    <sheetView topLeftCell="A13" zoomScaleSheetLayoutView="100" workbookViewId="0">
      <selection activeCell="M25" sqref="M25"/>
    </sheetView>
  </sheetViews>
  <sheetFormatPr defaultColWidth="9" defaultRowHeight="14.25"/>
  <cols>
    <col min="1" max="1" width="13.625" customWidth="1"/>
    <col min="2" max="2" width="16.125" customWidth="1"/>
    <col min="3" max="3" width="17.25" customWidth="1"/>
    <col min="4" max="4" width="12" customWidth="1"/>
    <col min="5" max="5" width="13.125" customWidth="1"/>
    <col min="6" max="6" width="12.375" customWidth="1"/>
    <col min="7" max="8" width="11.5" customWidth="1"/>
    <col min="9" max="9" width="15.625" customWidth="1"/>
    <col min="10" max="10" width="14.125" customWidth="1"/>
    <col min="11" max="11" width="11.5" customWidth="1"/>
    <col min="12" max="12" width="13.875" customWidth="1"/>
    <col min="13" max="13" width="26.75" customWidth="1"/>
  </cols>
  <sheetData>
    <row r="1" spans="1:13" ht="55.5" customHeight="1">
      <c r="A1" s="312" t="s">
        <v>556</v>
      </c>
      <c r="B1" s="313">
        <v>42137</v>
      </c>
      <c r="C1" s="314" t="s">
        <v>4365</v>
      </c>
      <c r="D1" s="245" t="s">
        <v>236</v>
      </c>
      <c r="E1" s="1841"/>
      <c r="F1" s="1841"/>
      <c r="G1" s="2230"/>
      <c r="H1" s="2230"/>
      <c r="I1" s="164" t="s">
        <v>237</v>
      </c>
      <c r="J1" s="1701" t="s">
        <v>4366</v>
      </c>
      <c r="K1" s="1701"/>
      <c r="L1" s="1701"/>
      <c r="M1" s="326" t="s">
        <v>4367</v>
      </c>
    </row>
    <row r="2" spans="1:13" ht="39" customHeight="1">
      <c r="A2" s="133" t="s">
        <v>240</v>
      </c>
      <c r="B2" s="1682" t="s">
        <v>4368</v>
      </c>
      <c r="C2" s="1682"/>
      <c r="D2" s="134" t="s">
        <v>242</v>
      </c>
      <c r="E2" s="1682"/>
      <c r="F2" s="1682"/>
      <c r="G2" s="1682"/>
      <c r="H2" s="1682"/>
      <c r="I2" s="166" t="s">
        <v>243</v>
      </c>
      <c r="J2" s="319">
        <v>0.05</v>
      </c>
      <c r="K2" s="310"/>
      <c r="L2" s="166" t="s">
        <v>245</v>
      </c>
      <c r="M2" s="205" t="s">
        <v>4369</v>
      </c>
    </row>
    <row r="3" spans="1:13" ht="48.75" customHeight="1">
      <c r="A3" s="133" t="s">
        <v>247</v>
      </c>
      <c r="B3" s="2047" t="s">
        <v>4370</v>
      </c>
      <c r="C3" s="2049"/>
      <c r="D3" s="134" t="s">
        <v>249</v>
      </c>
      <c r="E3" s="136"/>
      <c r="F3" s="134" t="s">
        <v>251</v>
      </c>
      <c r="G3" s="134" t="s">
        <v>4371</v>
      </c>
      <c r="H3" s="134" t="s">
        <v>252</v>
      </c>
      <c r="I3" s="206" t="s">
        <v>4372</v>
      </c>
      <c r="J3" s="148" t="s">
        <v>565</v>
      </c>
      <c r="K3" s="15" t="s">
        <v>4373</v>
      </c>
      <c r="L3" s="15" t="s">
        <v>255</v>
      </c>
      <c r="M3" s="207" t="s">
        <v>4374</v>
      </c>
    </row>
    <row r="4" spans="1:13" ht="39" customHeight="1">
      <c r="A4" s="133" t="s">
        <v>260</v>
      </c>
      <c r="B4" s="1690" t="s">
        <v>4375</v>
      </c>
      <c r="C4" s="1690"/>
      <c r="D4" s="1690"/>
      <c r="E4" s="1690"/>
      <c r="F4" s="1690" t="s">
        <v>4376</v>
      </c>
      <c r="G4" s="1690"/>
      <c r="H4" s="1690"/>
      <c r="I4" s="1690"/>
      <c r="J4" s="2080" t="s">
        <v>4377</v>
      </c>
      <c r="K4" s="2080"/>
      <c r="L4" s="2080"/>
      <c r="M4" s="170"/>
    </row>
    <row r="5" spans="1:13" ht="39" customHeight="1">
      <c r="A5" s="2231" t="s">
        <v>660</v>
      </c>
      <c r="B5" s="2232"/>
      <c r="C5" s="2233"/>
      <c r="D5" s="1690"/>
      <c r="E5" s="1690"/>
      <c r="F5" s="1690"/>
      <c r="G5" s="1690"/>
      <c r="H5" s="1690"/>
      <c r="I5" s="1690"/>
      <c r="J5" s="169"/>
      <c r="K5" s="169"/>
      <c r="L5" s="169"/>
      <c r="M5" s="264"/>
    </row>
    <row r="6" spans="1:13" ht="3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75" customHeight="1">
      <c r="A7" s="315">
        <v>42125</v>
      </c>
      <c r="B7" s="259">
        <v>160</v>
      </c>
      <c r="C7" s="259">
        <v>47240</v>
      </c>
      <c r="D7" s="259">
        <f>B7</f>
        <v>160</v>
      </c>
      <c r="E7" s="259">
        <f>C7</f>
        <v>47240</v>
      </c>
      <c r="F7" s="259"/>
      <c r="G7" s="180">
        <f>C7*0.05</f>
        <v>2362</v>
      </c>
      <c r="H7" s="261"/>
      <c r="I7" s="259"/>
      <c r="J7" s="259"/>
      <c r="K7" s="259"/>
      <c r="L7" s="259">
        <f t="shared" ref="L7:L19" si="0">E7-J7</f>
        <v>47240</v>
      </c>
      <c r="M7" s="265"/>
    </row>
    <row r="8" spans="1:13" ht="33.75" customHeight="1">
      <c r="A8" s="324">
        <v>42156</v>
      </c>
      <c r="B8" s="181">
        <v>174</v>
      </c>
      <c r="C8" s="181">
        <v>53142</v>
      </c>
      <c r="D8" s="181">
        <f t="shared" ref="D8:D19" si="1">D7+B8</f>
        <v>334</v>
      </c>
      <c r="E8" s="181">
        <f t="shared" ref="E8:E19" si="2">E7+C8</f>
        <v>100382</v>
      </c>
      <c r="F8" s="181"/>
      <c r="G8" s="180">
        <f>E8*0.05</f>
        <v>5019.1000000000004</v>
      </c>
      <c r="H8" s="299">
        <f>C7*0.95</f>
        <v>44878</v>
      </c>
      <c r="I8" s="181"/>
      <c r="J8" s="181"/>
      <c r="K8" s="181">
        <f t="shared" ref="K8:K19" si="3">K7+H8-I8</f>
        <v>44878</v>
      </c>
      <c r="L8" s="259">
        <f t="shared" si="0"/>
        <v>100382</v>
      </c>
      <c r="M8" s="266"/>
    </row>
    <row r="9" spans="1:13" ht="33.75" customHeight="1">
      <c r="A9" s="270">
        <v>42217</v>
      </c>
      <c r="B9" s="316">
        <v>747</v>
      </c>
      <c r="C9" s="316">
        <v>232317</v>
      </c>
      <c r="D9" s="181">
        <f t="shared" si="1"/>
        <v>1081</v>
      </c>
      <c r="E9" s="181">
        <f t="shared" si="2"/>
        <v>332699</v>
      </c>
      <c r="F9" s="316"/>
      <c r="G9" s="180">
        <f t="shared" ref="G9:G17" si="4">E9*0.05</f>
        <v>16634.95</v>
      </c>
      <c r="H9" s="299">
        <f t="shared" ref="H9:H18" si="5">C8*0.95</f>
        <v>50484.899999999994</v>
      </c>
      <c r="I9" s="316"/>
      <c r="J9" s="316">
        <f t="shared" ref="J9:J19" si="6">J8+I9</f>
        <v>0</v>
      </c>
      <c r="K9" s="181">
        <f t="shared" si="3"/>
        <v>95362.9</v>
      </c>
      <c r="L9" s="259">
        <f t="shared" si="0"/>
        <v>332699</v>
      </c>
      <c r="M9" s="321"/>
    </row>
    <row r="10" spans="1:13" ht="33.75" customHeight="1">
      <c r="A10" s="270">
        <v>42248</v>
      </c>
      <c r="B10" s="262">
        <v>5249.5</v>
      </c>
      <c r="C10" s="262">
        <v>1632864.5</v>
      </c>
      <c r="D10" s="181">
        <f t="shared" si="1"/>
        <v>6330.5</v>
      </c>
      <c r="E10" s="181">
        <f t="shared" si="2"/>
        <v>1965563.5</v>
      </c>
      <c r="F10" s="262"/>
      <c r="G10" s="180">
        <f t="shared" si="4"/>
        <v>98278.175000000003</v>
      </c>
      <c r="H10" s="299">
        <f t="shared" si="5"/>
        <v>220701.15</v>
      </c>
      <c r="I10" s="262"/>
      <c r="J10" s="262"/>
      <c r="K10" s="181">
        <f t="shared" si="3"/>
        <v>316064.05</v>
      </c>
      <c r="L10" s="259">
        <f t="shared" si="0"/>
        <v>1965563.5</v>
      </c>
      <c r="M10" s="267" t="s">
        <v>4378</v>
      </c>
    </row>
    <row r="11" spans="1:13" ht="33.75" customHeight="1">
      <c r="A11" s="325">
        <v>42278</v>
      </c>
      <c r="B11" s="262">
        <v>3242</v>
      </c>
      <c r="C11" s="262">
        <v>1002667</v>
      </c>
      <c r="D11" s="181">
        <f t="shared" si="1"/>
        <v>9572.5</v>
      </c>
      <c r="E11" s="181">
        <f t="shared" si="2"/>
        <v>2968230.5</v>
      </c>
      <c r="F11" s="262"/>
      <c r="G11" s="180">
        <f t="shared" si="4"/>
        <v>148411.52499999999</v>
      </c>
      <c r="H11" s="299">
        <f t="shared" si="5"/>
        <v>1551221.2749999999</v>
      </c>
      <c r="I11" s="262">
        <v>271185</v>
      </c>
      <c r="J11" s="262">
        <f t="shared" si="6"/>
        <v>271185</v>
      </c>
      <c r="K11" s="181">
        <f t="shared" si="3"/>
        <v>1596100.325</v>
      </c>
      <c r="L11" s="259">
        <f t="shared" si="0"/>
        <v>2697045.5</v>
      </c>
      <c r="M11" s="267" t="s">
        <v>4379</v>
      </c>
    </row>
    <row r="12" spans="1:13" ht="33.75" customHeight="1">
      <c r="A12" s="325">
        <v>42309</v>
      </c>
      <c r="B12" s="262">
        <v>889</v>
      </c>
      <c r="C12" s="262">
        <v>263854</v>
      </c>
      <c r="D12" s="181">
        <f t="shared" si="1"/>
        <v>10461.5</v>
      </c>
      <c r="E12" s="181">
        <f t="shared" si="2"/>
        <v>3232084.5</v>
      </c>
      <c r="F12" s="262"/>
      <c r="G12" s="180">
        <f t="shared" si="4"/>
        <v>161604.22500000001</v>
      </c>
      <c r="H12" s="181">
        <f t="shared" si="5"/>
        <v>952533.64999999991</v>
      </c>
      <c r="I12" s="262">
        <v>1596098</v>
      </c>
      <c r="J12" s="262">
        <f t="shared" si="6"/>
        <v>1867283</v>
      </c>
      <c r="K12" s="181">
        <f t="shared" si="3"/>
        <v>952535.97499999963</v>
      </c>
      <c r="L12" s="259">
        <f t="shared" si="0"/>
        <v>1364801.5</v>
      </c>
      <c r="M12" s="262"/>
    </row>
    <row r="13" spans="1:13" ht="33.75" customHeight="1">
      <c r="A13" s="275">
        <v>42339</v>
      </c>
      <c r="B13" s="262">
        <v>345</v>
      </c>
      <c r="C13" s="262">
        <v>102950</v>
      </c>
      <c r="D13" s="181">
        <f t="shared" si="1"/>
        <v>10806.5</v>
      </c>
      <c r="E13" s="181">
        <f t="shared" si="2"/>
        <v>3335034.5</v>
      </c>
      <c r="F13" s="262"/>
      <c r="G13" s="180">
        <f t="shared" si="4"/>
        <v>166751.72500000001</v>
      </c>
      <c r="H13" s="299">
        <f t="shared" si="5"/>
        <v>250661.3</v>
      </c>
      <c r="I13" s="262"/>
      <c r="J13" s="262">
        <f t="shared" si="6"/>
        <v>1867283</v>
      </c>
      <c r="K13" s="181">
        <f t="shared" si="3"/>
        <v>1203197.2749999997</v>
      </c>
      <c r="L13" s="259">
        <f t="shared" si="0"/>
        <v>1467751.5</v>
      </c>
      <c r="M13" s="327" t="s">
        <v>4380</v>
      </c>
    </row>
    <row r="14" spans="1:13" ht="33.75" customHeight="1">
      <c r="A14" s="275">
        <v>42370</v>
      </c>
      <c r="B14" s="262">
        <v>745</v>
      </c>
      <c r="C14" s="262">
        <v>221300</v>
      </c>
      <c r="D14" s="181">
        <f t="shared" si="1"/>
        <v>11551.5</v>
      </c>
      <c r="E14" s="181">
        <f t="shared" si="2"/>
        <v>3556334.5</v>
      </c>
      <c r="F14" s="262"/>
      <c r="G14" s="180">
        <f t="shared" si="4"/>
        <v>177816.72500000001</v>
      </c>
      <c r="H14" s="299">
        <f t="shared" si="5"/>
        <v>97802.5</v>
      </c>
      <c r="I14" s="262">
        <f>250000+300000+300000</f>
        <v>850000</v>
      </c>
      <c r="J14" s="262">
        <f t="shared" si="6"/>
        <v>2717283</v>
      </c>
      <c r="K14" s="181">
        <f t="shared" si="3"/>
        <v>450999.77499999967</v>
      </c>
      <c r="L14" s="259">
        <f t="shared" si="0"/>
        <v>839051.5</v>
      </c>
      <c r="M14" s="267" t="s">
        <v>4381</v>
      </c>
    </row>
    <row r="15" spans="1:13" ht="33.75" customHeight="1">
      <c r="A15" s="275">
        <v>42401</v>
      </c>
      <c r="B15" s="262">
        <v>0</v>
      </c>
      <c r="C15" s="262">
        <v>0</v>
      </c>
      <c r="D15" s="181">
        <f t="shared" si="1"/>
        <v>11551.5</v>
      </c>
      <c r="E15" s="181">
        <f t="shared" si="2"/>
        <v>3556334.5</v>
      </c>
      <c r="F15" s="262"/>
      <c r="G15" s="180">
        <f t="shared" si="4"/>
        <v>177816.72500000001</v>
      </c>
      <c r="H15" s="181">
        <f t="shared" si="5"/>
        <v>210235</v>
      </c>
      <c r="I15" s="262"/>
      <c r="J15" s="262">
        <f t="shared" si="6"/>
        <v>2717283</v>
      </c>
      <c r="K15" s="181">
        <f t="shared" si="3"/>
        <v>661234.77499999967</v>
      </c>
      <c r="L15" s="259">
        <f t="shared" si="0"/>
        <v>839051.5</v>
      </c>
      <c r="M15" s="267"/>
    </row>
    <row r="16" spans="1:13" ht="33.75" customHeight="1">
      <c r="A16" s="275">
        <v>42430</v>
      </c>
      <c r="B16" s="262">
        <v>0</v>
      </c>
      <c r="C16" s="262">
        <v>0</v>
      </c>
      <c r="D16" s="181">
        <f t="shared" si="1"/>
        <v>11551.5</v>
      </c>
      <c r="E16" s="181">
        <f t="shared" si="2"/>
        <v>3556334.5</v>
      </c>
      <c r="F16" s="262"/>
      <c r="G16" s="180">
        <f t="shared" si="4"/>
        <v>177816.72500000001</v>
      </c>
      <c r="H16" s="181">
        <f t="shared" si="5"/>
        <v>0</v>
      </c>
      <c r="I16" s="262">
        <v>97790</v>
      </c>
      <c r="J16" s="262">
        <f t="shared" si="6"/>
        <v>2815073</v>
      </c>
      <c r="K16" s="181">
        <f t="shared" si="3"/>
        <v>563444.77499999967</v>
      </c>
      <c r="L16" s="259">
        <f t="shared" si="0"/>
        <v>741261.5</v>
      </c>
      <c r="M16" s="267" t="s">
        <v>4382</v>
      </c>
    </row>
    <row r="17" spans="1:13" ht="33.75" customHeight="1">
      <c r="A17" s="258">
        <v>42461</v>
      </c>
      <c r="B17" s="262">
        <v>0</v>
      </c>
      <c r="C17" s="262">
        <v>0</v>
      </c>
      <c r="D17" s="181">
        <f t="shared" si="1"/>
        <v>11551.5</v>
      </c>
      <c r="E17" s="181">
        <f t="shared" si="2"/>
        <v>3556334.5</v>
      </c>
      <c r="F17" s="262"/>
      <c r="G17" s="180">
        <f t="shared" si="4"/>
        <v>177816.72500000001</v>
      </c>
      <c r="H17" s="181">
        <f t="shared" si="5"/>
        <v>0</v>
      </c>
      <c r="I17" s="262">
        <v>888</v>
      </c>
      <c r="J17" s="262">
        <f t="shared" si="6"/>
        <v>2815961</v>
      </c>
      <c r="K17" s="181">
        <f t="shared" si="3"/>
        <v>562556.77499999967</v>
      </c>
      <c r="L17" s="259">
        <f t="shared" si="0"/>
        <v>740373.5</v>
      </c>
      <c r="M17" s="262" t="s">
        <v>4383</v>
      </c>
    </row>
    <row r="18" spans="1:13" ht="33.75" customHeight="1">
      <c r="A18" s="258">
        <v>42522</v>
      </c>
      <c r="B18" s="262">
        <v>0</v>
      </c>
      <c r="C18" s="262">
        <v>0</v>
      </c>
      <c r="D18" s="181">
        <f t="shared" si="1"/>
        <v>11551.5</v>
      </c>
      <c r="E18" s="181">
        <f t="shared" si="2"/>
        <v>3556334.5</v>
      </c>
      <c r="F18" s="262"/>
      <c r="G18" s="180"/>
      <c r="H18" s="181">
        <f t="shared" si="5"/>
        <v>0</v>
      </c>
      <c r="I18" s="262">
        <v>600000</v>
      </c>
      <c r="J18" s="262">
        <f t="shared" si="6"/>
        <v>3415961</v>
      </c>
      <c r="K18" s="181">
        <f t="shared" si="3"/>
        <v>-37443.225000000326</v>
      </c>
      <c r="L18" s="259">
        <f t="shared" si="0"/>
        <v>140373.5</v>
      </c>
      <c r="M18" s="267"/>
    </row>
    <row r="19" spans="1:13" ht="33.75" customHeight="1">
      <c r="A19" s="258">
        <v>42552</v>
      </c>
      <c r="B19" s="262">
        <v>3</v>
      </c>
      <c r="C19" s="262">
        <v>888</v>
      </c>
      <c r="D19" s="181">
        <f t="shared" si="1"/>
        <v>11554.5</v>
      </c>
      <c r="E19" s="181">
        <f t="shared" si="2"/>
        <v>3557222.5</v>
      </c>
      <c r="F19" s="262"/>
      <c r="G19" s="262"/>
      <c r="H19" s="181">
        <f>177816.73</f>
        <v>177816.73</v>
      </c>
      <c r="I19" s="262"/>
      <c r="J19" s="262">
        <f t="shared" si="6"/>
        <v>3415961</v>
      </c>
      <c r="K19" s="181">
        <f t="shared" si="3"/>
        <v>140373.50499999968</v>
      </c>
      <c r="L19" s="259">
        <f t="shared" si="0"/>
        <v>141261.5</v>
      </c>
      <c r="M19" s="258" t="s">
        <v>4384</v>
      </c>
    </row>
    <row r="20" spans="1:13" ht="33.75" customHeight="1">
      <c r="A20" s="258"/>
      <c r="B20" s="262"/>
      <c r="C20" s="262"/>
      <c r="D20" s="181"/>
      <c r="E20" s="181"/>
      <c r="F20" s="262"/>
      <c r="G20" s="262"/>
      <c r="H20" s="181"/>
      <c r="I20" s="262"/>
      <c r="J20" s="262"/>
      <c r="K20" s="181"/>
      <c r="L20" s="262"/>
      <c r="M20" s="262" t="s">
        <v>4385</v>
      </c>
    </row>
    <row r="21" spans="1:13" ht="27.95" customHeight="1">
      <c r="A21" s="258"/>
      <c r="B21" s="262"/>
      <c r="C21" s="262"/>
      <c r="D21" s="181"/>
      <c r="E21" s="181"/>
      <c r="F21" s="262"/>
      <c r="G21" s="262"/>
      <c r="H21" s="262"/>
      <c r="I21" s="262"/>
      <c r="J21" s="262"/>
      <c r="K21" s="262"/>
      <c r="L21" s="262"/>
      <c r="M21" s="262"/>
    </row>
  </sheetData>
  <mergeCells count="12">
    <mergeCell ref="B4:E4"/>
    <mergeCell ref="F4:I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7"/>
  <sheetViews>
    <sheetView topLeftCell="A31" zoomScaleSheetLayoutView="100" workbookViewId="0">
      <selection activeCell="B36" sqref="B36:M36"/>
    </sheetView>
  </sheetViews>
  <sheetFormatPr defaultColWidth="9" defaultRowHeight="14.25"/>
  <cols>
    <col min="1" max="1" width="13.625" customWidth="1"/>
    <col min="2" max="2" width="16.125" customWidth="1"/>
    <col min="3" max="3" width="18.25" customWidth="1"/>
    <col min="4" max="4" width="12" customWidth="1"/>
    <col min="5" max="5" width="13.125" customWidth="1"/>
    <col min="6" max="6" width="12.375" customWidth="1"/>
    <col min="7" max="7" width="11.5" customWidth="1"/>
    <col min="8" max="9" width="15.625" customWidth="1"/>
    <col min="10" max="10" width="14.125" customWidth="1"/>
    <col min="11" max="11" width="11.5" customWidth="1"/>
    <col min="12" max="12" width="13.875" customWidth="1"/>
    <col min="13" max="13" width="35" customWidth="1"/>
  </cols>
  <sheetData>
    <row r="1" spans="1:13" ht="55.5" customHeight="1">
      <c r="A1" s="312" t="s">
        <v>556</v>
      </c>
      <c r="B1" s="313">
        <v>42197</v>
      </c>
      <c r="C1" s="314" t="s">
        <v>4386</v>
      </c>
      <c r="D1" s="245" t="s">
        <v>236</v>
      </c>
      <c r="E1" s="1841"/>
      <c r="F1" s="1841"/>
      <c r="G1" s="2230"/>
      <c r="H1" s="2230"/>
      <c r="I1" s="164" t="s">
        <v>560</v>
      </c>
      <c r="J1" s="2234" t="s">
        <v>4387</v>
      </c>
      <c r="K1" s="2234"/>
      <c r="L1" s="2234"/>
      <c r="M1" s="239" t="s">
        <v>4388</v>
      </c>
    </row>
    <row r="2" spans="1:13" ht="47.1" customHeight="1">
      <c r="A2" s="133" t="s">
        <v>240</v>
      </c>
      <c r="B2" s="1682" t="s">
        <v>4389</v>
      </c>
      <c r="C2" s="1682"/>
      <c r="D2" s="134" t="s">
        <v>242</v>
      </c>
      <c r="E2" s="1682"/>
      <c r="F2" s="1682"/>
      <c r="G2" s="1682"/>
      <c r="H2" s="1682"/>
      <c r="I2" s="166" t="s">
        <v>243</v>
      </c>
      <c r="J2" s="319"/>
      <c r="K2" s="310"/>
      <c r="L2" s="166" t="s">
        <v>245</v>
      </c>
      <c r="M2" s="320" t="s">
        <v>4390</v>
      </c>
    </row>
    <row r="3" spans="1:13" ht="48.75" customHeight="1">
      <c r="A3" s="133" t="s">
        <v>247</v>
      </c>
      <c r="B3" s="2047" t="s">
        <v>4391</v>
      </c>
      <c r="C3" s="2049"/>
      <c r="D3" s="134" t="s">
        <v>249</v>
      </c>
      <c r="E3" s="136" t="s">
        <v>4392</v>
      </c>
      <c r="F3" s="134" t="s">
        <v>251</v>
      </c>
      <c r="G3" s="134" t="s">
        <v>4393</v>
      </c>
      <c r="H3" s="134" t="s">
        <v>252</v>
      </c>
      <c r="I3" s="206" t="s">
        <v>4394</v>
      </c>
      <c r="J3" s="148" t="s">
        <v>565</v>
      </c>
      <c r="K3" s="15" t="s">
        <v>4395</v>
      </c>
      <c r="L3" s="15" t="s">
        <v>255</v>
      </c>
      <c r="M3" s="207" t="s">
        <v>4396</v>
      </c>
    </row>
    <row r="4" spans="1:13" ht="81.95" customHeight="1">
      <c r="A4" s="133" t="s">
        <v>260</v>
      </c>
      <c r="B4" s="1690" t="s">
        <v>4397</v>
      </c>
      <c r="C4" s="1690"/>
      <c r="D4" s="1690"/>
      <c r="E4" s="1690"/>
      <c r="F4" s="1847" t="s">
        <v>4398</v>
      </c>
      <c r="G4" s="1847"/>
      <c r="H4" s="1847"/>
      <c r="I4" s="1847"/>
      <c r="J4" s="2080"/>
      <c r="K4" s="2080"/>
      <c r="L4" s="2080"/>
      <c r="M4" s="170"/>
    </row>
    <row r="5" spans="1:13" ht="39" customHeight="1">
      <c r="A5" s="2231" t="s">
        <v>660</v>
      </c>
      <c r="B5" s="2232"/>
      <c r="C5" s="2233"/>
      <c r="D5" s="1690"/>
      <c r="E5" s="1690"/>
      <c r="F5" s="1690"/>
      <c r="G5" s="1690"/>
      <c r="H5" s="1690"/>
      <c r="I5" s="1690"/>
      <c r="J5" s="169"/>
      <c r="K5" s="169"/>
      <c r="L5" s="169"/>
      <c r="M5" s="264"/>
    </row>
    <row r="6" spans="1:13" ht="35.1" customHeight="1">
      <c r="A6" s="19" t="s">
        <v>266</v>
      </c>
      <c r="B6" s="20" t="s">
        <v>1150</v>
      </c>
      <c r="C6" s="20" t="s">
        <v>268</v>
      </c>
      <c r="D6" s="20" t="s">
        <v>269</v>
      </c>
      <c r="E6" s="20" t="s">
        <v>270</v>
      </c>
      <c r="F6" s="20" t="s">
        <v>271</v>
      </c>
      <c r="G6" s="21" t="s">
        <v>272</v>
      </c>
      <c r="H6" s="22" t="s">
        <v>273</v>
      </c>
      <c r="I6" s="20" t="s">
        <v>274</v>
      </c>
      <c r="J6" s="70" t="s">
        <v>275</v>
      </c>
      <c r="K6" s="70" t="s">
        <v>276</v>
      </c>
      <c r="L6" s="20" t="s">
        <v>277</v>
      </c>
      <c r="M6" s="71" t="s">
        <v>278</v>
      </c>
    </row>
    <row r="7" spans="1:13" ht="33.75" customHeight="1">
      <c r="A7" s="315">
        <v>42095</v>
      </c>
      <c r="B7" s="259">
        <v>81</v>
      </c>
      <c r="C7" s="259">
        <v>26700</v>
      </c>
      <c r="D7" s="259">
        <f>B7</f>
        <v>81</v>
      </c>
      <c r="E7" s="259">
        <f>C7</f>
        <v>26700</v>
      </c>
      <c r="F7" s="259"/>
      <c r="G7" s="181">
        <f>E7</f>
        <v>26700</v>
      </c>
      <c r="H7" s="261"/>
      <c r="I7" s="259"/>
      <c r="J7" s="259"/>
      <c r="K7" s="259"/>
      <c r="L7" s="259">
        <f>E7-J7</f>
        <v>26700</v>
      </c>
      <c r="M7" s="265"/>
    </row>
    <row r="8" spans="1:13" ht="33.75" customHeight="1">
      <c r="A8" s="315">
        <v>42125</v>
      </c>
      <c r="B8" s="181">
        <v>268.5</v>
      </c>
      <c r="C8" s="181">
        <v>89947.5</v>
      </c>
      <c r="D8" s="181">
        <f>D7+B8</f>
        <v>349.5</v>
      </c>
      <c r="E8" s="181">
        <f>E7+C8</f>
        <v>116647.5</v>
      </c>
      <c r="F8" s="181"/>
      <c r="G8" s="181">
        <f t="shared" ref="G8:G14" si="0">E8*0.2</f>
        <v>23329.5</v>
      </c>
      <c r="H8" s="181">
        <f>C7*0.8</f>
        <v>21360</v>
      </c>
      <c r="I8" s="181"/>
      <c r="J8" s="181"/>
      <c r="K8" s="181">
        <f t="shared" ref="K8:K35" si="1">K7+H8-I8</f>
        <v>21360</v>
      </c>
      <c r="L8" s="259">
        <f t="shared" ref="L8:L35" si="2">E8-J8</f>
        <v>116647.5</v>
      </c>
      <c r="M8" s="266"/>
    </row>
    <row r="9" spans="1:13" ht="33.75" customHeight="1">
      <c r="A9" s="270">
        <v>42156</v>
      </c>
      <c r="B9" s="316">
        <v>367.5</v>
      </c>
      <c r="C9" s="316">
        <v>124912.5</v>
      </c>
      <c r="D9" s="181">
        <f t="shared" ref="D9:D33" si="3">D8+B9</f>
        <v>717</v>
      </c>
      <c r="E9" s="181">
        <f t="shared" ref="E9:E33" si="4">E8+C9</f>
        <v>241560</v>
      </c>
      <c r="F9" s="316"/>
      <c r="G9" s="181">
        <f t="shared" si="0"/>
        <v>48312</v>
      </c>
      <c r="H9" s="181">
        <f t="shared" ref="H9:H15" si="5">C8*0.8</f>
        <v>71958</v>
      </c>
      <c r="I9" s="316"/>
      <c r="J9" s="316"/>
      <c r="K9" s="181">
        <f t="shared" si="1"/>
        <v>93318</v>
      </c>
      <c r="L9" s="259">
        <f t="shared" si="2"/>
        <v>241560</v>
      </c>
      <c r="M9" s="321"/>
    </row>
    <row r="10" spans="1:13" ht="33.75" customHeight="1">
      <c r="A10" s="270">
        <v>42186</v>
      </c>
      <c r="B10" s="262">
        <v>451</v>
      </c>
      <c r="C10" s="262">
        <v>149695</v>
      </c>
      <c r="D10" s="181">
        <f t="shared" si="3"/>
        <v>1168</v>
      </c>
      <c r="E10" s="181">
        <f t="shared" si="4"/>
        <v>391255</v>
      </c>
      <c r="F10" s="262"/>
      <c r="G10" s="181">
        <f t="shared" si="0"/>
        <v>78251</v>
      </c>
      <c r="H10" s="181">
        <f t="shared" si="5"/>
        <v>99930</v>
      </c>
      <c r="I10" s="262"/>
      <c r="J10" s="262"/>
      <c r="K10" s="181">
        <f t="shared" si="1"/>
        <v>193248</v>
      </c>
      <c r="L10" s="259">
        <f t="shared" si="2"/>
        <v>391255</v>
      </c>
      <c r="M10" s="262"/>
    </row>
    <row r="11" spans="1:13" ht="33.75" customHeight="1">
      <c r="A11" s="275">
        <v>42217</v>
      </c>
      <c r="B11" s="262">
        <v>553</v>
      </c>
      <c r="C11" s="262">
        <v>189812.5</v>
      </c>
      <c r="D11" s="181">
        <f t="shared" si="3"/>
        <v>1721</v>
      </c>
      <c r="E11" s="181">
        <f t="shared" si="4"/>
        <v>581067.5</v>
      </c>
      <c r="F11" s="262"/>
      <c r="G11" s="181">
        <f t="shared" si="0"/>
        <v>116213.5</v>
      </c>
      <c r="H11" s="181">
        <f t="shared" si="5"/>
        <v>119756</v>
      </c>
      <c r="I11" s="322">
        <v>313004</v>
      </c>
      <c r="J11" s="262">
        <f>J10+I11</f>
        <v>313004</v>
      </c>
      <c r="K11" s="181">
        <f t="shared" si="1"/>
        <v>0</v>
      </c>
      <c r="L11" s="259">
        <f t="shared" si="2"/>
        <v>268063.5</v>
      </c>
      <c r="M11" s="262" t="s">
        <v>4399</v>
      </c>
    </row>
    <row r="12" spans="1:13" ht="33.75" customHeight="1">
      <c r="A12" s="275">
        <v>42248</v>
      </c>
      <c r="B12" s="262">
        <f>1166+84</f>
        <v>1250</v>
      </c>
      <c r="C12" s="262">
        <f>408100+26580</f>
        <v>434680</v>
      </c>
      <c r="D12" s="181">
        <f t="shared" si="3"/>
        <v>2971</v>
      </c>
      <c r="E12" s="181">
        <f t="shared" si="4"/>
        <v>1015747.5</v>
      </c>
      <c r="F12" s="262"/>
      <c r="G12" s="181">
        <f t="shared" si="0"/>
        <v>203149.5</v>
      </c>
      <c r="H12" s="181">
        <f t="shared" si="5"/>
        <v>151850</v>
      </c>
      <c r="I12" s="322">
        <v>151850</v>
      </c>
      <c r="J12" s="262">
        <f t="shared" ref="J12:J35" si="6">J11+I12</f>
        <v>464854</v>
      </c>
      <c r="K12" s="181">
        <f t="shared" si="1"/>
        <v>0</v>
      </c>
      <c r="L12" s="259">
        <f t="shared" si="2"/>
        <v>550893.5</v>
      </c>
      <c r="M12" s="262" t="s">
        <v>4400</v>
      </c>
    </row>
    <row r="13" spans="1:13" ht="33.75" customHeight="1">
      <c r="A13" s="275">
        <v>42278</v>
      </c>
      <c r="B13" s="262">
        <f>1687+2151.5</f>
        <v>3838.5</v>
      </c>
      <c r="C13" s="262">
        <f>561520+753025</f>
        <v>1314545</v>
      </c>
      <c r="D13" s="181">
        <f t="shared" si="3"/>
        <v>6809.5</v>
      </c>
      <c r="E13" s="181">
        <f t="shared" si="4"/>
        <v>2330292.5</v>
      </c>
      <c r="F13" s="262"/>
      <c r="G13" s="181">
        <f t="shared" si="0"/>
        <v>466058.5</v>
      </c>
      <c r="H13" s="181">
        <f t="shared" si="5"/>
        <v>347744</v>
      </c>
      <c r="I13" s="322">
        <v>347744</v>
      </c>
      <c r="J13" s="262">
        <f t="shared" si="6"/>
        <v>812598</v>
      </c>
      <c r="K13" s="181">
        <f t="shared" si="1"/>
        <v>0</v>
      </c>
      <c r="L13" s="259">
        <f t="shared" si="2"/>
        <v>1517694.5</v>
      </c>
      <c r="M13" s="262" t="s">
        <v>4401</v>
      </c>
    </row>
    <row r="14" spans="1:13" ht="33.75" customHeight="1">
      <c r="A14" s="275">
        <v>42309</v>
      </c>
      <c r="B14" s="262">
        <f>1868+2884</f>
        <v>4752</v>
      </c>
      <c r="C14" s="262">
        <f>620572.5+1008185</f>
        <v>1628757.5</v>
      </c>
      <c r="D14" s="181">
        <f t="shared" si="3"/>
        <v>11561.5</v>
      </c>
      <c r="E14" s="181">
        <f t="shared" si="4"/>
        <v>3959050</v>
      </c>
      <c r="F14" s="262"/>
      <c r="G14" s="181">
        <f t="shared" si="0"/>
        <v>791810</v>
      </c>
      <c r="H14" s="181">
        <f t="shared" si="5"/>
        <v>1051636</v>
      </c>
      <c r="I14" s="322">
        <v>1051636</v>
      </c>
      <c r="J14" s="262">
        <f t="shared" si="6"/>
        <v>1864234</v>
      </c>
      <c r="K14" s="181">
        <f t="shared" si="1"/>
        <v>0</v>
      </c>
      <c r="L14" s="259">
        <f t="shared" si="2"/>
        <v>2094816</v>
      </c>
      <c r="M14" s="262" t="s">
        <v>4402</v>
      </c>
    </row>
    <row r="15" spans="1:13" ht="33.75" customHeight="1">
      <c r="A15" s="275">
        <v>42339</v>
      </c>
      <c r="B15" s="262">
        <v>6673.5</v>
      </c>
      <c r="C15" s="262">
        <v>2316722.5</v>
      </c>
      <c r="D15" s="181">
        <f t="shared" si="3"/>
        <v>18235</v>
      </c>
      <c r="E15" s="181">
        <f t="shared" si="4"/>
        <v>6275772.5</v>
      </c>
      <c r="F15" s="262"/>
      <c r="G15" s="181">
        <f>E15*0.2-203149.5</f>
        <v>1052005</v>
      </c>
      <c r="H15" s="181">
        <f t="shared" si="5"/>
        <v>1303006</v>
      </c>
      <c r="I15" s="322">
        <v>1303006</v>
      </c>
      <c r="J15" s="262">
        <f t="shared" si="6"/>
        <v>3167240</v>
      </c>
      <c r="K15" s="181">
        <f t="shared" si="1"/>
        <v>0</v>
      </c>
      <c r="L15" s="259">
        <f t="shared" si="2"/>
        <v>3108532.5</v>
      </c>
      <c r="M15" s="262" t="s">
        <v>4403</v>
      </c>
    </row>
    <row r="16" spans="1:13" ht="33.75" customHeight="1">
      <c r="A16" s="275">
        <v>42370</v>
      </c>
      <c r="B16" s="262">
        <f>4187.5+1811.5</f>
        <v>5999</v>
      </c>
      <c r="C16" s="317">
        <f>1483585+601982.5</f>
        <v>2085567.5</v>
      </c>
      <c r="D16" s="181">
        <f t="shared" si="3"/>
        <v>24234</v>
      </c>
      <c r="E16" s="181">
        <f t="shared" si="4"/>
        <v>8361340</v>
      </c>
      <c r="F16" s="262"/>
      <c r="G16" s="181">
        <f>C16*0.2</f>
        <v>417113.5</v>
      </c>
      <c r="H16" s="181">
        <f>C15*0.8+E15*0.2</f>
        <v>3108532.5</v>
      </c>
      <c r="I16" s="322">
        <f>357947+433862+1227208.5+1089515</f>
        <v>3108532.5</v>
      </c>
      <c r="J16" s="262">
        <f t="shared" si="6"/>
        <v>6275772.5</v>
      </c>
      <c r="K16" s="181">
        <f t="shared" si="1"/>
        <v>0</v>
      </c>
      <c r="L16" s="259">
        <f t="shared" si="2"/>
        <v>2085567.5</v>
      </c>
      <c r="M16" s="267" t="s">
        <v>4404</v>
      </c>
    </row>
    <row r="17" spans="1:13" ht="33.75" customHeight="1">
      <c r="A17" s="258">
        <v>42401</v>
      </c>
      <c r="B17" s="262">
        <f>1377.5+1148.5</f>
        <v>2526</v>
      </c>
      <c r="C17" s="262">
        <f>488755+386732.5</f>
        <v>875487.5</v>
      </c>
      <c r="D17" s="181">
        <f t="shared" si="3"/>
        <v>26760</v>
      </c>
      <c r="E17" s="181">
        <f t="shared" si="4"/>
        <v>9236827.5</v>
      </c>
      <c r="F17" s="262"/>
      <c r="G17" s="181">
        <f>C17*0.2+C16*0.2</f>
        <v>592211</v>
      </c>
      <c r="H17" s="181">
        <f>C16*0.8</f>
        <v>1668454</v>
      </c>
      <c r="I17" s="262"/>
      <c r="J17" s="262">
        <f t="shared" si="6"/>
        <v>6275772.5</v>
      </c>
      <c r="K17" s="181">
        <f t="shared" si="1"/>
        <v>1668454</v>
      </c>
      <c r="L17" s="259">
        <f t="shared" si="2"/>
        <v>2961055</v>
      </c>
      <c r="M17" s="262" t="s">
        <v>4405</v>
      </c>
    </row>
    <row r="18" spans="1:13" ht="33.75" customHeight="1">
      <c r="A18" s="258">
        <v>42430</v>
      </c>
      <c r="B18" s="262">
        <f>5168.5+2920.5</f>
        <v>8089</v>
      </c>
      <c r="C18" s="262">
        <f>1834930+998187.5</f>
        <v>2833117.5</v>
      </c>
      <c r="D18" s="181">
        <f t="shared" si="3"/>
        <v>34849</v>
      </c>
      <c r="E18" s="181">
        <f t="shared" si="4"/>
        <v>12069945</v>
      </c>
      <c r="F18" s="262"/>
      <c r="G18" s="181">
        <f>C18*0.2+C17*0.2+C16*0.2</f>
        <v>1158834.5</v>
      </c>
      <c r="H18" s="181">
        <f>C17*0.8</f>
        <v>700390</v>
      </c>
      <c r="I18" s="322">
        <f>1668454+700390</f>
        <v>2368844</v>
      </c>
      <c r="J18" s="262">
        <f t="shared" si="6"/>
        <v>8644616.5</v>
      </c>
      <c r="K18" s="181">
        <f t="shared" si="1"/>
        <v>0</v>
      </c>
      <c r="L18" s="259">
        <f t="shared" si="2"/>
        <v>3425328.5</v>
      </c>
      <c r="M18" s="262"/>
    </row>
    <row r="19" spans="1:13" ht="33.75" customHeight="1">
      <c r="A19" s="258">
        <v>42461</v>
      </c>
      <c r="B19" s="262">
        <f>5249+2496</f>
        <v>7745</v>
      </c>
      <c r="C19" s="262">
        <f>1858785+859210</f>
        <v>2717995</v>
      </c>
      <c r="D19" s="181">
        <f t="shared" si="3"/>
        <v>42594</v>
      </c>
      <c r="E19" s="181">
        <f t="shared" si="4"/>
        <v>14787940</v>
      </c>
      <c r="F19" s="262"/>
      <c r="G19" s="181">
        <f>C19*0.2+C18*0.2+C17*0.2+C16*0.2</f>
        <v>1702433.5</v>
      </c>
      <c r="H19" s="181">
        <f>C18*0.8</f>
        <v>2266494</v>
      </c>
      <c r="I19" s="262">
        <v>2266494</v>
      </c>
      <c r="J19" s="262">
        <f t="shared" si="6"/>
        <v>10911110.5</v>
      </c>
      <c r="K19" s="181">
        <f t="shared" si="1"/>
        <v>0</v>
      </c>
      <c r="L19" s="259">
        <f t="shared" si="2"/>
        <v>3876829.5</v>
      </c>
      <c r="M19" s="262" t="s">
        <v>4406</v>
      </c>
    </row>
    <row r="20" spans="1:13" ht="33.75" customHeight="1">
      <c r="A20" s="258">
        <v>42491</v>
      </c>
      <c r="B20" s="262">
        <f>4438+3239</f>
        <v>7677</v>
      </c>
      <c r="C20" s="262">
        <f>1587875+1109535</f>
        <v>2697410</v>
      </c>
      <c r="D20" s="181">
        <f t="shared" si="3"/>
        <v>50271</v>
      </c>
      <c r="E20" s="181">
        <f t="shared" si="4"/>
        <v>17485350</v>
      </c>
      <c r="F20" s="262"/>
      <c r="G20" s="181">
        <f>C20*0.2+C19*0.2+C18*0.2+C17*0.2+C16*0.2</f>
        <v>2241915.5</v>
      </c>
      <c r="H20" s="181">
        <f>C19*0.8</f>
        <v>2174396</v>
      </c>
      <c r="I20" s="262">
        <f>1487028+687368</f>
        <v>2174396</v>
      </c>
      <c r="J20" s="262">
        <f t="shared" si="6"/>
        <v>13085506.5</v>
      </c>
      <c r="K20" s="181">
        <f t="shared" si="1"/>
        <v>0</v>
      </c>
      <c r="L20" s="259">
        <f t="shared" si="2"/>
        <v>4399843.5</v>
      </c>
      <c r="M20" s="262" t="s">
        <v>4407</v>
      </c>
    </row>
    <row r="21" spans="1:13" ht="33.75" customHeight="1">
      <c r="A21" s="258">
        <v>42522</v>
      </c>
      <c r="B21" s="262">
        <f>3089+3771</f>
        <v>6860</v>
      </c>
      <c r="C21" s="262">
        <f>1098625+1307122.5</f>
        <v>2405747.5</v>
      </c>
      <c r="D21" s="181">
        <f t="shared" si="3"/>
        <v>57131</v>
      </c>
      <c r="E21" s="181">
        <f t="shared" si="4"/>
        <v>19891097.5</v>
      </c>
      <c r="F21" s="262"/>
      <c r="G21" s="181">
        <f>C20*0.2+C19*0.2+C18*0.2+C17*0.2+C16*0.2</f>
        <v>2241915.5</v>
      </c>
      <c r="H21" s="181">
        <f>C20*0.8</f>
        <v>2157928</v>
      </c>
      <c r="I21" s="262"/>
      <c r="J21" s="262">
        <f t="shared" si="6"/>
        <v>13085506.5</v>
      </c>
      <c r="K21" s="181">
        <f t="shared" si="1"/>
        <v>2157928</v>
      </c>
      <c r="L21" s="259">
        <f t="shared" si="2"/>
        <v>6805591</v>
      </c>
      <c r="M21" s="262" t="s">
        <v>4408</v>
      </c>
    </row>
    <row r="22" spans="1:13" ht="33.75" customHeight="1">
      <c r="A22" s="258">
        <v>42552</v>
      </c>
      <c r="B22" s="262">
        <f>4195+3652</f>
        <v>7847</v>
      </c>
      <c r="C22" s="262">
        <f>1515570+1250960</f>
        <v>2766530</v>
      </c>
      <c r="D22" s="181">
        <f t="shared" si="3"/>
        <v>64978</v>
      </c>
      <c r="E22" s="181">
        <f t="shared" si="4"/>
        <v>22657627.5</v>
      </c>
      <c r="F22" s="262"/>
      <c r="G22" s="262">
        <f>C22*0.2</f>
        <v>553306</v>
      </c>
      <c r="H22" s="181">
        <f>C21+2241915.5</f>
        <v>4647663</v>
      </c>
      <c r="I22" s="262">
        <f>2405747.5+2157928</f>
        <v>4563675.5</v>
      </c>
      <c r="J22" s="262">
        <f t="shared" si="6"/>
        <v>17649182</v>
      </c>
      <c r="K22" s="181">
        <f t="shared" si="1"/>
        <v>2241915.5</v>
      </c>
      <c r="L22" s="259">
        <f t="shared" si="2"/>
        <v>5008445.5</v>
      </c>
      <c r="M22" s="262" t="s">
        <v>4409</v>
      </c>
    </row>
    <row r="23" spans="1:13" ht="33.75" customHeight="1">
      <c r="A23" s="258">
        <v>42583</v>
      </c>
      <c r="B23" s="262">
        <f>3969+3021.5</f>
        <v>6990.5</v>
      </c>
      <c r="C23" s="262">
        <f>1378275+1119972.5</f>
        <v>2498247.5</v>
      </c>
      <c r="D23" s="181">
        <f t="shared" si="3"/>
        <v>71968.5</v>
      </c>
      <c r="E23" s="181">
        <f t="shared" si="4"/>
        <v>25155875</v>
      </c>
      <c r="F23" s="262"/>
      <c r="G23" s="262">
        <f>C23*0.2+C22*0.2</f>
        <v>1052955.5</v>
      </c>
      <c r="H23" s="181">
        <f>C22*0.8</f>
        <v>2213224</v>
      </c>
      <c r="I23" s="262">
        <f>2241915.5+2213224</f>
        <v>4455139.5</v>
      </c>
      <c r="J23" s="262">
        <f t="shared" si="6"/>
        <v>22104321.5</v>
      </c>
      <c r="K23" s="181">
        <f t="shared" si="1"/>
        <v>0</v>
      </c>
      <c r="L23" s="259">
        <f t="shared" si="2"/>
        <v>3051553.5</v>
      </c>
      <c r="M23" s="262" t="s">
        <v>4410</v>
      </c>
    </row>
    <row r="24" spans="1:13" ht="33.75" customHeight="1">
      <c r="A24" s="258">
        <v>42614</v>
      </c>
      <c r="B24" s="262">
        <f>3653+3127</f>
        <v>6780</v>
      </c>
      <c r="C24" s="262">
        <f>1370042.5+1083910</f>
        <v>2453952.5</v>
      </c>
      <c r="D24" s="181">
        <f t="shared" si="3"/>
        <v>78748.5</v>
      </c>
      <c r="E24" s="181">
        <f t="shared" si="4"/>
        <v>27609827.5</v>
      </c>
      <c r="F24" s="262"/>
      <c r="G24" s="262">
        <f>C22*0.2+C24*0.2+C23*0.2</f>
        <v>1543746</v>
      </c>
      <c r="H24" s="181">
        <f>C23*0.8</f>
        <v>1998598</v>
      </c>
      <c r="I24" s="262">
        <v>1998598</v>
      </c>
      <c r="J24" s="262">
        <f t="shared" si="6"/>
        <v>24102919.5</v>
      </c>
      <c r="K24" s="181">
        <f t="shared" si="1"/>
        <v>0</v>
      </c>
      <c r="L24" s="259">
        <f t="shared" si="2"/>
        <v>3506908</v>
      </c>
      <c r="M24" s="262" t="s">
        <v>4411</v>
      </c>
    </row>
    <row r="25" spans="1:13" ht="33.75" customHeight="1">
      <c r="A25" s="258">
        <v>42644</v>
      </c>
      <c r="B25" s="262">
        <f>3502.5+3936</f>
        <v>7438.5</v>
      </c>
      <c r="C25" s="262">
        <f>1211227.5+1460797.5</f>
        <v>2672025</v>
      </c>
      <c r="D25" s="181">
        <f t="shared" si="3"/>
        <v>86187</v>
      </c>
      <c r="E25" s="181">
        <f t="shared" si="4"/>
        <v>30281852.5</v>
      </c>
      <c r="F25" s="262"/>
      <c r="G25" s="262">
        <f>C22*0.2+C23*0.2+C25*0.2+C24*0.2</f>
        <v>2078151</v>
      </c>
      <c r="H25" s="181">
        <f>C24*0.8</f>
        <v>1963162</v>
      </c>
      <c r="I25" s="262">
        <v>1963162</v>
      </c>
      <c r="J25" s="262">
        <f t="shared" si="6"/>
        <v>26066081.5</v>
      </c>
      <c r="K25" s="181">
        <f t="shared" si="1"/>
        <v>0</v>
      </c>
      <c r="L25" s="259">
        <f t="shared" si="2"/>
        <v>4215771</v>
      </c>
      <c r="M25" s="262" t="s">
        <v>4412</v>
      </c>
    </row>
    <row r="26" spans="1:13" ht="33.75" customHeight="1">
      <c r="A26" s="258">
        <v>42675</v>
      </c>
      <c r="B26" s="262">
        <v>6733</v>
      </c>
      <c r="C26" s="262">
        <v>2386790</v>
      </c>
      <c r="D26" s="181">
        <f t="shared" si="3"/>
        <v>92920</v>
      </c>
      <c r="E26" s="181">
        <f t="shared" si="4"/>
        <v>32668642.5</v>
      </c>
      <c r="F26" s="181"/>
      <c r="G26" s="262">
        <f>C23*0.2+C24*0.2+C26*0.2+C25*0.2+C22*0.2</f>
        <v>2555509</v>
      </c>
      <c r="H26" s="181">
        <f>C25*0.8</f>
        <v>2137620</v>
      </c>
      <c r="I26" s="262">
        <v>2137620</v>
      </c>
      <c r="J26" s="262">
        <f t="shared" si="6"/>
        <v>28203701.5</v>
      </c>
      <c r="K26" s="181">
        <f t="shared" si="1"/>
        <v>0</v>
      </c>
      <c r="L26" s="259">
        <f t="shared" si="2"/>
        <v>4464941</v>
      </c>
      <c r="M26" s="262" t="s">
        <v>4413</v>
      </c>
    </row>
    <row r="27" spans="1:13" ht="33.75" customHeight="1">
      <c r="A27" s="258">
        <v>42705</v>
      </c>
      <c r="B27" s="262">
        <f>2845.5+4408.5</f>
        <v>7254</v>
      </c>
      <c r="C27" s="262">
        <f>963130+1526582.5</f>
        <v>2489712.5</v>
      </c>
      <c r="D27" s="181">
        <f t="shared" si="3"/>
        <v>100174</v>
      </c>
      <c r="E27" s="181">
        <f t="shared" si="4"/>
        <v>35158355</v>
      </c>
      <c r="F27" s="262"/>
      <c r="G27" s="262">
        <v>0</v>
      </c>
      <c r="H27" s="181">
        <f>C26*0.8</f>
        <v>1909432</v>
      </c>
      <c r="I27" s="262">
        <v>1909432</v>
      </c>
      <c r="J27" s="262">
        <f t="shared" si="6"/>
        <v>30113133.5</v>
      </c>
      <c r="K27" s="181">
        <f t="shared" si="1"/>
        <v>0</v>
      </c>
      <c r="L27" s="259">
        <f t="shared" si="2"/>
        <v>5045221.5</v>
      </c>
      <c r="M27" s="323" t="s">
        <v>4414</v>
      </c>
    </row>
    <row r="28" spans="1:13" ht="33.75" customHeight="1">
      <c r="A28" s="258">
        <v>42736</v>
      </c>
      <c r="B28" s="262">
        <f>3580+1318.5</f>
        <v>4898.5</v>
      </c>
      <c r="C28" s="262">
        <f>1288260+469102.5</f>
        <v>1757362.5</v>
      </c>
      <c r="D28" s="181">
        <f t="shared" si="3"/>
        <v>105072.5</v>
      </c>
      <c r="E28" s="181">
        <f t="shared" si="4"/>
        <v>36915717.5</v>
      </c>
      <c r="F28" s="262"/>
      <c r="G28" s="262">
        <f>C28*0.2</f>
        <v>351472.5</v>
      </c>
      <c r="H28" s="294">
        <f>C27+2555509</f>
        <v>5045221.5</v>
      </c>
      <c r="I28" s="262">
        <v>5045221.5</v>
      </c>
      <c r="J28" s="262">
        <f t="shared" si="6"/>
        <v>35158355</v>
      </c>
      <c r="K28" s="181">
        <f t="shared" si="1"/>
        <v>0</v>
      </c>
      <c r="L28" s="259">
        <f t="shared" si="2"/>
        <v>1757362.5</v>
      </c>
      <c r="M28" s="181" t="s">
        <v>4415</v>
      </c>
    </row>
    <row r="29" spans="1:13" ht="33.75" customHeight="1">
      <c r="A29" s="258">
        <v>42767</v>
      </c>
      <c r="B29" s="262">
        <f>880.5+154</f>
        <v>1034.5</v>
      </c>
      <c r="C29" s="262">
        <f>305287.5+54610</f>
        <v>359897.5</v>
      </c>
      <c r="D29" s="181">
        <f t="shared" si="3"/>
        <v>106107</v>
      </c>
      <c r="E29" s="181">
        <f t="shared" si="4"/>
        <v>37275615</v>
      </c>
      <c r="F29" s="262"/>
      <c r="G29" s="262">
        <f>C29*0.2+C28*0.2</f>
        <v>423452</v>
      </c>
      <c r="H29" s="294">
        <f>C28*0.8</f>
        <v>1405890</v>
      </c>
      <c r="I29" s="262">
        <v>375282</v>
      </c>
      <c r="J29" s="262">
        <f t="shared" si="6"/>
        <v>35533637</v>
      </c>
      <c r="K29" s="181">
        <f t="shared" si="1"/>
        <v>1030608</v>
      </c>
      <c r="L29" s="259">
        <f t="shared" si="2"/>
        <v>1741978</v>
      </c>
      <c r="M29" s="299" t="s">
        <v>4416</v>
      </c>
    </row>
    <row r="30" spans="1:13" ht="33.75" customHeight="1">
      <c r="A30" s="258">
        <v>42795</v>
      </c>
      <c r="B30" s="262">
        <v>1383.5</v>
      </c>
      <c r="C30" s="262">
        <v>488952.5</v>
      </c>
      <c r="D30" s="181">
        <f t="shared" si="3"/>
        <v>107490.5</v>
      </c>
      <c r="E30" s="181">
        <f t="shared" si="4"/>
        <v>37764567.5</v>
      </c>
      <c r="F30" s="262"/>
      <c r="G30" s="262">
        <f>C30*0.2+C29*0.2+C28*0.2</f>
        <v>521242.5</v>
      </c>
      <c r="H30" s="294">
        <f>C29*0.8</f>
        <v>287918</v>
      </c>
      <c r="I30" s="262">
        <f>1030608</f>
        <v>1030608</v>
      </c>
      <c r="J30" s="262">
        <f t="shared" si="6"/>
        <v>36564245</v>
      </c>
      <c r="K30" s="181">
        <f t="shared" si="1"/>
        <v>287918</v>
      </c>
      <c r="L30" s="259">
        <f t="shared" si="2"/>
        <v>1200322.5</v>
      </c>
      <c r="M30" s="299" t="s">
        <v>4417</v>
      </c>
    </row>
    <row r="31" spans="1:13" ht="33.75" customHeight="1">
      <c r="A31" s="318">
        <v>42826</v>
      </c>
      <c r="B31" s="299">
        <v>746</v>
      </c>
      <c r="C31" s="299">
        <v>258365</v>
      </c>
      <c r="D31" s="181">
        <f t="shared" si="3"/>
        <v>108236.5</v>
      </c>
      <c r="E31" s="181">
        <f t="shared" si="4"/>
        <v>38022932.5</v>
      </c>
      <c r="F31" s="262"/>
      <c r="G31" s="262">
        <f>C30*0.2+C29*0.2+C28*0.2+C31*0.2</f>
        <v>572915.5</v>
      </c>
      <c r="H31" s="294">
        <f>C30*0.8</f>
        <v>391162</v>
      </c>
      <c r="I31" s="262">
        <v>391162</v>
      </c>
      <c r="J31" s="262">
        <f t="shared" si="6"/>
        <v>36955407</v>
      </c>
      <c r="K31" s="181">
        <f t="shared" si="1"/>
        <v>287918</v>
      </c>
      <c r="L31" s="259">
        <f t="shared" si="2"/>
        <v>1067525.5</v>
      </c>
      <c r="M31" s="262" t="s">
        <v>4418</v>
      </c>
    </row>
    <row r="32" spans="1:13" ht="33.75" customHeight="1">
      <c r="A32" s="258">
        <v>42856</v>
      </c>
      <c r="B32" s="262">
        <v>221</v>
      </c>
      <c r="C32" s="262">
        <v>76895</v>
      </c>
      <c r="D32" s="181">
        <f t="shared" si="3"/>
        <v>108457.5</v>
      </c>
      <c r="E32" s="181">
        <f t="shared" si="4"/>
        <v>38099827.5</v>
      </c>
      <c r="F32" s="262"/>
      <c r="G32" s="262">
        <f>C30*0.2+C29*0.2+C28*0.2+C31*0.2+C32*0.2</f>
        <v>588294.5</v>
      </c>
      <c r="H32" s="294">
        <f>C31*0.8</f>
        <v>206692</v>
      </c>
      <c r="I32" s="262">
        <v>287918</v>
      </c>
      <c r="J32" s="262">
        <f t="shared" si="6"/>
        <v>37243325</v>
      </c>
      <c r="K32" s="181">
        <f t="shared" si="1"/>
        <v>206692</v>
      </c>
      <c r="L32" s="259">
        <f t="shared" si="2"/>
        <v>856502.5</v>
      </c>
      <c r="M32" s="262" t="s">
        <v>4419</v>
      </c>
    </row>
    <row r="33" spans="1:13" ht="33.75" customHeight="1">
      <c r="A33" s="258">
        <v>42887</v>
      </c>
      <c r="B33" s="262">
        <v>58</v>
      </c>
      <c r="C33" s="262">
        <v>20905</v>
      </c>
      <c r="D33" s="181">
        <f t="shared" si="3"/>
        <v>108515.5</v>
      </c>
      <c r="E33" s="181">
        <f t="shared" si="4"/>
        <v>38120732.5</v>
      </c>
      <c r="F33" s="262"/>
      <c r="G33" s="262">
        <v>0</v>
      </c>
      <c r="H33" s="294">
        <f>C32*0.8</f>
        <v>61516</v>
      </c>
      <c r="I33" s="262">
        <v>205888</v>
      </c>
      <c r="J33" s="262">
        <f t="shared" si="6"/>
        <v>37449213</v>
      </c>
      <c r="K33" s="181">
        <f t="shared" si="1"/>
        <v>62320</v>
      </c>
      <c r="L33" s="259">
        <f t="shared" si="2"/>
        <v>671519.5</v>
      </c>
      <c r="M33" s="262" t="s">
        <v>4420</v>
      </c>
    </row>
    <row r="34" spans="1:13" ht="33.75" customHeight="1">
      <c r="A34" s="318">
        <v>42917</v>
      </c>
      <c r="B34" s="299">
        <v>18.5</v>
      </c>
      <c r="C34" s="299">
        <v>7962.5</v>
      </c>
      <c r="D34" s="181">
        <f>D33+B37</f>
        <v>108515.5</v>
      </c>
      <c r="E34" s="181">
        <f>E33+C37</f>
        <v>38120732.5</v>
      </c>
      <c r="F34" s="262"/>
      <c r="G34" s="262">
        <f>C37*0.2</f>
        <v>0</v>
      </c>
      <c r="H34" s="294">
        <f>C33+G32</f>
        <v>609199.5</v>
      </c>
      <c r="I34" s="262">
        <v>565772</v>
      </c>
      <c r="J34" s="262">
        <f t="shared" si="6"/>
        <v>38014985</v>
      </c>
      <c r="K34" s="181">
        <f t="shared" si="1"/>
        <v>105747.5</v>
      </c>
      <c r="L34" s="259">
        <f t="shared" si="2"/>
        <v>105747.5</v>
      </c>
      <c r="M34" s="262" t="s">
        <v>4421</v>
      </c>
    </row>
    <row r="35" spans="1:13" ht="33.75" customHeight="1">
      <c r="A35" s="258">
        <v>42948</v>
      </c>
      <c r="B35" s="262"/>
      <c r="C35" s="262"/>
      <c r="D35" s="181">
        <f>D34+B38</f>
        <v>108515.5</v>
      </c>
      <c r="E35" s="181">
        <f>E34+C38</f>
        <v>38120732.5</v>
      </c>
      <c r="F35" s="262"/>
      <c r="G35" s="262"/>
      <c r="H35" s="294">
        <f>C37*0.8</f>
        <v>0</v>
      </c>
      <c r="I35" s="262"/>
      <c r="J35" s="262">
        <f t="shared" si="6"/>
        <v>38014985</v>
      </c>
      <c r="K35" s="181">
        <f t="shared" si="1"/>
        <v>105747.5</v>
      </c>
      <c r="L35" s="259">
        <f t="shared" si="2"/>
        <v>105747.5</v>
      </c>
      <c r="M35" s="262"/>
    </row>
    <row r="36" spans="1:13" ht="33.75" customHeight="1">
      <c r="A36" s="258">
        <v>42979</v>
      </c>
      <c r="B36" s="262"/>
      <c r="C36" s="262"/>
      <c r="D36" s="181">
        <v>108515.5</v>
      </c>
      <c r="E36" s="181">
        <v>38120732.5</v>
      </c>
      <c r="F36" s="262"/>
      <c r="G36" s="262"/>
      <c r="H36" s="294">
        <v>0</v>
      </c>
      <c r="I36" s="262"/>
      <c r="J36" s="262">
        <v>38014985</v>
      </c>
      <c r="K36" s="181">
        <v>105747.5</v>
      </c>
      <c r="L36" s="262">
        <v>105747.5</v>
      </c>
      <c r="M36" s="262"/>
    </row>
    <row r="37" spans="1:13" ht="27.95" customHeight="1">
      <c r="A37" s="258"/>
      <c r="B37" s="262"/>
      <c r="C37" s="262"/>
      <c r="D37" s="181"/>
      <c r="E37" s="181"/>
      <c r="F37" s="262"/>
      <c r="G37" s="262"/>
      <c r="H37" s="262"/>
      <c r="I37" s="262"/>
      <c r="J37" s="262"/>
      <c r="K37" s="262"/>
      <c r="L37" s="262"/>
      <c r="M37" s="262"/>
    </row>
  </sheetData>
  <mergeCells count="12">
    <mergeCell ref="B4:E4"/>
    <mergeCell ref="F4:I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8" zoomScaleSheetLayoutView="100" workbookViewId="0">
      <selection activeCell="M15" sqref="M15"/>
    </sheetView>
  </sheetViews>
  <sheetFormatPr defaultColWidth="9" defaultRowHeight="14.25"/>
  <cols>
    <col min="1" max="1" width="13.625" customWidth="1"/>
    <col min="2" max="2" width="14.5" customWidth="1"/>
    <col min="3" max="3" width="14.75" customWidth="1"/>
    <col min="4" max="4" width="12" customWidth="1"/>
    <col min="5" max="5" width="13.125" customWidth="1"/>
    <col min="6" max="6" width="12.375" customWidth="1"/>
    <col min="7" max="8" width="11.5" customWidth="1"/>
    <col min="9" max="9" width="11.75" customWidth="1"/>
    <col min="10" max="10" width="14.75" customWidth="1"/>
    <col min="11" max="11" width="35.125" customWidth="1"/>
    <col min="12" max="12" width="13.875" customWidth="1"/>
    <col min="13" max="13" width="38.375" customWidth="1"/>
  </cols>
  <sheetData>
    <row r="1" spans="1:13" ht="57.95" customHeight="1">
      <c r="A1" s="130" t="s">
        <v>556</v>
      </c>
      <c r="B1" s="256">
        <v>42181</v>
      </c>
      <c r="C1" s="257" t="s">
        <v>4422</v>
      </c>
      <c r="D1" s="131" t="s">
        <v>236</v>
      </c>
      <c r="E1" s="2095"/>
      <c r="F1" s="2095"/>
      <c r="G1" s="2116"/>
      <c r="H1" s="2116"/>
      <c r="I1" s="164" t="s">
        <v>237</v>
      </c>
      <c r="J1" s="1701" t="s">
        <v>4423</v>
      </c>
      <c r="K1" s="1701"/>
      <c r="L1" s="1701"/>
      <c r="M1" s="221" t="s">
        <v>1608</v>
      </c>
    </row>
    <row r="2" spans="1:13" ht="39" customHeight="1">
      <c r="A2" s="133" t="s">
        <v>240</v>
      </c>
      <c r="B2" s="1682" t="s">
        <v>4424</v>
      </c>
      <c r="C2" s="1682"/>
      <c r="D2" s="134" t="s">
        <v>242</v>
      </c>
      <c r="E2" s="1706"/>
      <c r="F2" s="1706"/>
      <c r="G2" s="1706"/>
      <c r="H2" s="1706"/>
      <c r="I2" s="166" t="s">
        <v>243</v>
      </c>
      <c r="J2" s="166" t="s">
        <v>4425</v>
      </c>
      <c r="K2" s="310"/>
      <c r="L2" s="166" t="s">
        <v>245</v>
      </c>
      <c r="M2" s="205" t="s">
        <v>4426</v>
      </c>
    </row>
    <row r="3" spans="1:13" ht="33" customHeight="1">
      <c r="A3" s="133" t="s">
        <v>247</v>
      </c>
      <c r="B3" s="1682" t="s">
        <v>4427</v>
      </c>
      <c r="C3" s="1682"/>
      <c r="D3" s="134" t="s">
        <v>249</v>
      </c>
      <c r="E3" s="136">
        <v>30000</v>
      </c>
      <c r="F3" s="134" t="s">
        <v>251</v>
      </c>
      <c r="G3" s="134" t="s">
        <v>4428</v>
      </c>
      <c r="H3" s="134" t="s">
        <v>252</v>
      </c>
      <c r="I3" s="206" t="s">
        <v>4429</v>
      </c>
      <c r="J3" s="41" t="s">
        <v>565</v>
      </c>
      <c r="K3" s="15" t="s">
        <v>4430</v>
      </c>
      <c r="L3" s="15" t="s">
        <v>255</v>
      </c>
      <c r="M3" s="207" t="s">
        <v>4430</v>
      </c>
    </row>
    <row r="4" spans="1:13" ht="68.099999999999994" customHeight="1">
      <c r="A4" s="133" t="s">
        <v>260</v>
      </c>
      <c r="B4" s="1726" t="s">
        <v>4431</v>
      </c>
      <c r="C4" s="1726"/>
      <c r="D4" s="1726"/>
      <c r="E4" s="1726"/>
      <c r="F4" s="1726" t="s">
        <v>4432</v>
      </c>
      <c r="G4" s="1726"/>
      <c r="H4" s="1726"/>
      <c r="I4" s="1726"/>
      <c r="J4" s="1697"/>
      <c r="K4" s="1697"/>
      <c r="L4" s="1697"/>
      <c r="M4" s="170"/>
    </row>
    <row r="5" spans="1:13" ht="39" customHeight="1">
      <c r="A5" s="1688" t="s">
        <v>660</v>
      </c>
      <c r="B5" s="1689"/>
      <c r="C5" s="1689"/>
      <c r="D5" s="1690"/>
      <c r="E5" s="1690"/>
      <c r="F5" s="1690"/>
      <c r="G5" s="1690"/>
      <c r="H5" s="1690"/>
      <c r="I5" s="1690"/>
      <c r="J5" s="169"/>
      <c r="K5" s="169"/>
      <c r="L5" s="169"/>
      <c r="M5" s="264"/>
    </row>
    <row r="6" spans="1:13" ht="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7.95" customHeight="1">
      <c r="A7" s="308">
        <v>42156</v>
      </c>
      <c r="B7" s="259">
        <v>889</v>
      </c>
      <c r="C7" s="181">
        <v>253385</v>
      </c>
      <c r="D7" s="259">
        <f>B7</f>
        <v>889</v>
      </c>
      <c r="E7" s="259">
        <f>C7</f>
        <v>253385</v>
      </c>
      <c r="F7" s="259"/>
      <c r="G7" s="260"/>
      <c r="H7" s="261"/>
      <c r="I7" s="259"/>
      <c r="J7" s="259"/>
      <c r="K7" s="259"/>
      <c r="L7" s="200">
        <f t="shared" ref="L7:L13" si="0">E7-J7</f>
        <v>253385</v>
      </c>
      <c r="M7" s="265"/>
    </row>
    <row r="8" spans="1:13" ht="27.95" customHeight="1">
      <c r="A8" s="309">
        <v>42186</v>
      </c>
      <c r="B8" s="181">
        <v>5057.5</v>
      </c>
      <c r="C8" s="181">
        <v>1461730</v>
      </c>
      <c r="D8" s="181">
        <f t="shared" ref="D8:D13" si="1">D7+B8</f>
        <v>5946.5</v>
      </c>
      <c r="E8" s="181">
        <f t="shared" ref="E8:E13" si="2">E7+C8</f>
        <v>1715115</v>
      </c>
      <c r="F8" s="181"/>
      <c r="G8" s="181"/>
      <c r="H8" s="181">
        <f t="shared" ref="H8:H14" si="3">C7</f>
        <v>253385</v>
      </c>
      <c r="I8" s="181"/>
      <c r="J8" s="181"/>
      <c r="K8" s="181">
        <f t="shared" ref="K8:K14" si="4">K7+H8-I8</f>
        <v>253385</v>
      </c>
      <c r="L8" s="200">
        <f t="shared" si="0"/>
        <v>1715115</v>
      </c>
      <c r="M8" s="266"/>
    </row>
    <row r="9" spans="1:13" ht="27.95" customHeight="1">
      <c r="A9" s="258">
        <v>42217</v>
      </c>
      <c r="B9" s="262">
        <v>719</v>
      </c>
      <c r="C9" s="262">
        <v>211670</v>
      </c>
      <c r="D9" s="181">
        <f t="shared" si="1"/>
        <v>6665.5</v>
      </c>
      <c r="E9" s="181">
        <f t="shared" si="2"/>
        <v>1926785</v>
      </c>
      <c r="F9" s="262"/>
      <c r="G9" s="262"/>
      <c r="H9" s="181">
        <f t="shared" si="3"/>
        <v>1461730</v>
      </c>
      <c r="I9" s="262">
        <v>253385</v>
      </c>
      <c r="J9" s="262">
        <f>I9+J8</f>
        <v>253385</v>
      </c>
      <c r="K9" s="181">
        <f t="shared" si="4"/>
        <v>1461730</v>
      </c>
      <c r="L9" s="200">
        <f t="shared" si="0"/>
        <v>1673400</v>
      </c>
      <c r="M9" s="262" t="s">
        <v>4433</v>
      </c>
    </row>
    <row r="10" spans="1:13" ht="27.95" customHeight="1">
      <c r="A10" s="258">
        <v>42248</v>
      </c>
      <c r="B10" s="262">
        <v>3393</v>
      </c>
      <c r="C10" s="262">
        <v>998895</v>
      </c>
      <c r="D10" s="181">
        <f t="shared" si="1"/>
        <v>10058.5</v>
      </c>
      <c r="E10" s="181">
        <f t="shared" si="2"/>
        <v>2925680</v>
      </c>
      <c r="F10" s="262"/>
      <c r="G10" s="262"/>
      <c r="H10" s="181">
        <f t="shared" si="3"/>
        <v>211670</v>
      </c>
      <c r="I10" s="262">
        <v>1000000</v>
      </c>
      <c r="J10" s="262">
        <f>I10+J9</f>
        <v>1253385</v>
      </c>
      <c r="K10" s="181">
        <f t="shared" si="4"/>
        <v>673400</v>
      </c>
      <c r="L10" s="200">
        <f t="shared" si="0"/>
        <v>1672295</v>
      </c>
      <c r="M10" s="262" t="s">
        <v>4434</v>
      </c>
    </row>
    <row r="11" spans="1:13" ht="27.95" customHeight="1">
      <c r="A11" s="258">
        <v>42278</v>
      </c>
      <c r="B11" s="262">
        <v>377</v>
      </c>
      <c r="C11" s="262">
        <v>115755</v>
      </c>
      <c r="D11" s="181">
        <f t="shared" si="1"/>
        <v>10435.5</v>
      </c>
      <c r="E11" s="181">
        <f t="shared" si="2"/>
        <v>3041435</v>
      </c>
      <c r="F11" s="262"/>
      <c r="G11" s="262"/>
      <c r="H11" s="181">
        <f t="shared" si="3"/>
        <v>998895</v>
      </c>
      <c r="I11" s="262">
        <v>673400</v>
      </c>
      <c r="J11" s="262">
        <f>I11+J10</f>
        <v>1926785</v>
      </c>
      <c r="K11" s="181">
        <f t="shared" si="4"/>
        <v>998895</v>
      </c>
      <c r="L11" s="200">
        <f t="shared" si="0"/>
        <v>1114650</v>
      </c>
      <c r="M11" s="262"/>
    </row>
    <row r="12" spans="1:13" ht="27.95" customHeight="1">
      <c r="A12" s="258">
        <v>42309</v>
      </c>
      <c r="B12" s="262">
        <f>47+1597</f>
        <v>1644</v>
      </c>
      <c r="C12" s="262">
        <f>13395+448800</f>
        <v>462195</v>
      </c>
      <c r="D12" s="181">
        <f t="shared" si="1"/>
        <v>12079.5</v>
      </c>
      <c r="E12" s="181">
        <f t="shared" si="2"/>
        <v>3503630</v>
      </c>
      <c r="F12" s="262"/>
      <c r="G12" s="262"/>
      <c r="H12" s="181">
        <f t="shared" si="3"/>
        <v>115755</v>
      </c>
      <c r="I12" s="262">
        <v>400000</v>
      </c>
      <c r="J12" s="262">
        <f>I12+J11</f>
        <v>2326785</v>
      </c>
      <c r="K12" s="181">
        <f t="shared" si="4"/>
        <v>714650</v>
      </c>
      <c r="L12" s="200">
        <f t="shared" si="0"/>
        <v>1176845</v>
      </c>
      <c r="M12" s="262" t="s">
        <v>4435</v>
      </c>
    </row>
    <row r="13" spans="1:13" ht="27.95" customHeight="1">
      <c r="A13" s="258">
        <v>42339</v>
      </c>
      <c r="B13" s="262">
        <v>0</v>
      </c>
      <c r="C13" s="262">
        <v>0</v>
      </c>
      <c r="D13" s="181">
        <f t="shared" si="1"/>
        <v>12079.5</v>
      </c>
      <c r="E13" s="181">
        <f t="shared" si="2"/>
        <v>3503630</v>
      </c>
      <c r="F13" s="262"/>
      <c r="G13" s="262"/>
      <c r="H13" s="181">
        <f t="shared" si="3"/>
        <v>462195</v>
      </c>
      <c r="I13" s="262">
        <v>1176845</v>
      </c>
      <c r="J13" s="262">
        <f>I13+J12</f>
        <v>3503630</v>
      </c>
      <c r="K13" s="181">
        <f t="shared" si="4"/>
        <v>0</v>
      </c>
      <c r="L13" s="200">
        <f t="shared" si="0"/>
        <v>0</v>
      </c>
      <c r="M13" s="262" t="s">
        <v>4436</v>
      </c>
    </row>
    <row r="14" spans="1:13" ht="27.95" customHeight="1">
      <c r="A14" s="258"/>
      <c r="B14" s="262"/>
      <c r="C14" s="262"/>
      <c r="D14" s="181"/>
      <c r="E14" s="181"/>
      <c r="F14" s="262"/>
      <c r="G14" s="262"/>
      <c r="H14" s="181">
        <f t="shared" si="3"/>
        <v>0</v>
      </c>
      <c r="I14" s="262"/>
      <c r="J14" s="262"/>
      <c r="K14" s="181">
        <f t="shared" si="4"/>
        <v>0</v>
      </c>
      <c r="L14" s="259"/>
      <c r="M14" s="262"/>
    </row>
    <row r="15" spans="1:13" ht="27.95" customHeight="1">
      <c r="A15" s="258"/>
      <c r="B15" s="262"/>
      <c r="C15" s="262"/>
      <c r="D15" s="181"/>
      <c r="E15" s="181"/>
      <c r="F15" s="262"/>
      <c r="G15" s="262"/>
      <c r="H15" s="181"/>
      <c r="I15" s="262"/>
      <c r="J15" s="262"/>
      <c r="K15" s="181"/>
      <c r="L15" s="259"/>
      <c r="M15" s="262"/>
    </row>
    <row r="16" spans="1:13" ht="27.95" customHeight="1">
      <c r="A16" s="258"/>
      <c r="B16" s="262"/>
      <c r="C16" s="262"/>
      <c r="D16" s="181"/>
      <c r="E16" s="181"/>
      <c r="F16" s="262"/>
      <c r="G16" s="262"/>
      <c r="H16" s="181"/>
      <c r="I16" s="262"/>
      <c r="J16" s="262"/>
      <c r="K16" s="181"/>
      <c r="L16" s="259"/>
      <c r="M16" s="262"/>
    </row>
    <row r="17" spans="1:13" ht="27.95" customHeight="1">
      <c r="A17" s="258"/>
      <c r="B17" s="262"/>
      <c r="C17" s="262"/>
      <c r="D17" s="181"/>
      <c r="E17" s="181"/>
      <c r="F17" s="262"/>
      <c r="G17" s="262"/>
      <c r="H17" s="181"/>
      <c r="I17" s="262"/>
      <c r="J17" s="262"/>
      <c r="K17" s="181"/>
      <c r="L17" s="259"/>
      <c r="M17" s="262"/>
    </row>
    <row r="18" spans="1:13" ht="27.95" customHeight="1">
      <c r="A18" s="258"/>
      <c r="B18" s="262"/>
      <c r="C18" s="262"/>
      <c r="D18" s="181"/>
      <c r="E18" s="181"/>
      <c r="F18" s="262"/>
      <c r="G18" s="262"/>
      <c r="H18" s="181"/>
      <c r="I18" s="262"/>
      <c r="J18" s="262"/>
      <c r="K18" s="311"/>
      <c r="L18" s="259"/>
      <c r="M18" s="262"/>
    </row>
    <row r="19" spans="1:13" ht="27.95" customHeight="1">
      <c r="A19" s="258"/>
      <c r="B19" s="262"/>
      <c r="C19" s="262"/>
      <c r="D19" s="181"/>
      <c r="E19" s="181"/>
      <c r="F19" s="262"/>
      <c r="G19" s="262"/>
      <c r="H19" s="181"/>
      <c r="I19" s="262"/>
      <c r="J19" s="262"/>
      <c r="K19" s="181"/>
      <c r="L19" s="259"/>
      <c r="M19" s="262"/>
    </row>
    <row r="20" spans="1:13" ht="27.95" customHeight="1">
      <c r="A20" s="258"/>
      <c r="B20" s="262"/>
      <c r="C20" s="262"/>
      <c r="D20" s="181"/>
      <c r="E20" s="181"/>
      <c r="F20" s="262"/>
      <c r="G20" s="262"/>
      <c r="H20" s="262"/>
      <c r="I20" s="262"/>
      <c r="J20" s="262"/>
      <c r="K20" s="262"/>
      <c r="L20" s="262"/>
      <c r="M20" s="262"/>
    </row>
  </sheetData>
  <mergeCells count="12">
    <mergeCell ref="B4:E4"/>
    <mergeCell ref="F4:I4"/>
    <mergeCell ref="J4:L4"/>
    <mergeCell ref="A5:C5"/>
    <mergeCell ref="D5:F5"/>
    <mergeCell ref="G5:I5"/>
    <mergeCell ref="E1:F1"/>
    <mergeCell ref="G1:H1"/>
    <mergeCell ref="J1:L1"/>
    <mergeCell ref="B2:C2"/>
    <mergeCell ref="E2:H2"/>
    <mergeCell ref="B3:C3"/>
  </mergeCells>
  <phoneticPr fontId="84" type="noConversion"/>
  <pageMargins left="0.75" right="0.75" top="1" bottom="1" header="0.51" footer="0.51"/>
  <pageSetup paperSize="9" orientation="portrait" horizontalDpi="200" verticalDpi="200"/>
  <headerFooter scaleWithDoc="0" alignWithMargins="0"/>
</worksheet>
</file>

<file path=xl/worksheets/sheet1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8"/>
  <sheetViews>
    <sheetView topLeftCell="A19" zoomScaleSheetLayoutView="100" workbookViewId="0">
      <selection activeCell="B25" sqref="B25:M25"/>
    </sheetView>
  </sheetViews>
  <sheetFormatPr defaultColWidth="9" defaultRowHeight="14.25"/>
  <cols>
    <col min="1" max="1" width="18.625" customWidth="1"/>
    <col min="2" max="2" width="14.5" customWidth="1"/>
    <col min="3" max="3" width="14.75" customWidth="1"/>
    <col min="4" max="4" width="12" customWidth="1"/>
    <col min="5" max="5" width="13.125" customWidth="1"/>
    <col min="6" max="6" width="12.375" customWidth="1"/>
    <col min="7" max="8" width="11.5" customWidth="1"/>
    <col min="9" max="9" width="15.5" customWidth="1"/>
    <col min="10" max="10" width="14.75" customWidth="1"/>
    <col min="11" max="11" width="11.5" customWidth="1"/>
    <col min="12" max="12" width="15.125" customWidth="1"/>
    <col min="13" max="13" width="38.375" customWidth="1"/>
  </cols>
  <sheetData>
    <row r="1" spans="1:13" ht="72" customHeight="1">
      <c r="A1" s="1709" t="s">
        <v>556</v>
      </c>
      <c r="B1" s="1711" t="s">
        <v>4437</v>
      </c>
      <c r="C1" s="1713" t="s">
        <v>4438</v>
      </c>
      <c r="D1" s="1715" t="s">
        <v>236</v>
      </c>
      <c r="E1" s="1718"/>
      <c r="F1" s="1719"/>
      <c r="G1" s="1738" t="s">
        <v>4439</v>
      </c>
      <c r="H1" s="2238"/>
      <c r="I1" s="164" t="s">
        <v>237</v>
      </c>
      <c r="J1" s="1701" t="s">
        <v>4440</v>
      </c>
      <c r="K1" s="1701"/>
      <c r="L1" s="1701"/>
      <c r="M1" s="221" t="s">
        <v>4441</v>
      </c>
    </row>
    <row r="2" spans="1:13" ht="60.95" customHeight="1">
      <c r="A2" s="1710"/>
      <c r="B2" s="1712"/>
      <c r="C2" s="1714"/>
      <c r="D2" s="1716"/>
      <c r="E2" s="1720"/>
      <c r="F2" s="1721"/>
      <c r="G2" s="1740"/>
      <c r="H2" s="2239"/>
      <c r="I2" s="306" t="s">
        <v>4442</v>
      </c>
      <c r="J2" s="2235" t="s">
        <v>4443</v>
      </c>
      <c r="K2" s="2236"/>
      <c r="L2" s="2236"/>
      <c r="M2" s="2237"/>
    </row>
    <row r="3" spans="1:13" ht="39" customHeight="1">
      <c r="A3" s="133" t="s">
        <v>240</v>
      </c>
      <c r="B3" s="1682" t="s">
        <v>4444</v>
      </c>
      <c r="C3" s="1682"/>
      <c r="D3" s="134" t="s">
        <v>242</v>
      </c>
      <c r="E3" s="1706"/>
      <c r="F3" s="1706"/>
      <c r="G3" s="1706"/>
      <c r="H3" s="1706"/>
      <c r="I3" s="166" t="s">
        <v>243</v>
      </c>
      <c r="J3" s="1707" t="s">
        <v>421</v>
      </c>
      <c r="K3" s="1708"/>
      <c r="L3" s="166" t="s">
        <v>245</v>
      </c>
      <c r="M3" s="205" t="s">
        <v>4445</v>
      </c>
    </row>
    <row r="4" spans="1:13" ht="33" customHeight="1">
      <c r="A4" s="133" t="s">
        <v>247</v>
      </c>
      <c r="B4" s="1682" t="s">
        <v>4446</v>
      </c>
      <c r="C4" s="1682"/>
      <c r="D4" s="134" t="s">
        <v>249</v>
      </c>
      <c r="E4" s="136">
        <v>117020.9</v>
      </c>
      <c r="F4" s="134" t="s">
        <v>251</v>
      </c>
      <c r="G4" s="134"/>
      <c r="H4" s="134" t="s">
        <v>252</v>
      </c>
      <c r="I4" s="206"/>
      <c r="J4" s="41" t="s">
        <v>565</v>
      </c>
      <c r="K4" s="15"/>
      <c r="L4" s="15" t="s">
        <v>255</v>
      </c>
      <c r="M4" s="207" t="s">
        <v>4447</v>
      </c>
    </row>
    <row r="5" spans="1:13" ht="108.95" customHeight="1">
      <c r="A5" s="133" t="s">
        <v>260</v>
      </c>
      <c r="B5" s="1726" t="s">
        <v>4448</v>
      </c>
      <c r="C5" s="1726"/>
      <c r="D5" s="1726"/>
      <c r="E5" s="1726"/>
      <c r="F5" s="2080" t="s">
        <v>4449</v>
      </c>
      <c r="G5" s="2080"/>
      <c r="H5" s="2080"/>
      <c r="I5" s="2080"/>
      <c r="J5" s="1697" t="s">
        <v>4450</v>
      </c>
      <c r="K5" s="1697"/>
      <c r="L5" s="1697"/>
      <c r="M5" s="170"/>
    </row>
    <row r="6" spans="1:13" ht="57" customHeight="1">
      <c r="A6" s="1688" t="s">
        <v>660</v>
      </c>
      <c r="B6" s="1689"/>
      <c r="C6" s="1689"/>
      <c r="D6" s="1690"/>
      <c r="E6" s="1690"/>
      <c r="F6" s="1690"/>
      <c r="G6" s="1690"/>
      <c r="H6" s="1690"/>
      <c r="I6" s="1690"/>
      <c r="J6" s="1698"/>
      <c r="K6" s="1699"/>
      <c r="L6" s="1700"/>
      <c r="M6" s="264"/>
    </row>
    <row r="7" spans="1:13" ht="51"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36" customHeight="1">
      <c r="A8" s="270" t="s">
        <v>4451</v>
      </c>
      <c r="B8" s="259">
        <v>6415.5</v>
      </c>
      <c r="C8" s="181">
        <v>1647475</v>
      </c>
      <c r="D8" s="259">
        <f>B8</f>
        <v>6415.5</v>
      </c>
      <c r="E8" s="259">
        <f>C8</f>
        <v>1647475</v>
      </c>
      <c r="F8" s="298"/>
      <c r="G8" s="260">
        <f>C8</f>
        <v>1647475</v>
      </c>
      <c r="H8" s="261"/>
      <c r="I8" s="259"/>
      <c r="J8" s="259"/>
      <c r="K8" s="259"/>
      <c r="L8" s="200">
        <f t="shared" ref="L8:L23" si="0">E8-J8</f>
        <v>1647475</v>
      </c>
      <c r="M8" s="265"/>
    </row>
    <row r="9" spans="1:13" ht="36" customHeight="1">
      <c r="A9" s="275" t="s">
        <v>4452</v>
      </c>
      <c r="B9" s="259">
        <v>8419</v>
      </c>
      <c r="C9" s="181">
        <v>2215950</v>
      </c>
      <c r="D9" s="181">
        <f t="shared" ref="D9:D23" si="1">D8+B9</f>
        <v>14834.5</v>
      </c>
      <c r="E9" s="181">
        <f t="shared" ref="E9:E23" si="2">E8+C9</f>
        <v>3863425</v>
      </c>
      <c r="F9" s="298"/>
      <c r="G9" s="260">
        <f>C9+C8*0.3</f>
        <v>2710192.5</v>
      </c>
      <c r="H9" s="181"/>
      <c r="I9" s="181"/>
      <c r="J9" s="181"/>
      <c r="K9" s="181"/>
      <c r="L9" s="200">
        <f t="shared" si="0"/>
        <v>3863425</v>
      </c>
      <c r="M9" s="266"/>
    </row>
    <row r="10" spans="1:13" ht="36" customHeight="1">
      <c r="A10" s="275" t="s">
        <v>4453</v>
      </c>
      <c r="B10" s="259">
        <v>14635.6</v>
      </c>
      <c r="C10" s="181">
        <v>4001372</v>
      </c>
      <c r="D10" s="181">
        <f t="shared" si="1"/>
        <v>29470.1</v>
      </c>
      <c r="E10" s="181">
        <f t="shared" si="2"/>
        <v>7864797</v>
      </c>
      <c r="F10" s="298"/>
      <c r="G10" s="260">
        <f>C10+E9*0.3</f>
        <v>5160399.5</v>
      </c>
      <c r="H10" s="299">
        <f>C8*0.7</f>
        <v>1153232.5</v>
      </c>
      <c r="I10" s="262"/>
      <c r="J10" s="262"/>
      <c r="K10" s="181">
        <f t="shared" ref="K10:K24" si="3">K9+H10-I10</f>
        <v>1153232.5</v>
      </c>
      <c r="L10" s="200">
        <f t="shared" si="0"/>
        <v>7864797</v>
      </c>
      <c r="M10" s="262"/>
    </row>
    <row r="11" spans="1:13" ht="36" customHeight="1">
      <c r="A11" s="275" t="s">
        <v>592</v>
      </c>
      <c r="B11" s="262">
        <v>8341.5</v>
      </c>
      <c r="C11" s="262">
        <v>2345001.5</v>
      </c>
      <c r="D11" s="181">
        <f t="shared" si="1"/>
        <v>37811.599999999999</v>
      </c>
      <c r="E11" s="181">
        <f t="shared" si="2"/>
        <v>10209798.5</v>
      </c>
      <c r="F11" s="298"/>
      <c r="G11" s="260">
        <f>C11+E10*0.3</f>
        <v>4704440.5999999996</v>
      </c>
      <c r="H11" s="299">
        <f>C9*0.7</f>
        <v>1551165</v>
      </c>
      <c r="I11" s="262">
        <v>2500000</v>
      </c>
      <c r="J11" s="262">
        <f>I11+J10</f>
        <v>2500000</v>
      </c>
      <c r="K11" s="181">
        <f t="shared" si="3"/>
        <v>204397.5</v>
      </c>
      <c r="L11" s="200">
        <f t="shared" si="0"/>
        <v>7709798.5</v>
      </c>
      <c r="M11" s="262" t="s">
        <v>2347</v>
      </c>
    </row>
    <row r="12" spans="1:13" ht="36" customHeight="1">
      <c r="A12" s="300" t="s">
        <v>593</v>
      </c>
      <c r="B12" s="301">
        <v>7716</v>
      </c>
      <c r="C12" s="301">
        <v>2131400</v>
      </c>
      <c r="D12" s="302">
        <f t="shared" si="1"/>
        <v>45527.6</v>
      </c>
      <c r="E12" s="302">
        <f t="shared" si="2"/>
        <v>12341198.5</v>
      </c>
      <c r="F12" s="298"/>
      <c r="G12" s="260">
        <f>C12+E11*0.3</f>
        <v>5194339.55</v>
      </c>
      <c r="H12" s="181">
        <f>C10*0.7</f>
        <v>2800960.4</v>
      </c>
      <c r="I12" s="262"/>
      <c r="J12" s="262">
        <f t="shared" ref="J12:J23" si="4">I12+J11</f>
        <v>2500000</v>
      </c>
      <c r="K12" s="181">
        <f t="shared" si="3"/>
        <v>3005357.9</v>
      </c>
      <c r="L12" s="200">
        <f t="shared" si="0"/>
        <v>9841198.5</v>
      </c>
      <c r="M12" s="262"/>
    </row>
    <row r="13" spans="1:13" ht="36" customHeight="1">
      <c r="A13" s="300" t="s">
        <v>594</v>
      </c>
      <c r="B13" s="303">
        <v>5135</v>
      </c>
      <c r="C13" s="302">
        <v>1402295</v>
      </c>
      <c r="D13" s="302">
        <f t="shared" si="1"/>
        <v>50662.6</v>
      </c>
      <c r="E13" s="302">
        <f t="shared" si="2"/>
        <v>13743493.5</v>
      </c>
      <c r="F13" s="298"/>
      <c r="G13" s="260">
        <f>C13+E12*0.3</f>
        <v>5104654.55</v>
      </c>
      <c r="H13" s="181">
        <f>C11*0.7</f>
        <v>1641501.0499999998</v>
      </c>
      <c r="I13" s="262"/>
      <c r="J13" s="262">
        <f t="shared" si="4"/>
        <v>2500000</v>
      </c>
      <c r="K13" s="181">
        <f t="shared" si="3"/>
        <v>4646858.9499999993</v>
      </c>
      <c r="L13" s="200">
        <f t="shared" si="0"/>
        <v>11243493.5</v>
      </c>
      <c r="M13" s="267" t="s">
        <v>4454</v>
      </c>
    </row>
    <row r="14" spans="1:13" ht="36" customHeight="1">
      <c r="A14" s="275" t="s">
        <v>4455</v>
      </c>
      <c r="B14" s="262">
        <v>5086.5</v>
      </c>
      <c r="C14" s="262">
        <v>1346440</v>
      </c>
      <c r="D14" s="181">
        <f t="shared" si="1"/>
        <v>55749.1</v>
      </c>
      <c r="E14" s="181">
        <f t="shared" si="2"/>
        <v>15089933.5</v>
      </c>
      <c r="F14" s="298"/>
      <c r="G14" s="260">
        <f>E12*0.25*5/6+E12*0.05+C14</f>
        <v>4534582.9458333338</v>
      </c>
      <c r="H14" s="181">
        <f>C12*0.7</f>
        <v>1491980</v>
      </c>
      <c r="I14" s="262">
        <f>4646858.95+1491980</f>
        <v>6138838.9500000002</v>
      </c>
      <c r="J14" s="262">
        <f t="shared" si="4"/>
        <v>8638838.9499999993</v>
      </c>
      <c r="K14" s="181">
        <f t="shared" si="3"/>
        <v>0</v>
      </c>
      <c r="L14" s="200">
        <f t="shared" si="0"/>
        <v>6451094.5500000007</v>
      </c>
      <c r="M14" s="262"/>
    </row>
    <row r="15" spans="1:13" ht="36" customHeight="1">
      <c r="A15" s="275" t="s">
        <v>4456</v>
      </c>
      <c r="B15" s="262">
        <v>3370</v>
      </c>
      <c r="C15" s="262">
        <v>908335</v>
      </c>
      <c r="D15" s="181">
        <f t="shared" si="1"/>
        <v>59119.1</v>
      </c>
      <c r="E15" s="181">
        <f t="shared" si="2"/>
        <v>15998268.5</v>
      </c>
      <c r="F15" s="298"/>
      <c r="G15" s="260">
        <f>E12*0.25*4/6+E12*0.05+C16</f>
        <v>3468531.3416666668</v>
      </c>
      <c r="H15" s="304">
        <f>C13+E12*0.25*1/6</f>
        <v>1916511.6041666667</v>
      </c>
      <c r="I15" s="262"/>
      <c r="J15" s="262">
        <f t="shared" si="4"/>
        <v>8638838.9499999993</v>
      </c>
      <c r="K15" s="181">
        <f t="shared" si="3"/>
        <v>1916511.6041666667</v>
      </c>
      <c r="L15" s="200">
        <f t="shared" si="0"/>
        <v>7359429.5500000007</v>
      </c>
      <c r="M15" s="262"/>
    </row>
    <row r="16" spans="1:13" ht="36" customHeight="1">
      <c r="A16" s="275" t="s">
        <v>597</v>
      </c>
      <c r="B16" s="262">
        <v>3047</v>
      </c>
      <c r="C16" s="262">
        <v>794605</v>
      </c>
      <c r="D16" s="181">
        <f t="shared" si="1"/>
        <v>62166.1</v>
      </c>
      <c r="E16" s="181">
        <f t="shared" si="2"/>
        <v>16792873.5</v>
      </c>
      <c r="F16" s="298"/>
      <c r="G16" s="260">
        <f>E12*0.25*3/6+E12*0.05+C16</f>
        <v>2954314.7374999998</v>
      </c>
      <c r="H16" s="304">
        <f>C14+E12*0.25*1/6</f>
        <v>1860656.6041666667</v>
      </c>
      <c r="I16" s="262">
        <v>1500000</v>
      </c>
      <c r="J16" s="262">
        <f t="shared" si="4"/>
        <v>10138838.949999999</v>
      </c>
      <c r="K16" s="181">
        <f t="shared" si="3"/>
        <v>2277168.2083333335</v>
      </c>
      <c r="L16" s="200">
        <f t="shared" si="0"/>
        <v>6654034.5500000007</v>
      </c>
      <c r="M16" s="262" t="s">
        <v>4457</v>
      </c>
    </row>
    <row r="17" spans="1:13" ht="36" customHeight="1">
      <c r="A17" s="275" t="s">
        <v>598</v>
      </c>
      <c r="B17" s="262">
        <v>1345</v>
      </c>
      <c r="C17" s="262">
        <v>368105</v>
      </c>
      <c r="D17" s="181">
        <f t="shared" si="1"/>
        <v>63511.1</v>
      </c>
      <c r="E17" s="181">
        <f t="shared" si="2"/>
        <v>17160978.5</v>
      </c>
      <c r="F17" s="298"/>
      <c r="G17" s="260">
        <f>E12*0.25*2/6+E12*0.05+C17</f>
        <v>2013598.1333333333</v>
      </c>
      <c r="H17" s="304">
        <f>C15+E12*0.25*1/6</f>
        <v>1422551.6041666667</v>
      </c>
      <c r="I17" s="262"/>
      <c r="J17" s="262">
        <f t="shared" si="4"/>
        <v>10138838.949999999</v>
      </c>
      <c r="K17" s="181">
        <f t="shared" si="3"/>
        <v>3699719.8125</v>
      </c>
      <c r="L17" s="200">
        <f t="shared" si="0"/>
        <v>7022139.5500000007</v>
      </c>
      <c r="M17" s="307" t="s">
        <v>4458</v>
      </c>
    </row>
    <row r="18" spans="1:13" ht="36" customHeight="1">
      <c r="A18" s="275" t="s">
        <v>4459</v>
      </c>
      <c r="B18" s="262">
        <v>557</v>
      </c>
      <c r="C18" s="262">
        <v>151555</v>
      </c>
      <c r="D18" s="181">
        <f t="shared" si="1"/>
        <v>64068.1</v>
      </c>
      <c r="E18" s="181">
        <f t="shared" si="2"/>
        <v>17312533.5</v>
      </c>
      <c r="F18" s="298"/>
      <c r="G18" s="260">
        <f>E12*0.25*1/6+E12*0.05+C18</f>
        <v>1282831.5291666668</v>
      </c>
      <c r="H18" s="304">
        <f>C16+E12*0.25*1/6</f>
        <v>1308821.6041666667</v>
      </c>
      <c r="I18" s="262"/>
      <c r="J18" s="262">
        <f t="shared" si="4"/>
        <v>10138838.949999999</v>
      </c>
      <c r="K18" s="181">
        <f t="shared" si="3"/>
        <v>5008541.416666667</v>
      </c>
      <c r="L18" s="200">
        <f t="shared" si="0"/>
        <v>7173694.5500000007</v>
      </c>
      <c r="M18" s="262" t="s">
        <v>4460</v>
      </c>
    </row>
    <row r="19" spans="1:13" ht="36" customHeight="1">
      <c r="A19" s="275" t="s">
        <v>4461</v>
      </c>
      <c r="B19" s="262">
        <v>284</v>
      </c>
      <c r="C19" s="262">
        <v>74905</v>
      </c>
      <c r="D19" s="181">
        <f t="shared" si="1"/>
        <v>64352.1</v>
      </c>
      <c r="E19" s="181">
        <f t="shared" si="2"/>
        <v>17387438.5</v>
      </c>
      <c r="F19" s="298"/>
      <c r="G19" s="260">
        <f>E12*0.05+C19</f>
        <v>691964.92500000005</v>
      </c>
      <c r="H19" s="304">
        <f>C17+E12*0.25*1/6</f>
        <v>882321.60416666674</v>
      </c>
      <c r="I19" s="262">
        <v>1600000</v>
      </c>
      <c r="J19" s="262">
        <f t="shared" si="4"/>
        <v>11738838.949999999</v>
      </c>
      <c r="K19" s="181">
        <f t="shared" si="3"/>
        <v>4290863.020833334</v>
      </c>
      <c r="L19" s="200">
        <f t="shared" si="0"/>
        <v>5648599.5500000007</v>
      </c>
      <c r="M19" s="262"/>
    </row>
    <row r="20" spans="1:13" ht="36" customHeight="1">
      <c r="A20" s="275" t="s">
        <v>4462</v>
      </c>
      <c r="B20" s="262">
        <v>1339.5</v>
      </c>
      <c r="C20" s="262">
        <v>346127.5</v>
      </c>
      <c r="D20" s="181">
        <f t="shared" si="1"/>
        <v>65691.600000000006</v>
      </c>
      <c r="E20" s="181">
        <f t="shared" si="2"/>
        <v>17733566</v>
      </c>
      <c r="F20" s="298"/>
      <c r="G20" s="260">
        <f>E12*0.05+C20</f>
        <v>963187.42500000005</v>
      </c>
      <c r="H20" s="304">
        <f>C18+E12*0.25*1/6</f>
        <v>665771.60416666674</v>
      </c>
      <c r="I20" s="262">
        <v>379934.5</v>
      </c>
      <c r="J20" s="262">
        <f t="shared" si="4"/>
        <v>12118773.449999999</v>
      </c>
      <c r="K20" s="181">
        <f t="shared" si="3"/>
        <v>4576700.1250000009</v>
      </c>
      <c r="L20" s="200">
        <f t="shared" si="0"/>
        <v>5614792.5500000007</v>
      </c>
      <c r="M20" s="262" t="s">
        <v>4463</v>
      </c>
    </row>
    <row r="21" spans="1:13" ht="36" customHeight="1">
      <c r="A21" s="275" t="s">
        <v>4464</v>
      </c>
      <c r="B21" s="262">
        <v>1013.5</v>
      </c>
      <c r="C21" s="262">
        <v>275120</v>
      </c>
      <c r="D21" s="181">
        <f t="shared" si="1"/>
        <v>66705.100000000006</v>
      </c>
      <c r="E21" s="181">
        <f t="shared" si="2"/>
        <v>18008686</v>
      </c>
      <c r="F21" s="298"/>
      <c r="G21" s="260">
        <f>E12*0.05+C21</f>
        <v>892179.92500000005</v>
      </c>
      <c r="H21" s="304">
        <f>C19</f>
        <v>74905</v>
      </c>
      <c r="I21" s="262"/>
      <c r="J21" s="262">
        <f t="shared" si="4"/>
        <v>12118773.449999999</v>
      </c>
      <c r="K21" s="181">
        <f t="shared" si="3"/>
        <v>4651605.1250000009</v>
      </c>
      <c r="L21" s="200">
        <f t="shared" si="0"/>
        <v>5889912.5500000007</v>
      </c>
      <c r="M21" s="262" t="s">
        <v>4465</v>
      </c>
    </row>
    <row r="22" spans="1:13" ht="36" customHeight="1">
      <c r="A22" s="275" t="s">
        <v>4466</v>
      </c>
      <c r="B22" s="262">
        <v>239.5</v>
      </c>
      <c r="C22" s="262">
        <v>109970</v>
      </c>
      <c r="D22" s="181">
        <f t="shared" si="1"/>
        <v>66944.600000000006</v>
      </c>
      <c r="E22" s="181">
        <f t="shared" si="2"/>
        <v>18118656</v>
      </c>
      <c r="F22" s="262"/>
      <c r="G22" s="260">
        <f>E12*0.05+C22</f>
        <v>727029.92500000005</v>
      </c>
      <c r="H22" s="304">
        <f>C20</f>
        <v>346127.5</v>
      </c>
      <c r="I22" s="262">
        <v>921805.43</v>
      </c>
      <c r="J22" s="262">
        <f t="shared" si="4"/>
        <v>13040578.879999999</v>
      </c>
      <c r="K22" s="181">
        <f t="shared" si="3"/>
        <v>4075927.1950000008</v>
      </c>
      <c r="L22" s="200">
        <f t="shared" si="0"/>
        <v>5078077.120000001</v>
      </c>
      <c r="M22" s="262"/>
    </row>
    <row r="23" spans="1:13" ht="36" customHeight="1">
      <c r="A23" s="275" t="s">
        <v>4467</v>
      </c>
      <c r="B23" s="262">
        <v>652.5</v>
      </c>
      <c r="C23" s="262">
        <v>185885</v>
      </c>
      <c r="D23" s="181">
        <f t="shared" si="1"/>
        <v>67597.100000000006</v>
      </c>
      <c r="E23" s="181">
        <f t="shared" si="2"/>
        <v>18304541</v>
      </c>
      <c r="F23" s="262"/>
      <c r="G23" s="260">
        <f>E12*0.05+C23</f>
        <v>802944.92500000005</v>
      </c>
      <c r="H23" s="304">
        <f>C21</f>
        <v>275120</v>
      </c>
      <c r="I23" s="262"/>
      <c r="J23" s="262">
        <f t="shared" si="4"/>
        <v>13040578.879999999</v>
      </c>
      <c r="K23" s="181">
        <f t="shared" si="3"/>
        <v>4351047.1950000003</v>
      </c>
      <c r="L23" s="200">
        <f t="shared" si="0"/>
        <v>5263962.120000001</v>
      </c>
      <c r="M23" s="262" t="s">
        <v>4468</v>
      </c>
    </row>
    <row r="24" spans="1:13" ht="36" customHeight="1">
      <c r="A24" s="258"/>
      <c r="B24" s="262"/>
      <c r="C24" s="262"/>
      <c r="D24" s="181"/>
      <c r="E24" s="181"/>
      <c r="F24" s="262"/>
      <c r="G24" s="260"/>
      <c r="H24" s="304">
        <f>C22</f>
        <v>109970</v>
      </c>
      <c r="I24" s="262"/>
      <c r="J24" s="262"/>
      <c r="K24" s="181">
        <f t="shared" si="3"/>
        <v>4461017.1950000003</v>
      </c>
      <c r="L24" s="200"/>
      <c r="M24" s="262"/>
    </row>
    <row r="25" spans="1:13" ht="36" customHeight="1">
      <c r="A25" s="258">
        <v>42979</v>
      </c>
      <c r="B25" s="262">
        <v>652.5</v>
      </c>
      <c r="C25" s="262">
        <v>185885</v>
      </c>
      <c r="D25" s="181">
        <v>67597.100000000006</v>
      </c>
      <c r="E25" s="181">
        <v>18304541</v>
      </c>
      <c r="F25" s="262"/>
      <c r="G25" s="260">
        <v>802944.92500000005</v>
      </c>
      <c r="H25" s="305">
        <v>275120</v>
      </c>
      <c r="I25" s="262"/>
      <c r="J25" s="262">
        <v>13040578.879999999</v>
      </c>
      <c r="K25" s="181">
        <v>4351047.1950000003</v>
      </c>
      <c r="L25" s="200">
        <v>5263962.120000001</v>
      </c>
      <c r="M25" s="262" t="s">
        <v>4468</v>
      </c>
    </row>
    <row r="26" spans="1:13" ht="36" customHeight="1">
      <c r="A26" s="258"/>
      <c r="B26" s="262"/>
      <c r="C26" s="262"/>
      <c r="D26" s="181"/>
      <c r="E26" s="181"/>
      <c r="F26" s="262"/>
      <c r="G26" s="260"/>
      <c r="H26" s="305"/>
      <c r="I26" s="262"/>
      <c r="J26" s="262"/>
      <c r="K26" s="181"/>
      <c r="L26" s="200"/>
      <c r="M26" s="262"/>
    </row>
    <row r="27" spans="1:13" ht="36" customHeight="1">
      <c r="A27" s="258"/>
      <c r="B27" s="262"/>
      <c r="C27" s="262"/>
      <c r="D27" s="181"/>
      <c r="E27" s="181"/>
      <c r="F27" s="262"/>
      <c r="G27" s="260"/>
      <c r="H27" s="305"/>
      <c r="I27" s="262"/>
      <c r="J27" s="262"/>
      <c r="K27" s="181"/>
      <c r="L27" s="200"/>
      <c r="M27" s="262"/>
    </row>
    <row r="28" spans="1:13" ht="36" customHeight="1">
      <c r="A28" s="258"/>
      <c r="B28" s="262"/>
      <c r="C28" s="262"/>
      <c r="D28" s="181"/>
      <c r="E28" s="181"/>
      <c r="F28" s="262"/>
      <c r="G28" s="260"/>
      <c r="H28" s="305"/>
      <c r="I28" s="262"/>
      <c r="J28" s="262"/>
      <c r="K28" s="181"/>
      <c r="L28" s="200"/>
      <c r="M28" s="262"/>
    </row>
  </sheetData>
  <mergeCells count="19">
    <mergeCell ref="A1:A2"/>
    <mergeCell ref="B1:B2"/>
    <mergeCell ref="C1:C2"/>
    <mergeCell ref="D1:D2"/>
    <mergeCell ref="E1:F2"/>
    <mergeCell ref="G1:H2"/>
    <mergeCell ref="B5:E5"/>
    <mergeCell ref="F5:I5"/>
    <mergeCell ref="J5:L5"/>
    <mergeCell ref="A6:C6"/>
    <mergeCell ref="D6:F6"/>
    <mergeCell ref="G6:I6"/>
    <mergeCell ref="J6:L6"/>
    <mergeCell ref="J1:L1"/>
    <mergeCell ref="J2:M2"/>
    <mergeCell ref="B3:C3"/>
    <mergeCell ref="E3:H3"/>
    <mergeCell ref="J3:K3"/>
    <mergeCell ref="B4:C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4"/>
  <sheetViews>
    <sheetView topLeftCell="A13" zoomScaleSheetLayoutView="100" workbookViewId="0">
      <selection activeCell="B22" sqref="B22:M22"/>
    </sheetView>
  </sheetViews>
  <sheetFormatPr defaultColWidth="9" defaultRowHeight="14.25"/>
  <cols>
    <col min="1" max="1" width="17.125" customWidth="1"/>
    <col min="2" max="2" width="14.5" customWidth="1"/>
    <col min="3" max="3" width="14.75" customWidth="1"/>
    <col min="4" max="4" width="12" customWidth="1"/>
    <col min="5" max="5" width="13.125" customWidth="1"/>
    <col min="6" max="6" width="12.375" customWidth="1"/>
    <col min="7" max="8" width="11.5" customWidth="1"/>
    <col min="9" max="9" width="15.5" customWidth="1"/>
    <col min="10" max="10" width="14.75" customWidth="1"/>
    <col min="11" max="11" width="11.5" customWidth="1"/>
    <col min="12" max="12" width="15.125" customWidth="1"/>
    <col min="13" max="13" width="38.375" customWidth="1"/>
  </cols>
  <sheetData>
    <row r="1" spans="1:13" ht="81" customHeight="1">
      <c r="A1" s="130" t="s">
        <v>556</v>
      </c>
      <c r="B1" s="256" t="s">
        <v>4469</v>
      </c>
      <c r="C1" s="257" t="s">
        <v>4470</v>
      </c>
      <c r="D1" s="131" t="s">
        <v>236</v>
      </c>
      <c r="E1" s="2095" t="s">
        <v>4471</v>
      </c>
      <c r="F1" s="2095"/>
      <c r="G1" s="2116" t="s">
        <v>4472</v>
      </c>
      <c r="H1" s="2116"/>
      <c r="I1" s="164" t="s">
        <v>237</v>
      </c>
      <c r="J1" s="1701" t="s">
        <v>4473</v>
      </c>
      <c r="K1" s="1701"/>
      <c r="L1" s="1701"/>
      <c r="M1" s="221" t="s">
        <v>4474</v>
      </c>
    </row>
    <row r="2" spans="1:13" ht="72.95" customHeight="1">
      <c r="A2" s="133" t="s">
        <v>240</v>
      </c>
      <c r="B2" s="1682" t="s">
        <v>698</v>
      </c>
      <c r="C2" s="1682"/>
      <c r="D2" s="134" t="s">
        <v>242</v>
      </c>
      <c r="E2" s="2047"/>
      <c r="F2" s="2048"/>
      <c r="G2" s="2049"/>
      <c r="H2" s="295" t="s">
        <v>4475</v>
      </c>
      <c r="I2" s="166" t="s">
        <v>425</v>
      </c>
      <c r="J2" s="2240" t="s">
        <v>4476</v>
      </c>
      <c r="K2" s="2241"/>
      <c r="L2" s="2241"/>
      <c r="M2" s="2242"/>
    </row>
    <row r="3" spans="1:13" ht="53.1" customHeight="1">
      <c r="A3" s="133" t="s">
        <v>247</v>
      </c>
      <c r="B3" s="1682" t="s">
        <v>4477</v>
      </c>
      <c r="C3" s="1682"/>
      <c r="D3" s="134" t="s">
        <v>249</v>
      </c>
      <c r="E3" s="136">
        <v>65000</v>
      </c>
      <c r="F3" s="134" t="s">
        <v>251</v>
      </c>
      <c r="G3" s="135"/>
      <c r="H3" s="134" t="s">
        <v>252</v>
      </c>
      <c r="I3" s="166" t="s">
        <v>243</v>
      </c>
      <c r="J3" s="1707" t="s">
        <v>421</v>
      </c>
      <c r="K3" s="1708"/>
      <c r="L3" s="166" t="s">
        <v>245</v>
      </c>
      <c r="M3" s="167" t="s">
        <v>4478</v>
      </c>
    </row>
    <row r="4" spans="1:13" ht="108.95" customHeight="1">
      <c r="A4" s="133" t="s">
        <v>260</v>
      </c>
      <c r="B4" s="1726" t="s">
        <v>4479</v>
      </c>
      <c r="C4" s="1726"/>
      <c r="D4" s="1726"/>
      <c r="E4" s="1726"/>
      <c r="F4" s="2108"/>
      <c r="G4" s="2109"/>
      <c r="H4" s="2110"/>
      <c r="I4" s="296"/>
      <c r="J4" s="41" t="s">
        <v>565</v>
      </c>
      <c r="K4" s="15" t="s">
        <v>4480</v>
      </c>
      <c r="L4" s="15" t="s">
        <v>255</v>
      </c>
      <c r="M4" s="207" t="s">
        <v>4481</v>
      </c>
    </row>
    <row r="5" spans="1:13" ht="72" customHeight="1">
      <c r="A5" s="1688" t="s">
        <v>4482</v>
      </c>
      <c r="B5" s="1689"/>
      <c r="C5" s="1689"/>
      <c r="D5" s="1690" t="s">
        <v>4483</v>
      </c>
      <c r="E5" s="1690"/>
      <c r="F5" s="1690"/>
      <c r="G5" s="1690"/>
      <c r="H5" s="1690"/>
      <c r="I5" s="1690"/>
      <c r="J5" s="1698"/>
      <c r="K5" s="1699"/>
      <c r="L5" s="1700"/>
      <c r="M5" s="264"/>
    </row>
    <row r="6" spans="1:13" ht="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42.95" customHeight="1">
      <c r="A7" s="270" t="s">
        <v>4484</v>
      </c>
      <c r="B7" s="259">
        <v>17997.5</v>
      </c>
      <c r="C7" s="181">
        <v>5042555</v>
      </c>
      <c r="D7" s="259">
        <f>B7</f>
        <v>17997.5</v>
      </c>
      <c r="E7" s="259">
        <f>C7</f>
        <v>5042555</v>
      </c>
      <c r="F7" s="259"/>
      <c r="G7" s="260">
        <f>C7</f>
        <v>5042555</v>
      </c>
      <c r="H7" s="261"/>
      <c r="I7" s="259"/>
      <c r="J7" s="259"/>
      <c r="K7" s="259"/>
      <c r="L7" s="200">
        <f t="shared" ref="L7:L20" si="0">E7-J7</f>
        <v>5042555</v>
      </c>
      <c r="M7" s="265"/>
    </row>
    <row r="8" spans="1:13" ht="27.95" customHeight="1">
      <c r="A8" s="270" t="s">
        <v>4485</v>
      </c>
      <c r="B8" s="181">
        <v>5974.4</v>
      </c>
      <c r="C8" s="181">
        <v>1788645.2</v>
      </c>
      <c r="D8" s="181">
        <f t="shared" ref="D8:D20" si="1">D7+B8</f>
        <v>23971.9</v>
      </c>
      <c r="E8" s="181">
        <f t="shared" ref="E8:E20" si="2">E7+C8</f>
        <v>6831200.2000000002</v>
      </c>
      <c r="F8" s="181"/>
      <c r="G8" s="260">
        <f>C7*0.3+C8</f>
        <v>3301411.7</v>
      </c>
      <c r="H8" s="181"/>
      <c r="I8" s="181"/>
      <c r="J8" s="181"/>
      <c r="K8" s="181">
        <f t="shared" ref="K8:K21" si="3">K7+H8-I8</f>
        <v>0</v>
      </c>
      <c r="L8" s="200">
        <f t="shared" si="0"/>
        <v>6831200.2000000002</v>
      </c>
      <c r="M8" s="266"/>
    </row>
    <row r="9" spans="1:13" ht="27.95" customHeight="1">
      <c r="A9" s="270" t="s">
        <v>4486</v>
      </c>
      <c r="B9" s="262">
        <v>6589.2</v>
      </c>
      <c r="C9" s="262">
        <v>1976328</v>
      </c>
      <c r="D9" s="181">
        <f t="shared" si="1"/>
        <v>30561.100000000002</v>
      </c>
      <c r="E9" s="181">
        <f t="shared" si="2"/>
        <v>8807528.1999999993</v>
      </c>
      <c r="F9" s="262"/>
      <c r="G9" s="260">
        <f t="shared" ref="G9:G18" si="4">E8*0.3+C9</f>
        <v>4025688.06</v>
      </c>
      <c r="H9" s="181">
        <f t="shared" ref="H9:H19" si="5">C7*0.7</f>
        <v>3529788.5</v>
      </c>
      <c r="I9" s="262"/>
      <c r="J9" s="262"/>
      <c r="K9" s="181">
        <f t="shared" si="3"/>
        <v>3529788.5</v>
      </c>
      <c r="L9" s="200">
        <f t="shared" si="0"/>
        <v>8807528.1999999993</v>
      </c>
      <c r="M9" s="267" t="s">
        <v>4487</v>
      </c>
    </row>
    <row r="10" spans="1:13" ht="27.95" customHeight="1">
      <c r="A10" s="270" t="s">
        <v>4488</v>
      </c>
      <c r="B10" s="262">
        <v>4015.5</v>
      </c>
      <c r="C10" s="262">
        <v>1307011</v>
      </c>
      <c r="D10" s="181">
        <f t="shared" si="1"/>
        <v>34576.600000000006</v>
      </c>
      <c r="E10" s="181">
        <f t="shared" si="2"/>
        <v>10114539.199999999</v>
      </c>
      <c r="F10" s="262"/>
      <c r="G10" s="260">
        <f t="shared" si="4"/>
        <v>3949269.4599999995</v>
      </c>
      <c r="H10" s="181">
        <f t="shared" si="5"/>
        <v>1252051.6399999999</v>
      </c>
      <c r="I10" s="262">
        <v>4500000</v>
      </c>
      <c r="J10" s="262">
        <f t="shared" ref="J10:J20" si="6">I10+J9</f>
        <v>4500000</v>
      </c>
      <c r="K10" s="181">
        <f t="shared" si="3"/>
        <v>281840.13999999966</v>
      </c>
      <c r="L10" s="200">
        <f t="shared" si="0"/>
        <v>5614539.1999999993</v>
      </c>
      <c r="M10" s="262"/>
    </row>
    <row r="11" spans="1:13" ht="27.95" customHeight="1">
      <c r="A11" s="270" t="s">
        <v>4489</v>
      </c>
      <c r="B11" s="262">
        <v>5285.5</v>
      </c>
      <c r="C11" s="262">
        <v>1749304.5</v>
      </c>
      <c r="D11" s="181">
        <f t="shared" si="1"/>
        <v>39862.100000000006</v>
      </c>
      <c r="E11" s="181">
        <f t="shared" si="2"/>
        <v>11863843.699999999</v>
      </c>
      <c r="F11" s="262"/>
      <c r="G11" s="260">
        <f t="shared" si="4"/>
        <v>4783666.26</v>
      </c>
      <c r="H11" s="181">
        <f t="shared" si="5"/>
        <v>1383429.5999999999</v>
      </c>
      <c r="I11" s="262"/>
      <c r="J11" s="262">
        <f t="shared" si="6"/>
        <v>4500000</v>
      </c>
      <c r="K11" s="181">
        <f t="shared" si="3"/>
        <v>1665269.7399999995</v>
      </c>
      <c r="L11" s="200">
        <f t="shared" si="0"/>
        <v>7363843.6999999993</v>
      </c>
      <c r="M11" s="262"/>
    </row>
    <row r="12" spans="1:13" ht="27.95" customHeight="1">
      <c r="A12" s="270" t="s">
        <v>4490</v>
      </c>
      <c r="B12" s="262">
        <v>4235</v>
      </c>
      <c r="C12" s="262">
        <v>1388673</v>
      </c>
      <c r="D12" s="181">
        <f t="shared" si="1"/>
        <v>44097.100000000006</v>
      </c>
      <c r="E12" s="181">
        <f t="shared" si="2"/>
        <v>13252516.699999999</v>
      </c>
      <c r="F12" s="262"/>
      <c r="G12" s="260">
        <f t="shared" si="4"/>
        <v>4947826.1099999994</v>
      </c>
      <c r="H12" s="181">
        <f t="shared" si="5"/>
        <v>914907.7</v>
      </c>
      <c r="I12" s="262">
        <v>1665269.74</v>
      </c>
      <c r="J12" s="262">
        <f t="shared" si="6"/>
        <v>6165269.7400000002</v>
      </c>
      <c r="K12" s="181">
        <f t="shared" si="3"/>
        <v>914907.69999999949</v>
      </c>
      <c r="L12" s="200">
        <f t="shared" si="0"/>
        <v>7087246.959999999</v>
      </c>
      <c r="M12" s="267" t="s">
        <v>4491</v>
      </c>
    </row>
    <row r="13" spans="1:13" ht="27.95" customHeight="1">
      <c r="A13" s="270" t="s">
        <v>4492</v>
      </c>
      <c r="B13" s="262">
        <v>4148.5</v>
      </c>
      <c r="C13" s="262">
        <v>1309149</v>
      </c>
      <c r="D13" s="181">
        <f t="shared" si="1"/>
        <v>48245.600000000006</v>
      </c>
      <c r="E13" s="181">
        <f t="shared" si="2"/>
        <v>14561665.699999999</v>
      </c>
      <c r="F13" s="262"/>
      <c r="G13" s="260">
        <f t="shared" si="4"/>
        <v>5284904.01</v>
      </c>
      <c r="H13" s="181">
        <f t="shared" si="5"/>
        <v>1224513.1499999999</v>
      </c>
      <c r="I13" s="262">
        <v>2139420.85</v>
      </c>
      <c r="J13" s="262">
        <f t="shared" si="6"/>
        <v>8304690.5899999999</v>
      </c>
      <c r="K13" s="181">
        <f t="shared" si="3"/>
        <v>0</v>
      </c>
      <c r="L13" s="200">
        <f t="shared" si="0"/>
        <v>6256975.1099999994</v>
      </c>
      <c r="M13" s="267" t="s">
        <v>4493</v>
      </c>
    </row>
    <row r="14" spans="1:13" ht="27.95" customHeight="1">
      <c r="A14" s="270" t="s">
        <v>4494</v>
      </c>
      <c r="B14" s="262">
        <v>5718</v>
      </c>
      <c r="C14" s="262">
        <v>1662511</v>
      </c>
      <c r="D14" s="181">
        <f t="shared" si="1"/>
        <v>53963.600000000006</v>
      </c>
      <c r="E14" s="181">
        <f t="shared" si="2"/>
        <v>16224176.699999999</v>
      </c>
      <c r="F14" s="262"/>
      <c r="G14" s="260">
        <f t="shared" si="4"/>
        <v>6031010.71</v>
      </c>
      <c r="H14" s="181">
        <f t="shared" si="5"/>
        <v>972071.1</v>
      </c>
      <c r="I14" s="262"/>
      <c r="J14" s="262">
        <f t="shared" si="6"/>
        <v>8304690.5899999999</v>
      </c>
      <c r="K14" s="181">
        <f t="shared" si="3"/>
        <v>972071.1</v>
      </c>
      <c r="L14" s="200">
        <f t="shared" si="0"/>
        <v>7919486.1099999994</v>
      </c>
      <c r="M14" s="262"/>
    </row>
    <row r="15" spans="1:13" ht="27.95" customHeight="1">
      <c r="A15" s="275" t="s">
        <v>4495</v>
      </c>
      <c r="B15" s="262">
        <v>4722.5</v>
      </c>
      <c r="C15" s="262">
        <v>1281500</v>
      </c>
      <c r="D15" s="181">
        <f t="shared" si="1"/>
        <v>58686.100000000006</v>
      </c>
      <c r="E15" s="181">
        <f t="shared" si="2"/>
        <v>17505676.699999999</v>
      </c>
      <c r="F15" s="262"/>
      <c r="G15" s="260">
        <f t="shared" si="4"/>
        <v>6148753.0099999998</v>
      </c>
      <c r="H15" s="181">
        <f t="shared" si="5"/>
        <v>916404.29999999993</v>
      </c>
      <c r="I15" s="262">
        <v>1500000</v>
      </c>
      <c r="J15" s="262">
        <f t="shared" si="6"/>
        <v>9804690.5899999999</v>
      </c>
      <c r="K15" s="181">
        <f t="shared" si="3"/>
        <v>388475.39999999991</v>
      </c>
      <c r="L15" s="200">
        <f t="shared" si="0"/>
        <v>7700986.1099999994</v>
      </c>
      <c r="M15" s="262" t="s">
        <v>4496</v>
      </c>
    </row>
    <row r="16" spans="1:13" ht="27.95" customHeight="1">
      <c r="A16" s="275" t="s">
        <v>4497</v>
      </c>
      <c r="B16" s="262">
        <v>3916.5</v>
      </c>
      <c r="C16" s="262">
        <v>1025672</v>
      </c>
      <c r="D16" s="181">
        <f t="shared" si="1"/>
        <v>62602.600000000006</v>
      </c>
      <c r="E16" s="181">
        <f t="shared" si="2"/>
        <v>18531348.699999999</v>
      </c>
      <c r="F16" s="262"/>
      <c r="G16" s="260">
        <f t="shared" si="4"/>
        <v>6277375.0099999998</v>
      </c>
      <c r="H16" s="181">
        <f t="shared" si="5"/>
        <v>1163757.7</v>
      </c>
      <c r="I16" s="262">
        <v>1500000</v>
      </c>
      <c r="J16" s="262">
        <f t="shared" si="6"/>
        <v>11304690.59</v>
      </c>
      <c r="K16" s="181">
        <f t="shared" si="3"/>
        <v>52233.09999999986</v>
      </c>
      <c r="L16" s="200">
        <f t="shared" si="0"/>
        <v>7226658.1099999994</v>
      </c>
      <c r="M16" s="262" t="s">
        <v>4498</v>
      </c>
    </row>
    <row r="17" spans="1:13" ht="27.95" customHeight="1">
      <c r="A17" s="275" t="s">
        <v>4499</v>
      </c>
      <c r="B17" s="262">
        <v>3152</v>
      </c>
      <c r="C17" s="262">
        <v>814728.5</v>
      </c>
      <c r="D17" s="181">
        <f t="shared" si="1"/>
        <v>65754.600000000006</v>
      </c>
      <c r="E17" s="181">
        <f t="shared" si="2"/>
        <v>19346077.199999999</v>
      </c>
      <c r="F17" s="262"/>
      <c r="G17" s="260">
        <f t="shared" si="4"/>
        <v>6374133.1099999994</v>
      </c>
      <c r="H17" s="181">
        <f t="shared" si="5"/>
        <v>897050</v>
      </c>
      <c r="I17" s="262">
        <v>949283.1</v>
      </c>
      <c r="J17" s="262">
        <f t="shared" si="6"/>
        <v>12253973.689999999</v>
      </c>
      <c r="K17" s="181">
        <f t="shared" si="3"/>
        <v>0</v>
      </c>
      <c r="L17" s="200">
        <f t="shared" si="0"/>
        <v>7092103.5099999998</v>
      </c>
      <c r="M17" s="262" t="s">
        <v>4500</v>
      </c>
    </row>
    <row r="18" spans="1:13" ht="27.95" customHeight="1">
      <c r="A18" s="275" t="s">
        <v>4501</v>
      </c>
      <c r="B18" s="262">
        <v>1193.5</v>
      </c>
      <c r="C18" s="262">
        <v>315008</v>
      </c>
      <c r="D18" s="181">
        <f t="shared" si="1"/>
        <v>66948.100000000006</v>
      </c>
      <c r="E18" s="181">
        <f t="shared" si="2"/>
        <v>19661085.199999999</v>
      </c>
      <c r="F18" s="262"/>
      <c r="G18" s="260">
        <f t="shared" si="4"/>
        <v>6118831.1599999992</v>
      </c>
      <c r="H18" s="181">
        <f t="shared" si="5"/>
        <v>717970.39999999991</v>
      </c>
      <c r="I18" s="262"/>
      <c r="J18" s="262">
        <f t="shared" si="6"/>
        <v>12253973.689999999</v>
      </c>
      <c r="K18" s="181">
        <f t="shared" si="3"/>
        <v>717970.39999999991</v>
      </c>
      <c r="L18" s="200">
        <f t="shared" si="0"/>
        <v>7407111.5099999998</v>
      </c>
      <c r="M18" s="262" t="s">
        <v>4502</v>
      </c>
    </row>
    <row r="19" spans="1:13" ht="27.95" customHeight="1">
      <c r="A19" s="275" t="s">
        <v>4503</v>
      </c>
      <c r="B19" s="262">
        <v>799</v>
      </c>
      <c r="C19" s="262">
        <v>573818</v>
      </c>
      <c r="D19" s="181">
        <f t="shared" si="1"/>
        <v>67747.100000000006</v>
      </c>
      <c r="E19" s="181">
        <f t="shared" si="2"/>
        <v>20234903.199999999</v>
      </c>
      <c r="F19" s="262"/>
      <c r="G19" s="260">
        <f>E17*0.05+E17*0.25*5/6+C19</f>
        <v>5571554.6100000003</v>
      </c>
      <c r="H19" s="181">
        <f t="shared" si="5"/>
        <v>570309.94999999995</v>
      </c>
      <c r="I19" s="262">
        <v>1288280.3500000001</v>
      </c>
      <c r="J19" s="262">
        <f t="shared" si="6"/>
        <v>13542254.039999999</v>
      </c>
      <c r="K19" s="181">
        <f t="shared" si="3"/>
        <v>0</v>
      </c>
      <c r="L19" s="200">
        <f t="shared" si="0"/>
        <v>6692649.1600000001</v>
      </c>
      <c r="M19" s="262"/>
    </row>
    <row r="20" spans="1:13" ht="27.95" customHeight="1">
      <c r="A20" s="275" t="s">
        <v>4504</v>
      </c>
      <c r="B20" s="262">
        <v>792</v>
      </c>
      <c r="C20" s="262">
        <v>213948.5</v>
      </c>
      <c r="D20" s="181">
        <f t="shared" si="1"/>
        <v>68539.100000000006</v>
      </c>
      <c r="E20" s="181">
        <f t="shared" si="2"/>
        <v>20448851.699999999</v>
      </c>
      <c r="F20" s="262"/>
      <c r="G20" s="260">
        <f>E17*0.05+E17*0.25*4/6+C20</f>
        <v>4405598.5599999996</v>
      </c>
      <c r="H20" s="181">
        <f>C18+E17*0.25*1/6</f>
        <v>1121094.5499999998</v>
      </c>
      <c r="I20" s="262">
        <v>1000000</v>
      </c>
      <c r="J20" s="262">
        <f t="shared" si="6"/>
        <v>14542254.039999999</v>
      </c>
      <c r="K20" s="181">
        <f t="shared" si="3"/>
        <v>121094.54999999981</v>
      </c>
      <c r="L20" s="200">
        <f t="shared" si="0"/>
        <v>5906597.6600000001</v>
      </c>
      <c r="M20" s="262" t="s">
        <v>4505</v>
      </c>
    </row>
    <row r="21" spans="1:13" ht="27.95" customHeight="1">
      <c r="A21" s="258"/>
      <c r="B21" s="262"/>
      <c r="C21" s="262"/>
      <c r="D21" s="181"/>
      <c r="E21" s="181"/>
      <c r="F21" s="262"/>
      <c r="G21" s="260"/>
      <c r="H21" s="181">
        <f>C19+E17*0.25*1/6</f>
        <v>1379904.5499999998</v>
      </c>
      <c r="I21" s="262"/>
      <c r="J21" s="262"/>
      <c r="K21" s="181">
        <f t="shared" si="3"/>
        <v>1500999.0999999996</v>
      </c>
      <c r="L21" s="200"/>
      <c r="M21" s="262"/>
    </row>
    <row r="22" spans="1:13" ht="27.95" customHeight="1">
      <c r="A22" s="258">
        <v>42979</v>
      </c>
      <c r="B22" s="262">
        <v>792</v>
      </c>
      <c r="C22" s="262">
        <v>213948.5</v>
      </c>
      <c r="D22" s="181">
        <v>68539.100000000006</v>
      </c>
      <c r="E22" s="181">
        <v>20448851.699999999</v>
      </c>
      <c r="F22" s="262"/>
      <c r="G22" s="260">
        <v>4405598.5599999996</v>
      </c>
      <c r="H22" s="181">
        <v>1121094.5499999998</v>
      </c>
      <c r="I22" s="262">
        <v>1000000</v>
      </c>
      <c r="J22" s="262">
        <v>14542254.039999999</v>
      </c>
      <c r="K22" s="181">
        <v>121094.54999999981</v>
      </c>
      <c r="L22" s="200">
        <v>5906597.6600000001</v>
      </c>
      <c r="M22" s="262" t="s">
        <v>4505</v>
      </c>
    </row>
    <row r="23" spans="1:13" ht="27.95" customHeight="1">
      <c r="A23" s="258"/>
      <c r="B23" s="262"/>
      <c r="C23" s="262"/>
      <c r="D23" s="181"/>
      <c r="E23" s="181"/>
      <c r="F23" s="262"/>
      <c r="G23" s="260"/>
      <c r="H23" s="181"/>
      <c r="I23" s="262"/>
      <c r="J23" s="262"/>
      <c r="K23" s="181"/>
      <c r="L23" s="200"/>
      <c r="M23" s="262"/>
    </row>
    <row r="24" spans="1:13" ht="27.95" customHeight="1">
      <c r="A24" s="258"/>
      <c r="B24" s="262"/>
      <c r="C24" s="262"/>
      <c r="D24" s="181"/>
      <c r="E24" s="181"/>
      <c r="F24" s="262"/>
      <c r="G24" s="260"/>
      <c r="H24" s="181"/>
      <c r="I24" s="262"/>
      <c r="J24" s="262"/>
      <c r="K24" s="181"/>
      <c r="L24" s="200"/>
      <c r="M24" s="262"/>
    </row>
  </sheetData>
  <mergeCells count="14">
    <mergeCell ref="B3:C3"/>
    <mergeCell ref="J3:K3"/>
    <mergeCell ref="B4:E4"/>
    <mergeCell ref="F4:H4"/>
    <mergeCell ref="A5:C5"/>
    <mergeCell ref="D5:F5"/>
    <mergeCell ref="G5:I5"/>
    <mergeCell ref="J5:L5"/>
    <mergeCell ref="E1:F1"/>
    <mergeCell ref="G1:H1"/>
    <mergeCell ref="J1:L1"/>
    <mergeCell ref="B2:C2"/>
    <mergeCell ref="E2:G2"/>
    <mergeCell ref="J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1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0"/>
  <sheetViews>
    <sheetView topLeftCell="A16" zoomScaleSheetLayoutView="100" workbookViewId="0">
      <selection activeCell="I23" sqref="I23"/>
    </sheetView>
  </sheetViews>
  <sheetFormatPr defaultColWidth="9" defaultRowHeight="14.25"/>
  <cols>
    <col min="1" max="1" width="18.625" customWidth="1"/>
    <col min="2" max="2" width="14.5" customWidth="1"/>
    <col min="3" max="3" width="14.75" customWidth="1"/>
    <col min="4" max="4" width="12" customWidth="1"/>
    <col min="5" max="5" width="13.125" customWidth="1"/>
    <col min="6" max="6" width="12.375" customWidth="1"/>
    <col min="7" max="7" width="11.5" customWidth="1"/>
    <col min="8" max="8" width="12.625" customWidth="1"/>
    <col min="9" max="9" width="15.5" customWidth="1"/>
    <col min="10" max="10" width="14.75" customWidth="1"/>
    <col min="11" max="11" width="11.5" customWidth="1"/>
    <col min="12" max="12" width="15.125" customWidth="1"/>
    <col min="13" max="13" width="38.375" customWidth="1"/>
  </cols>
  <sheetData>
    <row r="1" spans="1:13" ht="57.95" customHeight="1">
      <c r="A1" s="1709" t="s">
        <v>556</v>
      </c>
      <c r="B1" s="1711" t="s">
        <v>4506</v>
      </c>
      <c r="C1" s="1713" t="s">
        <v>4507</v>
      </c>
      <c r="D1" s="1715" t="s">
        <v>236</v>
      </c>
      <c r="E1" s="1718" t="s">
        <v>4508</v>
      </c>
      <c r="F1" s="2249"/>
      <c r="G1" s="2250" t="s">
        <v>4509</v>
      </c>
      <c r="H1" s="2250"/>
      <c r="I1" s="289" t="s">
        <v>237</v>
      </c>
      <c r="J1" s="1701" t="s">
        <v>4510</v>
      </c>
      <c r="K1" s="1701"/>
      <c r="L1" s="1701"/>
      <c r="M1" s="221" t="s">
        <v>4511</v>
      </c>
    </row>
    <row r="2" spans="1:13" ht="57.95" customHeight="1">
      <c r="A2" s="1710"/>
      <c r="B2" s="1712"/>
      <c r="C2" s="1714"/>
      <c r="D2" s="1716"/>
      <c r="E2" s="1720"/>
      <c r="F2" s="2039"/>
      <c r="G2" s="2250"/>
      <c r="H2" s="2250"/>
      <c r="I2" s="290" t="s">
        <v>425</v>
      </c>
      <c r="J2" s="1702" t="s">
        <v>4512</v>
      </c>
      <c r="K2" s="1703"/>
      <c r="L2" s="1703"/>
      <c r="M2" s="1704"/>
    </row>
    <row r="3" spans="1:13" ht="45" customHeight="1">
      <c r="A3" s="133" t="s">
        <v>240</v>
      </c>
      <c r="B3" s="1682" t="s">
        <v>698</v>
      </c>
      <c r="C3" s="1682"/>
      <c r="D3" s="134" t="s">
        <v>242</v>
      </c>
      <c r="E3" s="223"/>
      <c r="F3" s="2047" t="s">
        <v>4513</v>
      </c>
      <c r="G3" s="2244"/>
      <c r="H3" s="2222"/>
      <c r="I3" s="166" t="s">
        <v>243</v>
      </c>
      <c r="J3" s="1707" t="s">
        <v>421</v>
      </c>
      <c r="K3" s="1708"/>
      <c r="L3" s="166" t="s">
        <v>245</v>
      </c>
      <c r="M3" s="205" t="s">
        <v>4514</v>
      </c>
    </row>
    <row r="4" spans="1:13" ht="53.1" customHeight="1">
      <c r="A4" s="133" t="s">
        <v>247</v>
      </c>
      <c r="B4" s="1682" t="s">
        <v>4515</v>
      </c>
      <c r="C4" s="1682"/>
      <c r="D4" s="134" t="s">
        <v>249</v>
      </c>
      <c r="E4" s="136">
        <v>59381.96</v>
      </c>
      <c r="F4" s="134" t="s">
        <v>251</v>
      </c>
      <c r="G4" s="271" t="s">
        <v>4516</v>
      </c>
      <c r="H4" s="134" t="s">
        <v>252</v>
      </c>
      <c r="I4" s="206"/>
      <c r="J4" s="41" t="s">
        <v>565</v>
      </c>
      <c r="K4" s="15" t="s">
        <v>4517</v>
      </c>
      <c r="L4" s="15" t="s">
        <v>255</v>
      </c>
      <c r="M4" s="291" t="s">
        <v>4518</v>
      </c>
    </row>
    <row r="5" spans="1:13" ht="63.95" customHeight="1">
      <c r="A5" s="133" t="s">
        <v>260</v>
      </c>
      <c r="B5" s="1726" t="s">
        <v>4519</v>
      </c>
      <c r="C5" s="1726"/>
      <c r="D5" s="1726"/>
      <c r="E5" s="1726"/>
      <c r="F5" s="1697" t="s">
        <v>4520</v>
      </c>
      <c r="G5" s="1697"/>
      <c r="H5" s="1697"/>
      <c r="I5" s="1697"/>
      <c r="J5" s="1697"/>
      <c r="K5" s="1697"/>
      <c r="L5" s="1697"/>
      <c r="M5" s="170"/>
    </row>
    <row r="6" spans="1:13" ht="51" customHeight="1">
      <c r="A6" s="1688" t="s">
        <v>660</v>
      </c>
      <c r="B6" s="1689"/>
      <c r="C6" s="1689"/>
      <c r="D6" s="1690"/>
      <c r="E6" s="1690"/>
      <c r="F6" s="1690"/>
      <c r="G6" s="1690"/>
      <c r="H6" s="1690"/>
      <c r="I6" s="1690"/>
      <c r="J6" s="1698"/>
      <c r="K6" s="1699"/>
      <c r="L6" s="1700"/>
      <c r="M6" s="264"/>
    </row>
    <row r="7" spans="1:13" ht="51"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42.95" customHeight="1">
      <c r="A8" s="270" t="s">
        <v>4521</v>
      </c>
      <c r="B8" s="259">
        <v>3321.5</v>
      </c>
      <c r="C8" s="181">
        <v>823882</v>
      </c>
      <c r="D8" s="259">
        <f>B8</f>
        <v>3321.5</v>
      </c>
      <c r="E8" s="259">
        <f>C8</f>
        <v>823882</v>
      </c>
      <c r="F8" s="259"/>
      <c r="G8" s="260">
        <f>C8</f>
        <v>823882</v>
      </c>
      <c r="H8" s="261"/>
      <c r="I8" s="259"/>
      <c r="J8" s="259"/>
      <c r="K8" s="259"/>
      <c r="L8" s="200">
        <f t="shared" ref="L8:L23" si="0">E8-J8</f>
        <v>823882</v>
      </c>
      <c r="M8" s="265"/>
    </row>
    <row r="9" spans="1:13" ht="27.95" customHeight="1">
      <c r="A9" s="270" t="s">
        <v>4522</v>
      </c>
      <c r="B9" s="181">
        <v>2873</v>
      </c>
      <c r="C9" s="181">
        <v>782071</v>
      </c>
      <c r="D9" s="181">
        <f t="shared" ref="D9:D22" si="1">D8+B9</f>
        <v>6194.5</v>
      </c>
      <c r="E9" s="181">
        <f t="shared" ref="E9:E22" si="2">E8+C9</f>
        <v>1605953</v>
      </c>
      <c r="F9" s="181"/>
      <c r="G9" s="260">
        <f>C9</f>
        <v>782071</v>
      </c>
      <c r="H9" s="181"/>
      <c r="I9" s="181"/>
      <c r="J9" s="181"/>
      <c r="K9" s="181"/>
      <c r="L9" s="200">
        <f t="shared" si="0"/>
        <v>1605953</v>
      </c>
      <c r="M9" s="266"/>
    </row>
    <row r="10" spans="1:13" ht="27.95" customHeight="1">
      <c r="A10" s="270" t="s">
        <v>4523</v>
      </c>
      <c r="B10" s="259">
        <v>5767</v>
      </c>
      <c r="C10" s="181">
        <v>1575062</v>
      </c>
      <c r="D10" s="181">
        <f t="shared" si="1"/>
        <v>11961.5</v>
      </c>
      <c r="E10" s="181">
        <f t="shared" si="2"/>
        <v>3181015</v>
      </c>
      <c r="F10" s="262"/>
      <c r="G10" s="260">
        <f>C10</f>
        <v>1575062</v>
      </c>
      <c r="H10" s="181"/>
      <c r="I10" s="262"/>
      <c r="J10" s="262"/>
      <c r="K10" s="181"/>
      <c r="L10" s="200">
        <f t="shared" si="0"/>
        <v>3181015</v>
      </c>
      <c r="M10" s="262"/>
    </row>
    <row r="11" spans="1:13" ht="27.95" customHeight="1">
      <c r="A11" s="275" t="s">
        <v>597</v>
      </c>
      <c r="B11" s="262">
        <v>8901</v>
      </c>
      <c r="C11" s="262">
        <v>2332937</v>
      </c>
      <c r="D11" s="181">
        <f t="shared" si="1"/>
        <v>20862.5</v>
      </c>
      <c r="E11" s="181">
        <f t="shared" si="2"/>
        <v>5513952</v>
      </c>
      <c r="F11" s="262"/>
      <c r="G11" s="260">
        <f>C8*0.3+C9+C10+C11</f>
        <v>4937234.5999999996</v>
      </c>
      <c r="H11" s="181"/>
      <c r="I11" s="262"/>
      <c r="J11" s="262"/>
      <c r="K11" s="181"/>
      <c r="L11" s="200">
        <f t="shared" si="0"/>
        <v>5513952</v>
      </c>
      <c r="M11" s="2245" t="s">
        <v>4524</v>
      </c>
    </row>
    <row r="12" spans="1:13" ht="27.95" customHeight="1">
      <c r="A12" s="275" t="s">
        <v>4525</v>
      </c>
      <c r="B12" s="262">
        <v>10537</v>
      </c>
      <c r="C12" s="262">
        <v>2789397</v>
      </c>
      <c r="D12" s="181">
        <f t="shared" si="1"/>
        <v>31399.5</v>
      </c>
      <c r="E12" s="181">
        <f t="shared" si="2"/>
        <v>8303349</v>
      </c>
      <c r="F12" s="262"/>
      <c r="G12" s="260">
        <f>E9*0.3+C10+C11+C12</f>
        <v>7179181.9000000004</v>
      </c>
      <c r="H12" s="181">
        <f>C8*0.7</f>
        <v>576717.39999999991</v>
      </c>
      <c r="I12" s="262"/>
      <c r="J12" s="262"/>
      <c r="K12" s="181">
        <f t="shared" ref="K12:K23" si="3">K11+H12-I12</f>
        <v>576717.39999999991</v>
      </c>
      <c r="L12" s="200">
        <f t="shared" si="0"/>
        <v>8303349</v>
      </c>
      <c r="M12" s="2246"/>
    </row>
    <row r="13" spans="1:13" ht="27.95" customHeight="1">
      <c r="A13" s="275" t="s">
        <v>4459</v>
      </c>
      <c r="B13" s="262">
        <v>7290</v>
      </c>
      <c r="C13" s="262">
        <v>2128066</v>
      </c>
      <c r="D13" s="181">
        <f t="shared" si="1"/>
        <v>38689.5</v>
      </c>
      <c r="E13" s="181">
        <f t="shared" si="2"/>
        <v>10431415</v>
      </c>
      <c r="F13" s="262"/>
      <c r="G13" s="260">
        <f t="shared" ref="G13:G23" si="4">E10*0.3+C11+C12+C13</f>
        <v>8204704.5</v>
      </c>
      <c r="H13" s="181">
        <f t="shared" ref="H13:H23" si="5">C9*0.7</f>
        <v>547449.69999999995</v>
      </c>
      <c r="I13" s="262">
        <f>1818931.12+500000+2000000+2500000</f>
        <v>6818931.1200000001</v>
      </c>
      <c r="J13" s="262">
        <f t="shared" ref="J13:J23" si="6">J12+I13</f>
        <v>6818931.1200000001</v>
      </c>
      <c r="K13" s="181">
        <f t="shared" si="3"/>
        <v>-5694764.0200000005</v>
      </c>
      <c r="L13" s="200">
        <f t="shared" si="0"/>
        <v>3612483.88</v>
      </c>
      <c r="M13" s="267" t="s">
        <v>4526</v>
      </c>
    </row>
    <row r="14" spans="1:13" ht="27.95" customHeight="1">
      <c r="A14" s="275" t="s">
        <v>4527</v>
      </c>
      <c r="B14" s="262">
        <v>5161</v>
      </c>
      <c r="C14" s="262">
        <v>1387228</v>
      </c>
      <c r="D14" s="181">
        <f t="shared" si="1"/>
        <v>43850.5</v>
      </c>
      <c r="E14" s="181">
        <f t="shared" si="2"/>
        <v>11818643</v>
      </c>
      <c r="F14" s="262"/>
      <c r="G14" s="260">
        <f t="shared" si="4"/>
        <v>7958876.5999999996</v>
      </c>
      <c r="H14" s="181">
        <f t="shared" si="5"/>
        <v>1102543.3999999999</v>
      </c>
      <c r="I14" s="262"/>
      <c r="J14" s="262">
        <f t="shared" si="6"/>
        <v>6818931.1200000001</v>
      </c>
      <c r="K14" s="181">
        <f t="shared" si="3"/>
        <v>-4592220.620000001</v>
      </c>
      <c r="L14" s="200">
        <f t="shared" si="0"/>
        <v>4999711.88</v>
      </c>
      <c r="M14" s="262"/>
    </row>
    <row r="15" spans="1:13" ht="27.95" customHeight="1">
      <c r="A15" s="275" t="s">
        <v>4528</v>
      </c>
      <c r="B15" s="262">
        <v>3302</v>
      </c>
      <c r="C15" s="262">
        <v>912027</v>
      </c>
      <c r="D15" s="181">
        <f t="shared" si="1"/>
        <v>47152.5</v>
      </c>
      <c r="E15" s="181">
        <f t="shared" si="2"/>
        <v>12730670</v>
      </c>
      <c r="F15" s="262"/>
      <c r="G15" s="260">
        <f t="shared" si="4"/>
        <v>6918325.6999999993</v>
      </c>
      <c r="H15" s="181">
        <f t="shared" si="5"/>
        <v>1633055.9</v>
      </c>
      <c r="I15" s="262"/>
      <c r="J15" s="262">
        <f t="shared" si="6"/>
        <v>6818931.1200000001</v>
      </c>
      <c r="K15" s="181">
        <f t="shared" si="3"/>
        <v>-2959164.7200000011</v>
      </c>
      <c r="L15" s="200">
        <f t="shared" si="0"/>
        <v>5911738.8799999999</v>
      </c>
      <c r="M15" s="262"/>
    </row>
    <row r="16" spans="1:13" ht="27.95" customHeight="1">
      <c r="A16" s="275" t="s">
        <v>4529</v>
      </c>
      <c r="B16" s="262">
        <v>4274.5</v>
      </c>
      <c r="C16" s="262">
        <f>1241027.5+609570</f>
        <v>1850597.5</v>
      </c>
      <c r="D16" s="181">
        <f t="shared" si="1"/>
        <v>51427</v>
      </c>
      <c r="E16" s="181">
        <f t="shared" si="2"/>
        <v>14581267.5</v>
      </c>
      <c r="F16" s="262"/>
      <c r="G16" s="260">
        <f t="shared" si="4"/>
        <v>7279277</v>
      </c>
      <c r="H16" s="181">
        <f t="shared" si="5"/>
        <v>1952577.9</v>
      </c>
      <c r="I16" s="262"/>
      <c r="J16" s="262">
        <f t="shared" si="6"/>
        <v>6818931.1200000001</v>
      </c>
      <c r="K16" s="181">
        <f t="shared" si="3"/>
        <v>-1006586.8200000012</v>
      </c>
      <c r="L16" s="200">
        <f t="shared" si="0"/>
        <v>7762336.3799999999</v>
      </c>
      <c r="M16" s="262"/>
    </row>
    <row r="17" spans="1:13" ht="27.95" customHeight="1">
      <c r="A17" s="275" t="s">
        <v>4530</v>
      </c>
      <c r="B17" s="262">
        <v>6372</v>
      </c>
      <c r="C17" s="262">
        <v>1898761</v>
      </c>
      <c r="D17" s="181">
        <f t="shared" si="1"/>
        <v>57799</v>
      </c>
      <c r="E17" s="181">
        <f t="shared" si="2"/>
        <v>16480028.5</v>
      </c>
      <c r="F17" s="262"/>
      <c r="G17" s="260">
        <f t="shared" si="4"/>
        <v>8206978.4000000004</v>
      </c>
      <c r="H17" s="181">
        <f t="shared" si="5"/>
        <v>1489646.2</v>
      </c>
      <c r="I17" s="262"/>
      <c r="J17" s="262">
        <f t="shared" si="6"/>
        <v>6818931.1200000001</v>
      </c>
      <c r="K17" s="181">
        <f t="shared" si="3"/>
        <v>483059.37999999872</v>
      </c>
      <c r="L17" s="200">
        <f t="shared" si="0"/>
        <v>9661097.379999999</v>
      </c>
      <c r="M17" s="262"/>
    </row>
    <row r="18" spans="1:13" ht="27.95" customHeight="1">
      <c r="A18" s="275" t="s">
        <v>4531</v>
      </c>
      <c r="B18" s="262">
        <v>4354</v>
      </c>
      <c r="C18" s="262">
        <v>1421150</v>
      </c>
      <c r="D18" s="181">
        <f t="shared" si="1"/>
        <v>62153</v>
      </c>
      <c r="E18" s="181">
        <f t="shared" si="2"/>
        <v>17901178.5</v>
      </c>
      <c r="F18" s="262"/>
      <c r="G18" s="260">
        <f t="shared" si="4"/>
        <v>8989709.5</v>
      </c>
      <c r="H18" s="181">
        <f t="shared" si="5"/>
        <v>971059.6</v>
      </c>
      <c r="I18" s="262">
        <v>2173021.85</v>
      </c>
      <c r="J18" s="262">
        <f t="shared" si="6"/>
        <v>8991952.9700000007</v>
      </c>
      <c r="K18" s="181">
        <f t="shared" si="3"/>
        <v>-718902.87000000151</v>
      </c>
      <c r="L18" s="200">
        <f t="shared" si="0"/>
        <v>8909225.5299999993</v>
      </c>
      <c r="M18" s="262"/>
    </row>
    <row r="19" spans="1:13" ht="27.95" customHeight="1">
      <c r="A19" s="275" t="s">
        <v>4532</v>
      </c>
      <c r="B19" s="262">
        <v>3883</v>
      </c>
      <c r="C19" s="262">
        <v>1247943</v>
      </c>
      <c r="D19" s="181">
        <f t="shared" si="1"/>
        <v>66036</v>
      </c>
      <c r="E19" s="181">
        <f t="shared" si="2"/>
        <v>19149121.5</v>
      </c>
      <c r="F19" s="262"/>
      <c r="G19" s="260">
        <f t="shared" si="4"/>
        <v>8942234.25</v>
      </c>
      <c r="H19" s="181">
        <f t="shared" si="5"/>
        <v>638418.89999999991</v>
      </c>
      <c r="I19" s="262">
        <v>500000</v>
      </c>
      <c r="J19" s="262">
        <f t="shared" si="6"/>
        <v>9491952.9700000007</v>
      </c>
      <c r="K19" s="181">
        <f t="shared" si="3"/>
        <v>-580483.9700000016</v>
      </c>
      <c r="L19" s="200">
        <f t="shared" si="0"/>
        <v>9657168.5299999993</v>
      </c>
      <c r="M19" s="262" t="s">
        <v>4533</v>
      </c>
    </row>
    <row r="20" spans="1:13" ht="27.95" customHeight="1">
      <c r="A20" s="276" t="s">
        <v>4534</v>
      </c>
      <c r="B20" s="262"/>
      <c r="C20" s="262">
        <v>889335</v>
      </c>
      <c r="D20" s="181">
        <f t="shared" si="1"/>
        <v>66036</v>
      </c>
      <c r="E20" s="181">
        <f t="shared" si="2"/>
        <v>20038456.5</v>
      </c>
      <c r="F20" s="262"/>
      <c r="G20" s="260">
        <f t="shared" si="4"/>
        <v>8502436.5500000007</v>
      </c>
      <c r="H20" s="181">
        <f t="shared" si="5"/>
        <v>1295418.25</v>
      </c>
      <c r="I20" s="262">
        <v>1165757.7</v>
      </c>
      <c r="J20" s="262">
        <f t="shared" si="6"/>
        <v>10657710.67</v>
      </c>
      <c r="K20" s="181">
        <f t="shared" si="3"/>
        <v>-450823.42000000156</v>
      </c>
      <c r="L20" s="200">
        <f t="shared" si="0"/>
        <v>9380745.8300000001</v>
      </c>
      <c r="M20" s="262" t="s">
        <v>4535</v>
      </c>
    </row>
    <row r="21" spans="1:13" ht="27.95" customHeight="1">
      <c r="A21" s="275" t="s">
        <v>4536</v>
      </c>
      <c r="B21" s="262">
        <v>3842</v>
      </c>
      <c r="C21" s="262">
        <f>1242018+115260</f>
        <v>1357278</v>
      </c>
      <c r="D21" s="181">
        <f t="shared" si="1"/>
        <v>69878</v>
      </c>
      <c r="E21" s="181">
        <f t="shared" si="2"/>
        <v>21395734.5</v>
      </c>
      <c r="F21" s="262"/>
      <c r="G21" s="260">
        <f t="shared" si="4"/>
        <v>8864909.5500000007</v>
      </c>
      <c r="H21" s="181">
        <f t="shared" si="5"/>
        <v>1329132.7</v>
      </c>
      <c r="I21" s="262"/>
      <c r="J21" s="262">
        <f t="shared" si="6"/>
        <v>10657710.67</v>
      </c>
      <c r="K21" s="181">
        <f t="shared" si="3"/>
        <v>878309.2799999984</v>
      </c>
      <c r="L21" s="200">
        <f t="shared" si="0"/>
        <v>10738023.83</v>
      </c>
      <c r="M21" s="262"/>
    </row>
    <row r="22" spans="1:13" ht="27.95" customHeight="1">
      <c r="A22" s="275">
        <v>42948</v>
      </c>
      <c r="B22" s="262">
        <v>0</v>
      </c>
      <c r="C22" s="262">
        <v>0</v>
      </c>
      <c r="D22" s="181">
        <f t="shared" si="1"/>
        <v>69878</v>
      </c>
      <c r="E22" s="181">
        <f t="shared" si="2"/>
        <v>21395734.5</v>
      </c>
      <c r="F22" s="262"/>
      <c r="G22" s="260">
        <f t="shared" si="4"/>
        <v>7991349.4500000002</v>
      </c>
      <c r="H22" s="181">
        <f t="shared" si="5"/>
        <v>994804.99999999988</v>
      </c>
      <c r="I22" s="262"/>
      <c r="J22" s="262">
        <f t="shared" si="6"/>
        <v>10657710.67</v>
      </c>
      <c r="K22" s="181">
        <f t="shared" si="3"/>
        <v>1873114.2799999984</v>
      </c>
      <c r="L22" s="200">
        <f t="shared" si="0"/>
        <v>10738023.83</v>
      </c>
      <c r="M22" s="262"/>
    </row>
    <row r="23" spans="1:13" ht="27.95" customHeight="1">
      <c r="A23" s="275">
        <v>42979</v>
      </c>
      <c r="B23" s="262"/>
      <c r="C23" s="262"/>
      <c r="D23" s="181">
        <f>D22+B23</f>
        <v>69878</v>
      </c>
      <c r="E23" s="181">
        <f>E22+C23</f>
        <v>21395734.5</v>
      </c>
      <c r="F23" s="262"/>
      <c r="G23" s="260">
        <f t="shared" si="4"/>
        <v>7368814.9500000002</v>
      </c>
      <c r="H23" s="181">
        <f t="shared" si="5"/>
        <v>873560.1</v>
      </c>
      <c r="I23" s="262"/>
      <c r="J23" s="262">
        <f t="shared" si="6"/>
        <v>10657710.67</v>
      </c>
      <c r="K23" s="181">
        <f t="shared" si="3"/>
        <v>2746674.3799999985</v>
      </c>
      <c r="L23" s="200">
        <f t="shared" si="0"/>
        <v>10738023.83</v>
      </c>
      <c r="M23" s="262"/>
    </row>
    <row r="24" spans="1:13" ht="27.95" customHeight="1">
      <c r="A24" s="275"/>
      <c r="B24" s="262"/>
      <c r="C24" s="262"/>
      <c r="D24" s="181"/>
      <c r="E24" s="181"/>
      <c r="F24" s="262"/>
      <c r="G24" s="260"/>
      <c r="H24" s="181"/>
      <c r="I24" s="262"/>
      <c r="J24" s="262"/>
      <c r="K24" s="181"/>
      <c r="L24" s="200"/>
      <c r="M24" s="262"/>
    </row>
    <row r="25" spans="1:13" ht="27.95" customHeight="1">
      <c r="A25" s="275"/>
      <c r="B25" s="262"/>
      <c r="C25" s="262"/>
      <c r="D25" s="181"/>
      <c r="E25" s="181"/>
      <c r="F25" s="262"/>
      <c r="G25" s="260"/>
      <c r="H25" s="181"/>
      <c r="I25" s="262"/>
      <c r="J25" s="262"/>
      <c r="K25" s="181"/>
      <c r="L25" s="200"/>
      <c r="M25" s="262"/>
    </row>
    <row r="26" spans="1:13" ht="27.95" customHeight="1">
      <c r="A26" s="275"/>
      <c r="B26" s="262"/>
      <c r="C26" s="262"/>
      <c r="D26" s="181"/>
      <c r="E26" s="181"/>
      <c r="F26" s="262"/>
      <c r="G26" s="260"/>
      <c r="H26" s="181"/>
      <c r="I26" s="262"/>
      <c r="J26" s="262"/>
      <c r="K26" s="181"/>
      <c r="L26" s="200"/>
      <c r="M26" s="262"/>
    </row>
    <row r="27" spans="1:13" ht="27.95" customHeight="1">
      <c r="A27" s="275"/>
      <c r="B27" s="262"/>
      <c r="C27" s="262"/>
      <c r="D27" s="181"/>
      <c r="E27" s="181"/>
      <c r="F27" s="262"/>
      <c r="G27" s="260"/>
      <c r="H27" s="181"/>
      <c r="I27" s="262"/>
      <c r="J27" s="262"/>
      <c r="K27" s="181"/>
      <c r="L27" s="200"/>
      <c r="M27" s="262"/>
    </row>
    <row r="28" spans="1:13" ht="27.95" customHeight="1">
      <c r="A28" s="277"/>
      <c r="B28" s="278"/>
      <c r="C28" s="278"/>
      <c r="D28" s="252"/>
      <c r="E28" s="252"/>
      <c r="F28" s="278"/>
      <c r="G28" s="279"/>
      <c r="H28" s="252"/>
      <c r="I28" s="278"/>
      <c r="J28" s="278"/>
      <c r="K28" s="252"/>
      <c r="L28" s="211"/>
      <c r="M28" s="278"/>
    </row>
    <row r="29" spans="1:13" s="272" customFormat="1" ht="27.95" customHeight="1">
      <c r="A29" s="280" t="s">
        <v>4537</v>
      </c>
      <c r="B29" s="281"/>
      <c r="C29" s="281"/>
      <c r="D29" s="282"/>
      <c r="E29" s="282"/>
      <c r="F29" s="281"/>
      <c r="G29" s="283"/>
      <c r="H29" s="282"/>
      <c r="I29" s="281"/>
      <c r="J29" s="281"/>
      <c r="K29" s="282"/>
      <c r="L29" s="292"/>
      <c r="M29" s="281"/>
    </row>
    <row r="30" spans="1:13" ht="45" customHeight="1">
      <c r="A30" s="134" t="s">
        <v>240</v>
      </c>
      <c r="B30" s="1682" t="s">
        <v>698</v>
      </c>
      <c r="C30" s="1682"/>
      <c r="D30" s="134" t="s">
        <v>242</v>
      </c>
      <c r="E30" s="223"/>
      <c r="F30" s="1682"/>
      <c r="G30" s="1682"/>
      <c r="H30" s="1682"/>
      <c r="I30" s="166" t="s">
        <v>243</v>
      </c>
      <c r="J30" s="2243" t="s">
        <v>421</v>
      </c>
      <c r="K30" s="2243"/>
      <c r="L30" s="166" t="s">
        <v>245</v>
      </c>
      <c r="M30" s="293" t="s">
        <v>4514</v>
      </c>
    </row>
    <row r="31" spans="1:13" ht="53.1" customHeight="1">
      <c r="A31" s="134" t="s">
        <v>247</v>
      </c>
      <c r="B31" s="1682" t="s">
        <v>4515</v>
      </c>
      <c r="C31" s="1682"/>
      <c r="D31" s="134" t="s">
        <v>249</v>
      </c>
      <c r="E31" s="136">
        <v>59381.96</v>
      </c>
      <c r="F31" s="134" t="s">
        <v>251</v>
      </c>
      <c r="G31" s="271" t="s">
        <v>4516</v>
      </c>
      <c r="H31" s="134" t="s">
        <v>252</v>
      </c>
      <c r="I31" s="206"/>
      <c r="J31" s="41" t="s">
        <v>565</v>
      </c>
      <c r="K31" s="15" t="s">
        <v>4517</v>
      </c>
      <c r="L31" s="15" t="s">
        <v>255</v>
      </c>
      <c r="M31" s="291" t="s">
        <v>4518</v>
      </c>
    </row>
    <row r="32" spans="1:13" ht="63.95" customHeight="1">
      <c r="A32" s="133" t="s">
        <v>260</v>
      </c>
      <c r="B32" s="1726" t="s">
        <v>4538</v>
      </c>
      <c r="C32" s="1726"/>
      <c r="D32" s="1726"/>
      <c r="E32" s="1726"/>
      <c r="F32" s="1697"/>
      <c r="G32" s="1697"/>
      <c r="H32" s="1697"/>
      <c r="I32" s="1697"/>
      <c r="J32" s="1697"/>
      <c r="K32" s="1697"/>
      <c r="L32" s="1697"/>
      <c r="M32" s="170"/>
    </row>
    <row r="33" spans="1:13" ht="51" customHeight="1">
      <c r="A33" s="1688" t="s">
        <v>660</v>
      </c>
      <c r="B33" s="1689"/>
      <c r="C33" s="1689"/>
      <c r="D33" s="1690"/>
      <c r="E33" s="1690"/>
      <c r="F33" s="1690"/>
      <c r="G33" s="1690"/>
      <c r="H33" s="1690"/>
      <c r="I33" s="1690"/>
      <c r="J33" s="1698"/>
      <c r="K33" s="1699"/>
      <c r="L33" s="1700"/>
      <c r="M33" s="264"/>
    </row>
    <row r="34" spans="1:13" ht="51" customHeight="1">
      <c r="A34" s="19" t="s">
        <v>266</v>
      </c>
      <c r="B34" s="20" t="s">
        <v>267</v>
      </c>
      <c r="C34" s="20" t="s">
        <v>268</v>
      </c>
      <c r="D34" s="20" t="s">
        <v>269</v>
      </c>
      <c r="E34" s="20" t="s">
        <v>270</v>
      </c>
      <c r="F34" s="20" t="s">
        <v>271</v>
      </c>
      <c r="G34" s="21" t="s">
        <v>272</v>
      </c>
      <c r="H34" s="22" t="s">
        <v>273</v>
      </c>
      <c r="I34" s="20" t="s">
        <v>274</v>
      </c>
      <c r="J34" s="70" t="s">
        <v>275</v>
      </c>
      <c r="K34" s="70" t="s">
        <v>276</v>
      </c>
      <c r="L34" s="20" t="s">
        <v>277</v>
      </c>
      <c r="M34" s="71" t="s">
        <v>278</v>
      </c>
    </row>
    <row r="35" spans="1:13" ht="29.1" customHeight="1">
      <c r="A35" s="270" t="s">
        <v>4539</v>
      </c>
      <c r="B35" s="200">
        <v>17697.23</v>
      </c>
      <c r="C35" s="181">
        <v>8022271.9000000004</v>
      </c>
      <c r="D35" s="259">
        <f>B35</f>
        <v>17697.23</v>
      </c>
      <c r="E35" s="259">
        <f>C35</f>
        <v>8022271.9000000004</v>
      </c>
      <c r="F35" s="259"/>
      <c r="G35" s="260">
        <f>C35</f>
        <v>8022271.9000000004</v>
      </c>
      <c r="H35" s="261"/>
      <c r="I35" s="259"/>
      <c r="J35" s="259"/>
      <c r="K35" s="259"/>
      <c r="L35" s="200">
        <f>E35-J35</f>
        <v>8022271.9000000004</v>
      </c>
      <c r="M35" s="2247" t="s">
        <v>4524</v>
      </c>
    </row>
    <row r="36" spans="1:13" ht="29.1" customHeight="1">
      <c r="A36" s="270" t="s">
        <v>4540</v>
      </c>
      <c r="B36" s="181">
        <v>2596</v>
      </c>
      <c r="C36" s="181">
        <v>1901538.05</v>
      </c>
      <c r="D36" s="181">
        <f t="shared" ref="D36:D41" si="7">D35+B36</f>
        <v>20293.23</v>
      </c>
      <c r="E36" s="181">
        <f t="shared" ref="E36:E41" si="8">E35+C36</f>
        <v>9923809.9500000011</v>
      </c>
      <c r="F36" s="181"/>
      <c r="G36" s="260">
        <f>C36</f>
        <v>1901538.05</v>
      </c>
      <c r="H36" s="181">
        <f>C35*0.85</f>
        <v>6818931.1150000002</v>
      </c>
      <c r="I36" s="181">
        <f>1818931.12+500000+2000000+2500000</f>
        <v>6818931.1200000001</v>
      </c>
      <c r="J36" s="181">
        <f>I36+J35</f>
        <v>6818931.1200000001</v>
      </c>
      <c r="K36" s="294">
        <f>K35+H36-I36</f>
        <v>-4.999999888241291E-3</v>
      </c>
      <c r="L36" s="200">
        <f>E36-J36</f>
        <v>3104878.830000001</v>
      </c>
      <c r="M36" s="2248"/>
    </row>
    <row r="37" spans="1:13" ht="29.1" customHeight="1">
      <c r="A37" s="270" t="s">
        <v>4541</v>
      </c>
      <c r="B37" s="200">
        <v>9113.68</v>
      </c>
      <c r="C37" s="181">
        <v>2556496.2999999998</v>
      </c>
      <c r="D37" s="181">
        <f t="shared" si="7"/>
        <v>29406.91</v>
      </c>
      <c r="E37" s="181">
        <f t="shared" si="8"/>
        <v>12480306.25</v>
      </c>
      <c r="F37" s="262"/>
      <c r="G37" s="260">
        <f>C37</f>
        <v>2556496.2999999998</v>
      </c>
      <c r="H37" s="284">
        <f>C36*0.85</f>
        <v>1616307.3425</v>
      </c>
      <c r="I37" s="262">
        <v>2173021.85</v>
      </c>
      <c r="J37" s="181">
        <f>I37+J36</f>
        <v>8991952.9700000007</v>
      </c>
      <c r="K37" s="181"/>
      <c r="L37" s="200"/>
      <c r="M37" s="262"/>
    </row>
    <row r="38" spans="1:13" ht="29.1" customHeight="1">
      <c r="A38" s="275" t="s">
        <v>4542</v>
      </c>
      <c r="B38" s="262">
        <v>2540</v>
      </c>
      <c r="C38" s="262">
        <v>810225</v>
      </c>
      <c r="D38" s="181">
        <f t="shared" si="7"/>
        <v>31946.91</v>
      </c>
      <c r="E38" s="181">
        <f t="shared" si="8"/>
        <v>13290531.25</v>
      </c>
      <c r="F38" s="262"/>
      <c r="G38" s="260">
        <f>C38</f>
        <v>810225</v>
      </c>
      <c r="H38" s="181">
        <f>C37*0.85</f>
        <v>2173021.855</v>
      </c>
      <c r="I38" s="262"/>
      <c r="J38" s="262"/>
      <c r="K38" s="181"/>
      <c r="L38" s="200"/>
      <c r="M38" s="262"/>
    </row>
    <row r="39" spans="1:13" ht="29.1" customHeight="1">
      <c r="A39" s="275" t="s">
        <v>4543</v>
      </c>
      <c r="B39" s="262">
        <v>5620.98</v>
      </c>
      <c r="C39" s="262">
        <v>1675518.5</v>
      </c>
      <c r="D39" s="181">
        <f t="shared" si="7"/>
        <v>37567.89</v>
      </c>
      <c r="E39" s="181">
        <f t="shared" si="8"/>
        <v>14966049.75</v>
      </c>
      <c r="F39" s="262"/>
      <c r="G39" s="260">
        <f>C39</f>
        <v>1675518.5</v>
      </c>
      <c r="H39" s="181">
        <f>C38*0.85</f>
        <v>688691.25</v>
      </c>
      <c r="I39" s="262"/>
      <c r="J39" s="262"/>
      <c r="K39" s="181"/>
      <c r="L39" s="200"/>
      <c r="M39" s="262"/>
    </row>
    <row r="40" spans="1:13" ht="29.1" customHeight="1">
      <c r="A40" s="275" t="s">
        <v>4544</v>
      </c>
      <c r="B40" s="262">
        <v>12742.03</v>
      </c>
      <c r="C40" s="262">
        <v>1371479.65</v>
      </c>
      <c r="D40" s="181">
        <f t="shared" si="7"/>
        <v>50309.919999999998</v>
      </c>
      <c r="E40" s="181">
        <f t="shared" si="8"/>
        <v>16337529.4</v>
      </c>
      <c r="F40" s="262"/>
      <c r="G40" s="260"/>
      <c r="H40" s="181">
        <f>C39*0.85</f>
        <v>1424190.7249999999</v>
      </c>
      <c r="I40" s="262"/>
      <c r="J40" s="262"/>
      <c r="K40" s="181"/>
      <c r="L40" s="200"/>
      <c r="M40" s="262"/>
    </row>
    <row r="41" spans="1:13" ht="44.1" customHeight="1">
      <c r="A41" s="275" t="s">
        <v>4545</v>
      </c>
      <c r="B41" s="262">
        <v>6746.83</v>
      </c>
      <c r="C41" s="262">
        <v>2209741.75</v>
      </c>
      <c r="D41" s="181">
        <f t="shared" si="7"/>
        <v>57056.75</v>
      </c>
      <c r="E41" s="181">
        <f t="shared" si="8"/>
        <v>18547271.149999999</v>
      </c>
      <c r="F41" s="262"/>
      <c r="G41" s="260"/>
      <c r="H41" s="181"/>
      <c r="I41" s="262"/>
      <c r="J41" s="262"/>
      <c r="K41" s="181"/>
      <c r="L41" s="200"/>
      <c r="M41" s="262"/>
    </row>
    <row r="42" spans="1:13" ht="44.1" customHeight="1">
      <c r="A42" s="275"/>
      <c r="B42" s="262"/>
      <c r="C42" s="262"/>
      <c r="D42" s="181"/>
      <c r="E42" s="181"/>
      <c r="F42" s="262"/>
      <c r="G42" s="260"/>
      <c r="H42" s="181"/>
      <c r="I42" s="262"/>
      <c r="J42" s="262"/>
      <c r="K42" s="181"/>
      <c r="L42" s="200"/>
      <c r="M42" s="262"/>
    </row>
    <row r="45" spans="1:13">
      <c r="E45" s="285" t="s">
        <v>4546</v>
      </c>
      <c r="F45" s="285">
        <v>8022271.9000000004</v>
      </c>
    </row>
    <row r="46" spans="1:13">
      <c r="E46" s="285" t="s">
        <v>4547</v>
      </c>
      <c r="F46" s="286">
        <f>1901538.05+2556496.3</f>
        <v>4458034.3499999996</v>
      </c>
    </row>
    <row r="47" spans="1:13">
      <c r="E47" s="285" t="s">
        <v>4548</v>
      </c>
      <c r="F47" s="285">
        <f>C38+C39</f>
        <v>2485743.5</v>
      </c>
    </row>
    <row r="48" spans="1:13">
      <c r="E48" s="285" t="s">
        <v>4549</v>
      </c>
      <c r="F48" s="285">
        <v>1429132.4500000002</v>
      </c>
      <c r="G48" s="287"/>
    </row>
    <row r="49" spans="5:7">
      <c r="E49" s="285" t="s">
        <v>4550</v>
      </c>
      <c r="F49" s="285">
        <v>2209741.15</v>
      </c>
      <c r="G49" s="288"/>
    </row>
    <row r="50" spans="5:7">
      <c r="E50" s="285" t="s">
        <v>608</v>
      </c>
      <c r="F50" s="285">
        <f>SUM(F45:F49)</f>
        <v>18604923.349999998</v>
      </c>
    </row>
  </sheetData>
  <mergeCells count="32">
    <mergeCell ref="M35:M36"/>
    <mergeCell ref="E1:F2"/>
    <mergeCell ref="G1:H2"/>
    <mergeCell ref="A33:C33"/>
    <mergeCell ref="D33:F33"/>
    <mergeCell ref="G33:I33"/>
    <mergeCell ref="J33:L33"/>
    <mergeCell ref="A1:A2"/>
    <mergeCell ref="B1:B2"/>
    <mergeCell ref="B31:C31"/>
    <mergeCell ref="J1:L1"/>
    <mergeCell ref="J2:M2"/>
    <mergeCell ref="B3:C3"/>
    <mergeCell ref="F3:H3"/>
    <mergeCell ref="M11:M12"/>
    <mergeCell ref="G6:I6"/>
    <mergeCell ref="J6:L6"/>
    <mergeCell ref="C1:C2"/>
    <mergeCell ref="D1:D2"/>
    <mergeCell ref="B30:C30"/>
    <mergeCell ref="F30:H30"/>
    <mergeCell ref="J30:K30"/>
    <mergeCell ref="J3:K3"/>
    <mergeCell ref="B4:C4"/>
    <mergeCell ref="B32:E32"/>
    <mergeCell ref="F32:I32"/>
    <mergeCell ref="J32:L32"/>
    <mergeCell ref="B5:E5"/>
    <mergeCell ref="F5:I5"/>
    <mergeCell ref="J5:L5"/>
    <mergeCell ref="A6:C6"/>
    <mergeCell ref="D6:F6"/>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86"/>
  <sheetViews>
    <sheetView tabSelected="1" topLeftCell="A118" zoomScaleNormal="100" workbookViewId="0">
      <selection activeCell="D120" sqref="D120"/>
    </sheetView>
  </sheetViews>
  <sheetFormatPr defaultRowHeight="14.25"/>
  <cols>
    <col min="1" max="1" width="24.875" bestFit="1" customWidth="1"/>
    <col min="2" max="2" width="15.125" bestFit="1" customWidth="1"/>
    <col min="3" max="3" width="16.375" bestFit="1" customWidth="1"/>
    <col min="4" max="4" width="53.75" customWidth="1"/>
    <col min="5" max="5" width="8.5" bestFit="1" customWidth="1"/>
    <col min="6" max="6" width="11.625" bestFit="1" customWidth="1"/>
    <col min="7" max="7" width="10.5" bestFit="1" customWidth="1"/>
    <col min="8" max="8" width="13.875" bestFit="1" customWidth="1"/>
    <col min="9" max="9" width="11.625" bestFit="1" customWidth="1"/>
    <col min="10" max="10" width="11.375" bestFit="1" customWidth="1"/>
    <col min="11" max="11" width="12.75" bestFit="1" customWidth="1"/>
    <col min="12" max="12" width="8.625" bestFit="1" customWidth="1"/>
    <col min="13" max="13" width="22.375" bestFit="1" customWidth="1"/>
    <col min="14" max="14" width="23.125" customWidth="1"/>
  </cols>
  <sheetData>
    <row r="1" spans="1:14">
      <c r="A1" s="1632" t="s">
        <v>4959</v>
      </c>
      <c r="B1" s="1632"/>
      <c r="C1" s="1632"/>
      <c r="D1" s="1632"/>
      <c r="E1" s="1632"/>
      <c r="F1" s="1632"/>
      <c r="G1" s="1632"/>
      <c r="H1" s="1632"/>
      <c r="I1" s="1632"/>
      <c r="J1" s="1632"/>
      <c r="K1" s="1632"/>
      <c r="L1" s="1632"/>
      <c r="M1" s="1632"/>
      <c r="N1" s="1632"/>
    </row>
    <row r="2" spans="1:14" ht="28.5">
      <c r="A2" s="1595" t="s">
        <v>240</v>
      </c>
      <c r="B2" s="1595" t="s">
        <v>4960</v>
      </c>
      <c r="C2" s="1595" t="s">
        <v>4961</v>
      </c>
      <c r="D2" s="1595" t="s">
        <v>4962</v>
      </c>
      <c r="E2" s="1595" t="s">
        <v>4963</v>
      </c>
      <c r="F2" s="1595" t="s">
        <v>4964</v>
      </c>
      <c r="G2" s="1595" t="s">
        <v>4965</v>
      </c>
      <c r="H2" s="1596" t="s">
        <v>4966</v>
      </c>
      <c r="I2" s="1595" t="s">
        <v>4967</v>
      </c>
      <c r="J2" s="1595" t="s">
        <v>4968</v>
      </c>
      <c r="K2" s="1595" t="s">
        <v>4969</v>
      </c>
      <c r="L2" s="1595" t="s">
        <v>4970</v>
      </c>
      <c r="M2" s="1594" t="s">
        <v>278</v>
      </c>
      <c r="N2" s="1594" t="s">
        <v>4755</v>
      </c>
    </row>
    <row r="3" spans="1:14" ht="57">
      <c r="A3" s="1595" t="str">
        <f>广新品牌!B$2</f>
        <v>广东省第一建筑工程有限公司</v>
      </c>
      <c r="B3" s="1595" t="s">
        <v>1</v>
      </c>
      <c r="C3" s="1595" t="s">
        <v>4971</v>
      </c>
      <c r="D3" s="1595" t="str">
        <f>广新品牌!J$1</f>
        <v>C15:225  C20:235   C25:245  C30:255  C35:270  C40:285  C45:300   C50:320  C55:340  C60:370，2013年8月1日上调5元，2013年10月1日上调30元，2013年11月1日至2014年1月30日单价C30：325元，2014年2月1日起，单价c30：325</v>
      </c>
      <c r="E3" s="1595">
        <f>VLOOKUP(N3,广新品牌!A$7:M$95,4)</f>
        <v>29176.5</v>
      </c>
      <c r="F3" s="1595">
        <f>VLOOKUP(N3,广新品牌!A$7:M$95,5)</f>
        <v>9354101.5</v>
      </c>
      <c r="G3" s="1595" t="s">
        <v>4972</v>
      </c>
      <c r="H3" s="1596">
        <f t="shared" ref="H3:H17" si="0">J3/(I3+J3)</f>
        <v>0.97861900472215313</v>
      </c>
      <c r="I3" s="1595">
        <f>VLOOKUP(N3,广新品牌!A$7:M$95,11,TRUE)</f>
        <v>200000</v>
      </c>
      <c r="J3" s="1595">
        <f>VLOOKUP(N3,广新品牌!A$7:M$95,10,TRUE)</f>
        <v>9154101.5</v>
      </c>
      <c r="K3" s="1595">
        <f>VLOOKUP(N3,广新品牌!A$7:M$95,8,TRUE)</f>
        <v>0</v>
      </c>
      <c r="L3" s="1595">
        <v>2016.1</v>
      </c>
      <c r="M3" s="1594"/>
      <c r="N3" s="1597">
        <v>43000</v>
      </c>
    </row>
    <row r="4" spans="1:14" ht="28.5">
      <c r="A4" s="1595" t="str">
        <f>画院!B$2</f>
        <v>广州市长源园林绿化工程有限公司</v>
      </c>
      <c r="B4" s="1595" t="s">
        <v>2</v>
      </c>
      <c r="C4" s="1595" t="s">
        <v>4973</v>
      </c>
      <c r="D4" s="1595" t="str">
        <f>画院!J$1</f>
        <v xml:space="preserve">C15:288  C20:298  C25:308  C30:318  C35:333  C40:348  C45:363  C50:383  C55:403  C60:433 </v>
      </c>
      <c r="E4" s="1595">
        <f>VLOOKUP(N4,画院!A$7:M$95,4)</f>
        <v>53254</v>
      </c>
      <c r="F4" s="1595">
        <f>VLOOKUP(N4,画院!A$7:M$95,5)</f>
        <v>18604573.440000001</v>
      </c>
      <c r="G4" s="1595" t="s">
        <v>4957</v>
      </c>
      <c r="H4" s="1596">
        <f t="shared" si="0"/>
        <v>0.99649069406452351</v>
      </c>
      <c r="I4" s="1595">
        <f>VLOOKUP(N4,画院!A$7:M$95,11,TRUE)</f>
        <v>65289.139999999898</v>
      </c>
      <c r="J4" s="1595">
        <f>VLOOKUP(N4,画院!A$7:M$95,10,TRUE)</f>
        <v>18539284.300000001</v>
      </c>
      <c r="K4" s="1595">
        <f>VLOOKUP(N4,画院!A$7:M$95,8,TRUE)</f>
        <v>0</v>
      </c>
      <c r="L4" s="1595">
        <v>2016.8</v>
      </c>
      <c r="M4" s="1594"/>
      <c r="N4" s="1597">
        <v>43000</v>
      </c>
    </row>
    <row r="5" spans="1:14" ht="99.75">
      <c r="A5" s="1595" t="str">
        <f>'1015工程项目'!B$2</f>
        <v>广东艺高建设有限公司</v>
      </c>
      <c r="B5" t="s">
        <v>3</v>
      </c>
      <c r="C5" s="1595" t="s">
        <v>4956</v>
      </c>
      <c r="D5" s="1595" t="str">
        <f>'1015工程项目'!J$1</f>
        <v>C15：240  C20：250 C25：260 C30：270       C35：285  C40：300  C45：320 C50：345   C55：375  C60：410  砂浆 385 从2016年3月20日下调10元/方；C30 260 M5砂浆 295 从2016年5月28日起上调10元/方；C30 270 砂浆 285；从2016年7月15日起上调10元/方；C30 280 从2016年10月25日起上调10元 C30 290  砂浆295; 从2016年12月13日上调30元；C30 310</v>
      </c>
      <c r="E5" s="1595">
        <f>VLOOKUP(N5,'1015工程项目'!A$7:M$95,4)</f>
        <v>12401</v>
      </c>
      <c r="F5" s="1595">
        <f>VLOOKUP(N5,'1015工程项目'!A$7:M$95,5)</f>
        <v>3473010</v>
      </c>
      <c r="G5" s="1595" t="s">
        <v>4957</v>
      </c>
      <c r="H5" s="1596">
        <f t="shared" si="0"/>
        <v>0.94645494830132937</v>
      </c>
      <c r="I5" s="1595">
        <f>VLOOKUP(N5,'1015工程项目'!A$7:M$95,11,TRUE)</f>
        <v>185962.5</v>
      </c>
      <c r="J5" s="1595">
        <f>VLOOKUP(N5,'1015工程项目'!A$7:M$95,10,TRUE)</f>
        <v>3287047.5</v>
      </c>
      <c r="K5" s="1595">
        <f>VLOOKUP(N5,'1015工程项目'!A$7:M$95,8,TRUE)</f>
        <v>0</v>
      </c>
      <c r="L5" s="1595">
        <v>2017.5</v>
      </c>
      <c r="M5" s="1594" t="s">
        <v>4958</v>
      </c>
      <c r="N5" s="1597">
        <v>43000</v>
      </c>
    </row>
    <row r="6" spans="1:14" ht="85.5">
      <c r="A6" s="1595" t="str">
        <f>广佛线!B$2</f>
        <v>广州长利达建筑工程有限公司</v>
      </c>
      <c r="B6" s="1595" t="s">
        <v>6</v>
      </c>
      <c r="C6" s="1595" t="s">
        <v>4975</v>
      </c>
      <c r="D6" s="1595" t="str">
        <f>广佛线!J$1</f>
        <v>C15：235 C20：245 C25：255 C30：265       C35：280  C40：295  C45：315 C50：340   C55：370  C60：405 砂浆 420 从2016年3月20日下调10元/方；（C30 255 砂浆400)从2016年5月28日上调10元 C30 265 ; 从2016年7月15日起上调15元/方；C30 280 从2016年12月12日上调30元；C30 310 从2017年5月1日起C30 285</v>
      </c>
      <c r="E6" s="1595">
        <f>VLOOKUP(N6,广佛线!A$7:M$95,4)</f>
        <v>2213</v>
      </c>
      <c r="F6" s="1595">
        <f>VLOOKUP(N6,广佛线!A$7:M$95,5)</f>
        <v>648037.5</v>
      </c>
      <c r="G6" s="1595" t="s">
        <v>4957</v>
      </c>
      <c r="H6" s="1596">
        <f t="shared" si="0"/>
        <v>0.89033042069324697</v>
      </c>
      <c r="I6" s="1595">
        <f>VLOOKUP(N6,广佛线!A$7:M$95,11,TRUE)</f>
        <v>71070</v>
      </c>
      <c r="J6" s="1595">
        <f>VLOOKUP(N6,广佛线!A$7:M$95,10,TRUE)</f>
        <v>576967.5</v>
      </c>
      <c r="K6" s="1595">
        <f>VLOOKUP(N6,广佛线!A$7:M$95,8,TRUE)</f>
        <v>0</v>
      </c>
      <c r="L6" s="1595">
        <v>2016.11</v>
      </c>
      <c r="M6" s="1594"/>
      <c r="N6" s="1597">
        <v>43000</v>
      </c>
    </row>
    <row r="7" spans="1:14" ht="57">
      <c r="A7" s="1595" t="str">
        <f>花地河治理!B$2</f>
        <v>广东国粤建设工程有限公司</v>
      </c>
      <c r="B7" s="1595" t="s">
        <v>4976</v>
      </c>
      <c r="C7" s="1595" t="s">
        <v>4975</v>
      </c>
      <c r="D7" s="1595" t="str">
        <f>花地河治理!J$1</f>
        <v>C15：235 C20：245 C25：255 C30：265       C35：280  C40：295  C45：315 C50：340   C55：370  C60：405 砂浆 420 从2016年7月15日起上调20元/方；C30 285 从2017年8月17日下调10元；C30 275</v>
      </c>
      <c r="E7" s="1595">
        <f>VLOOKUP(N7,花地河治理!A$7:M$95,4)</f>
        <v>1493</v>
      </c>
      <c r="F7" s="1595">
        <f>VLOOKUP(N7,花地河治理!A$7:M$95,5)</f>
        <v>452430</v>
      </c>
      <c r="G7" s="1595" t="s">
        <v>4957</v>
      </c>
      <c r="H7" s="1596">
        <f t="shared" si="0"/>
        <v>0.99718907316075944</v>
      </c>
      <c r="I7" s="1595">
        <f>VLOOKUP(N7,花地河治理!A$7:M$95,11,TRUE)</f>
        <v>1100</v>
      </c>
      <c r="J7" s="1595">
        <f>VLOOKUP(N7,花地河治理!A$7:M$95,10,TRUE)</f>
        <v>390230</v>
      </c>
      <c r="K7" s="1595">
        <f>VLOOKUP(N7,花地河治理!A$7:M$95,8,TRUE)</f>
        <v>10080</v>
      </c>
      <c r="L7" s="1595">
        <v>2017.1</v>
      </c>
      <c r="M7" s="1594"/>
      <c r="N7" s="1597">
        <v>43000</v>
      </c>
    </row>
    <row r="8" spans="1:14" ht="85.5">
      <c r="A8" s="1595" t="str">
        <f>商业楼主体项目!B$2</f>
        <v>深圳市政工程总公司</v>
      </c>
      <c r="B8" s="1616" t="s">
        <v>5205</v>
      </c>
      <c r="C8" s="1595" t="s">
        <v>4977</v>
      </c>
      <c r="D8" s="1595" t="str">
        <f>商业楼主体项目!J$1</f>
        <v>C15：247.29 C20：256.84 C25：263.99 C30：271.15 C35：281.49  C40：291.82  C45：302.96 C50：313.29   C55：329.20  C60：345.10 从2016年12月17日起上调40元；C30 311.15； 从2017年3月1日起下调20元/方；C30 291.5；长兴合同暂定价：C30 351.23 C35 364.62 C40 378.02 C45 392.43 C50 405.82 C55 426.42</v>
      </c>
      <c r="E8" s="1595">
        <f>VLOOKUP(N8,商业楼主体项目!A$7:M$95,4)</f>
        <v>19585</v>
      </c>
      <c r="F8" s="1595">
        <f>VLOOKUP(N8,商业楼主体项目!A$7:M$95,5)</f>
        <v>6214340.9799999995</v>
      </c>
      <c r="G8" s="1595" t="s">
        <v>4978</v>
      </c>
      <c r="H8" s="1596">
        <f t="shared" si="0"/>
        <v>0.98168057439698841</v>
      </c>
      <c r="I8" s="1595">
        <f>VLOOKUP(N8,商业楼主体项目!A$7:M$95,11,TRUE)</f>
        <v>97038.706499999855</v>
      </c>
      <c r="J8" s="1595">
        <f>VLOOKUP(N8,商业楼主体项目!A$7:M$95,10,TRUE)</f>
        <v>5200000</v>
      </c>
      <c r="K8" s="1595">
        <f>VLOOKUP(N8,商业楼主体项目!A$7:M$95,8,TRUE)</f>
        <v>824691.22450000001</v>
      </c>
      <c r="L8" s="1595">
        <v>2017.1</v>
      </c>
      <c r="M8" s="1594"/>
      <c r="N8" s="1597">
        <v>43000</v>
      </c>
    </row>
    <row r="9" spans="1:14" ht="85.5">
      <c r="A9" s="1599" t="str">
        <f>'商业楼主体项目 (长兴)'!B$3</f>
        <v>广州商业楼工程 2 幢</v>
      </c>
      <c r="B9" s="1616" t="s">
        <v>5206</v>
      </c>
      <c r="C9" s="1600" t="s">
        <v>4979</v>
      </c>
      <c r="D9" s="1595" t="str">
        <f>'商业楼主体项目 (长兴)'!J$1</f>
        <v>C15：247.29 C20：256.84 C25：263.99 C30：271.15 C35：281.49  C40：291.82  C45：302.96 C50：313.29   C55：329.20  C60：345.10 从2016年12月17日起上调40元；C30 311.15； 从2017年3月1日起下调20元/方；C30 291.5；长兴合同暂定价：C30 351.23 C35 364.62 C40 378.02 C45 392.43 C50 405.82 C55 426.42</v>
      </c>
      <c r="E9" s="1595">
        <f>VLOOKUP(N9,'商业楼主体项目 (长兴)'!A$7:M$100,4)</f>
        <v>6456.5</v>
      </c>
      <c r="F9" s="1595">
        <f>VLOOKUP(N9,'商业楼主体项目 (长兴)'!A$7:M$95,5)</f>
        <v>1975102.22</v>
      </c>
      <c r="G9" s="1595" t="s">
        <v>4980</v>
      </c>
      <c r="H9" s="1596">
        <f t="shared" si="0"/>
        <v>0.45857661741405198</v>
      </c>
      <c r="I9" s="1595">
        <f>VLOOKUP(N9,'商业楼主体项目 (长兴)'!A$7:M$100,11,TRUE)</f>
        <v>826462.47849999997</v>
      </c>
      <c r="J9" s="1595">
        <f>VLOOKUP(N9,'商业楼主体项目 (长兴)'!A$7:M$95,10,TRUE)</f>
        <v>700000</v>
      </c>
      <c r="K9" s="1595">
        <f>VLOOKUP(N9,'商业楼主体项目 (长兴)'!A$7:M$95,8,TRUE)</f>
        <v>323029.76699999999</v>
      </c>
      <c r="L9" s="1595">
        <v>2017.1</v>
      </c>
      <c r="M9" s="1594"/>
      <c r="N9" s="1597">
        <v>43000</v>
      </c>
    </row>
    <row r="10" spans="1:14" ht="57">
      <c r="A10" s="1595" t="str">
        <f>'会展中心-商学院'!B$2</f>
        <v>广州市长利达建筑工程有限公司</v>
      </c>
      <c r="B10" s="1595" t="s">
        <v>4981</v>
      </c>
      <c r="C10" s="1595" t="s">
        <v>4982</v>
      </c>
      <c r="D10" s="1595" t="str">
        <f>'会展中心-商学院'!J$1</f>
        <v xml:space="preserve">C15：225 C20：235 C25：245 C30：255   C35：270  C40：285  C45：305 C50：330   C55：360  C60：395 砂浆 300 从2016年7月15日起上调25元/方；C30 280 从2016年12月12日起上调30元；C30 310 </v>
      </c>
      <c r="E10" s="1595">
        <f>VLOOKUP(N10,'会展中心-商学院'!A$7:M$95,4)</f>
        <v>3380</v>
      </c>
      <c r="F10" s="1595">
        <f>VLOOKUP(N10,'会展中心-商学院'!A$7:M$95,5)</f>
        <v>980762.5</v>
      </c>
      <c r="G10" s="1595" t="s">
        <v>4957</v>
      </c>
      <c r="H10" s="1596">
        <f t="shared" si="0"/>
        <v>0.96761703266591048</v>
      </c>
      <c r="I10" s="1595">
        <f>VLOOKUP(N10,'会展中心-商学院'!A$7:M$95,11,TRUE)</f>
        <v>31760</v>
      </c>
      <c r="J10" s="1595">
        <f>VLOOKUP(N10,'会展中心-商学院'!A$7:M$95,10,TRUE)</f>
        <v>949002.5</v>
      </c>
      <c r="K10" s="1595">
        <f>VLOOKUP(N10,'会展中心-商学院'!A$7:M$95,8,TRUE)</f>
        <v>4635</v>
      </c>
      <c r="L10" s="1595">
        <v>2017.4</v>
      </c>
      <c r="M10" s="1594"/>
      <c r="N10" s="1597">
        <v>43000</v>
      </c>
    </row>
    <row r="11" spans="1:14" ht="57">
      <c r="A11" s="1595" t="str">
        <f>荔港南湾!B$2</f>
        <v>深圳市建工集团股份有限公司</v>
      </c>
      <c r="B11" s="1598" t="s">
        <v>10</v>
      </c>
      <c r="C11" s="1595" t="s">
        <v>4983</v>
      </c>
      <c r="D11" s="1595" t="str">
        <f>荔港南湾!J$1</f>
        <v>C15 242 C20 252 C25 262 C30 270 C35 282 C40 297 C45 312 C50 327 C55 347 C60 367 C65 440 C70 470 砂浆（不分类型）270 从2016年12月12日至2017年2月15日上调35元 C30:305</v>
      </c>
      <c r="E11" s="1595">
        <f>VLOOKUP(N11,荔港南湾!A$7:M$95,4)</f>
        <v>34853.5</v>
      </c>
      <c r="F11" s="1595">
        <f>VLOOKUP(N11,荔港南湾!A$7:M$95,5)</f>
        <v>10587095.5</v>
      </c>
      <c r="G11" s="1595" t="s">
        <v>4984</v>
      </c>
      <c r="H11" s="1596">
        <f t="shared" si="0"/>
        <v>0.96809682431520794</v>
      </c>
      <c r="I11" s="1595">
        <f>VLOOKUP(N11,荔港南湾!A$7:M$95,11,TRUE)</f>
        <v>226397.61999999979</v>
      </c>
      <c r="J11" s="1595">
        <f>VLOOKUP(N11,荔港南湾!A$7:M$95,10,TRUE)</f>
        <v>6870000</v>
      </c>
      <c r="K11" s="1595">
        <f>VLOOKUP(N11,荔港南湾!A$7:M$95,8,TRUE)</f>
        <v>54723.899999999994</v>
      </c>
      <c r="L11" s="1595">
        <v>2017.1</v>
      </c>
      <c r="M11" s="1594"/>
      <c r="N11" s="1597">
        <v>43000</v>
      </c>
    </row>
    <row r="12" spans="1:14" ht="99.75">
      <c r="A12" s="1595" t="str">
        <f>合鸿达大厦!B$2</f>
        <v>广东海外建设集团有限公司</v>
      </c>
      <c r="B12" s="1595" t="s">
        <v>11</v>
      </c>
      <c r="C12" s="1595" t="s">
        <v>4983</v>
      </c>
      <c r="D12" s="1595" t="str">
        <f>合鸿达大厦!J$1</f>
        <v>C15 225 C20 235 C25 245 C30 255 C35 270 C40 285 C45 305 C50 330 C55 360 C60 395 砂浆360 从2016年7月25日上调15元 C30 270 从2016年10月25日上调7元 C30 277元  从2016年12月15日起上调30元；C30 307 从2017年3月15日起下调7元；C30 300；从2017年5月26日起下调15元；C30 285</v>
      </c>
      <c r="E12" s="1595">
        <f>VLOOKUP(N12,合鸿达大厦!A$7:M$95,4)</f>
        <v>12208.5</v>
      </c>
      <c r="F12" s="1595">
        <f>VLOOKUP(N12,合鸿达大厦!A$7:M$95,5)</f>
        <v>3396704.5</v>
      </c>
      <c r="G12" s="1595" t="s">
        <v>4985</v>
      </c>
      <c r="H12" s="1596">
        <f t="shared" si="0"/>
        <v>0.89794847198118577</v>
      </c>
      <c r="I12" s="1595">
        <f>VLOOKUP(N12,合鸿达大厦!A$7:M$95,11,TRUE)</f>
        <v>270896.72000000009</v>
      </c>
      <c r="J12" s="1595">
        <f>VLOOKUP(N12,合鸿达大厦!A$7:M$95,10,TRUE)</f>
        <v>2383612.48</v>
      </c>
      <c r="K12" s="1595">
        <f>VLOOKUP(N12,合鸿达大厦!A$7:M$95,8,TRUE)</f>
        <v>41300</v>
      </c>
      <c r="L12" s="1595">
        <v>2017.1</v>
      </c>
      <c r="M12" s="1594"/>
      <c r="N12" s="1597">
        <v>43000</v>
      </c>
    </row>
    <row r="13" spans="1:14" ht="57">
      <c r="A13" s="1595" t="str">
        <f>金沙洲!B$2</f>
        <v>广州市房屋开发建设有限公司</v>
      </c>
      <c r="B13" s="1595" t="s">
        <v>12</v>
      </c>
      <c r="C13" s="1595" t="s">
        <v>4986</v>
      </c>
      <c r="D13" s="1595" t="str">
        <f>金沙洲!J$1</f>
        <v>C15 235 C20 245 C25 255 C30 265 C30水下砼 280 C35P6-P8 270 C35P8 300 C40P8 320 从2016年10月25日起上调10元C30 275；从2016年12月13日上调30元；C30 305；从2017年5月1起C30:290元</v>
      </c>
      <c r="E13" s="1595">
        <f>VLOOKUP(N13,金沙洲!A$7:M$69,4)</f>
        <v>16909</v>
      </c>
      <c r="F13" s="1595">
        <f>VLOOKUP(N13,金沙洲!A$7:M$69,5)</f>
        <v>5077402.5</v>
      </c>
      <c r="G13" s="1595" t="s">
        <v>4987</v>
      </c>
      <c r="H13" s="1596">
        <f t="shared" si="0"/>
        <v>0.87839928132262035</v>
      </c>
      <c r="I13" s="1595">
        <f>VLOOKUP(N13,金沙洲!A$7:M$69,11,TRUE)</f>
        <v>585129.875</v>
      </c>
      <c r="J13" s="1595">
        <f>VLOOKUP(N13,金沙洲!A$7:M$95,10,TRUE)</f>
        <v>4226765</v>
      </c>
      <c r="K13" s="1595">
        <f>VLOOKUP(N13,金沙洲!A$7:M$95,8,TRUE)</f>
        <v>325458.125</v>
      </c>
      <c r="L13" s="1595">
        <v>2017.3</v>
      </c>
      <c r="M13" s="1594"/>
      <c r="N13" s="1597">
        <v>43000</v>
      </c>
    </row>
    <row r="14" spans="1:14" ht="85.5">
      <c r="A14" s="1601" t="str">
        <f>广钢新城!B$2</f>
        <v>中建二局第三建筑工程有限公司</v>
      </c>
      <c r="B14" s="1601" t="s">
        <v>4</v>
      </c>
      <c r="C14" s="1601" t="s">
        <v>4988</v>
      </c>
      <c r="D14" s="1601" t="str">
        <f>广钢新城!J$1</f>
        <v>六个月银行承兑单价：C15:274.5 C20：274.5 C25：294.5 C30：304.5 C35：319.5 C40：334.5 C45：349.5 C50：369.5 C55：389.5 C60：409.5                            现付单价：C15:284.5 C20：294.5 C25：304.5 C30：314.5 C35：329.5 C40：344.5 C45：359.5 C50：379.5 C55：399.5 C60：419.5 从2016年1月20号起C30 263</v>
      </c>
      <c r="E14" s="1601">
        <f>VLOOKUP(N14,广钢新城!A$7:M$69,4)</f>
        <v>97115</v>
      </c>
      <c r="F14" s="1601">
        <f>VLOOKUP(N14,广钢新城!A$7:M$69,5)</f>
        <v>30787215</v>
      </c>
      <c r="G14" s="1601" t="s">
        <v>4989</v>
      </c>
      <c r="H14" s="1602">
        <f t="shared" si="0"/>
        <v>0.99104787476424283</v>
      </c>
      <c r="I14" s="1601">
        <f>VLOOKUP(N14,广钢新城!A$7:M$69,11,TRUE)</f>
        <v>219050.00000000233</v>
      </c>
      <c r="J14" s="1601">
        <f>VLOOKUP(N14,广钢新城!A$7:M$95,10,TRUE)</f>
        <v>24250000</v>
      </c>
      <c r="K14" s="1601">
        <f>VLOOKUP(N14,广钢新城!A$7:M$95,8,TRUE)</f>
        <v>0</v>
      </c>
      <c r="L14" s="1601">
        <v>2017.1</v>
      </c>
      <c r="M14" s="1603" t="s">
        <v>4990</v>
      </c>
      <c r="N14" s="1597">
        <v>43000</v>
      </c>
    </row>
    <row r="15" spans="1:14" ht="85.5">
      <c r="A15" s="1601" t="str">
        <f>'广钢新城 (2期)'!B$2</f>
        <v>中建二局第三建筑工程有限公司</v>
      </c>
      <c r="B15" s="1604" t="s">
        <v>5</v>
      </c>
      <c r="C15" s="1601" t="s">
        <v>4991</v>
      </c>
      <c r="D15" s="1601" t="str">
        <f>'广钢新城 (2期)'!J$1</f>
        <v>六个月银行承兑单价：C15:233 C20：243 C25：253 C30：263 C35：273 C40：288 C45：303 C50：323 C55：348 C60：409.5                            现付单价：C15:284.5 C20：294.5 C25：304.5 C30：314.5 C35：329.5 C40：344.5 C45：359.5 C50：379.5 C55：399.5 C60：419.5 从2016年1月20号起C30 263</v>
      </c>
      <c r="E15" s="1601">
        <f>VLOOKUP(N15,'广钢新城 (2期)'!A$7:M$69,4)</f>
        <v>37917</v>
      </c>
      <c r="F15" s="1601">
        <f>VLOOKUP(N15,'广钢新城 (2期)'!A$7:M$69,5)</f>
        <v>10735186</v>
      </c>
      <c r="G15" s="1601" t="s">
        <v>4989</v>
      </c>
      <c r="H15" s="1602">
        <f t="shared" si="0"/>
        <v>0.93507718837298037</v>
      </c>
      <c r="I15" s="1601">
        <f>VLOOKUP(N15,'广钢新城 (2期)'!A$7:M$69,11,TRUE)</f>
        <v>548500.4</v>
      </c>
      <c r="J15" s="1601">
        <f>VLOOKUP(N15,'广钢新城 (2期)'!A$7:M$95,10,TRUE)</f>
        <v>7900000</v>
      </c>
      <c r="K15" s="1601">
        <f>VLOOKUP(N15,'广钢新城 (2期)'!A$7:M$95,8,TRUE)</f>
        <v>275049.2</v>
      </c>
      <c r="L15" s="1601">
        <v>2017.1</v>
      </c>
      <c r="M15" s="1603" t="s">
        <v>623</v>
      </c>
      <c r="N15" s="1597">
        <v>43000</v>
      </c>
    </row>
    <row r="16" spans="1:14" ht="28.5">
      <c r="A16" s="1595" t="str">
        <f>广钢振业城!B$3</f>
        <v>中国建筑第二工程局有限公司深圳分公司</v>
      </c>
      <c r="B16" s="1595" t="s">
        <v>15</v>
      </c>
      <c r="C16" s="1595" t="s">
        <v>4992</v>
      </c>
      <c r="D16" s="1595" t="str">
        <f>广钢振业城!J$1</f>
        <v>以供货当期《广州市工程造价信息》中的同规格型号产品信息价格下浮27%作为结算单价；润泵砂浆320元</v>
      </c>
      <c r="E16" s="1595">
        <f>VLOOKUP(N16,广钢振业城!A$7:M$69,4)</f>
        <v>41851.5</v>
      </c>
      <c r="F16" s="1595">
        <f>VLOOKUP(N16,广钢振业城!A$7:M$69,5)</f>
        <v>11542490.167699998</v>
      </c>
      <c r="G16" s="1595" t="s">
        <v>4989</v>
      </c>
      <c r="H16" s="1596">
        <f t="shared" si="0"/>
        <v>0.94845369211897912</v>
      </c>
      <c r="I16" s="1595">
        <f>VLOOKUP(N16,广钢振业城!A$7:M$69,11,TRUE)</f>
        <v>402447.06338999921</v>
      </c>
      <c r="J16" s="1595">
        <f>VLOOKUP(N16,广钢振业城!A$7:M$95,10,TRUE)</f>
        <v>7405038.6699999999</v>
      </c>
      <c r="K16" s="1595">
        <f>VLOOKUP(N16,广钢振业城!A$7:M$95,8,TRUE)</f>
        <v>-28384.736555000152</v>
      </c>
      <c r="L16" s="1595">
        <v>2017.1</v>
      </c>
      <c r="M16" s="1594"/>
      <c r="N16" s="1597">
        <v>43000</v>
      </c>
    </row>
    <row r="17" spans="1:14" ht="128.25">
      <c r="A17" s="1595" t="str">
        <f>复星南方总部!B$3</f>
        <v>中建三局集团有限公司</v>
      </c>
      <c r="B17" s="1605" t="s">
        <v>14</v>
      </c>
      <c r="C17" s="1595" t="s">
        <v>4983</v>
      </c>
      <c r="D17" s="1595" t="str">
        <f>复星南方总部!J$1</f>
        <v xml:space="preserve">C10 250 C15 260 C20 270 C25 280 C30 289 C35 304 C40 318 C45 335 C50 354 C55 374 C60 393；第二季度C30 296；第三季度C30 298； 第四季度C30 298; 2017第一季度C30 298; 从2017年5月11日起长兴合同单价：C15 255 C20 265 C25 275 C30 285 C35 300 C40 315 C45 330 C50 350 C55 370 C60 390 </v>
      </c>
      <c r="E17" s="1595">
        <f>VLOOKUP(N17,复星南方总部!A$7:M$69,4)</f>
        <v>43015</v>
      </c>
      <c r="F17" s="1595">
        <f>VLOOKUP(N17,复星南方总部!A$7:M$69,5)</f>
        <v>13356679.5</v>
      </c>
      <c r="G17" s="1595" t="s">
        <v>4993</v>
      </c>
      <c r="H17" s="1596">
        <f t="shared" si="0"/>
        <v>0.74868907350812763</v>
      </c>
      <c r="I17" s="1595">
        <f>VLOOKUP(N17,复星南方总部!A$7:M$69,11,TRUE)</f>
        <v>2349675.6499999994</v>
      </c>
      <c r="J17" s="1595">
        <f>VLOOKUP(N17,复星南方总部!A$7:M$95,10,TRUE)</f>
        <v>7000000</v>
      </c>
      <c r="K17" s="1595">
        <f>VLOOKUP(N17,复星南方总部!A$7:M$95,8,TRUE)</f>
        <v>1858507.7</v>
      </c>
      <c r="L17" s="1595">
        <v>2017.4</v>
      </c>
      <c r="M17" s="1594"/>
      <c r="N17" s="1597">
        <v>43000</v>
      </c>
    </row>
    <row r="18" spans="1:14">
      <c r="A18" s="1595"/>
      <c r="B18" s="1595"/>
      <c r="C18" s="1595"/>
      <c r="D18" s="1595"/>
      <c r="E18" s="1595"/>
      <c r="F18" s="1595"/>
      <c r="G18" s="1595"/>
      <c r="H18" s="1595"/>
      <c r="I18" s="1595"/>
      <c r="J18" s="1595"/>
      <c r="K18" s="1595"/>
      <c r="L18" s="1595"/>
      <c r="M18" s="1595"/>
      <c r="N18" s="1595"/>
    </row>
    <row r="19" spans="1:14">
      <c r="A19" s="1632" t="s">
        <v>4994</v>
      </c>
      <c r="B19" s="1632"/>
      <c r="C19" s="1632"/>
      <c r="D19" s="1632"/>
      <c r="E19" s="1632"/>
      <c r="F19" s="1632"/>
      <c r="G19" s="1632"/>
      <c r="H19" s="1632"/>
      <c r="I19" s="1632"/>
      <c r="J19" s="1632"/>
      <c r="K19" s="1632"/>
      <c r="L19" s="1632"/>
      <c r="M19" s="1632"/>
      <c r="N19" s="1632"/>
    </row>
    <row r="20" spans="1:14" ht="28.5">
      <c r="A20" s="1595" t="s">
        <v>240</v>
      </c>
      <c r="B20" s="1595" t="s">
        <v>4960</v>
      </c>
      <c r="C20" s="1595" t="s">
        <v>4961</v>
      </c>
      <c r="D20" s="1595" t="s">
        <v>4962</v>
      </c>
      <c r="E20" s="1595" t="s">
        <v>4963</v>
      </c>
      <c r="F20" s="1595" t="s">
        <v>4964</v>
      </c>
      <c r="G20" s="1595" t="s">
        <v>4965</v>
      </c>
      <c r="H20" s="1596" t="s">
        <v>4966</v>
      </c>
      <c r="I20" s="1595" t="s">
        <v>4967</v>
      </c>
      <c r="J20" s="1595" t="s">
        <v>4968</v>
      </c>
      <c r="K20" s="1595" t="s">
        <v>4969</v>
      </c>
      <c r="L20" s="1595" t="s">
        <v>4970</v>
      </c>
      <c r="M20" s="1594" t="s">
        <v>278</v>
      </c>
      <c r="N20" s="1597" t="s">
        <v>4755</v>
      </c>
    </row>
    <row r="21" spans="1:14" ht="28.5">
      <c r="A21" s="1595" t="str">
        <f>金沙洲B37E02!B$3</f>
        <v>广州市市政集团有限公司B3723E02号地块项目部</v>
      </c>
      <c r="B21" s="1595" t="s">
        <v>27</v>
      </c>
      <c r="C21" s="1595" t="s">
        <v>4995</v>
      </c>
      <c r="D21" s="1595" t="str">
        <f>金沙洲B37E02!I$1</f>
        <v>临供 C30：248，2013年10月1日上调30元，2013年10月7日上调20元，C30：298</v>
      </c>
      <c r="E21" s="1595">
        <f>VLOOKUP(N21,金沙洲B37E02!A$7:M$69,4)</f>
        <v>35486</v>
      </c>
      <c r="F21" s="1595">
        <f>VLOOKUP(N21,金沙洲B37E02!A$7:M$69,5)</f>
        <v>11248024.5</v>
      </c>
      <c r="G21" s="1595" t="s">
        <v>4957</v>
      </c>
      <c r="H21" s="1596">
        <f t="shared" ref="H21:H35" si="1">J21/(I21+J21)</f>
        <v>0.99556130056437919</v>
      </c>
      <c r="I21" s="1595">
        <f>VLOOKUP(N21,金沙洲B37E02!A$7:M$69,11,TRUE)</f>
        <v>49926.600000000006</v>
      </c>
      <c r="J21" s="1595">
        <f>VLOOKUP(N21,金沙洲B37E02!A$7:M$95,10,TRUE)</f>
        <v>11198097.9</v>
      </c>
      <c r="K21" s="1595">
        <f>VLOOKUP(N21,金沙洲B37E02!A$7:M$95,8,TRUE)</f>
        <v>0</v>
      </c>
      <c r="L21" s="1595">
        <v>2016.6</v>
      </c>
      <c r="M21" s="1594" t="s">
        <v>4996</v>
      </c>
      <c r="N21" s="1597">
        <v>43000</v>
      </c>
    </row>
    <row r="22" spans="1:14" ht="71.25">
      <c r="A22" s="1595" t="str">
        <f>珠岛花园!B$2</f>
        <v>广州迪宏建筑劳务有限公司</v>
      </c>
      <c r="B22" s="1595" t="s">
        <v>29</v>
      </c>
      <c r="C22" s="1595" t="s">
        <v>4997</v>
      </c>
      <c r="D22" s="1595" t="str">
        <f>珠岛花园!I$1</f>
        <v>C15:245   C20:255   C25:265   C30:275   C35:290   C40:305   C45:320   C50:340   C55:360   C60:390从2015年4月1日起执行以下单价：C30 325 砂浆：400 从2015年5月1日起C30 305元；砂浆400元；从2016年7月15日上调15元；C30 320；砂浆400元；</v>
      </c>
      <c r="E22" s="1595">
        <f>VLOOKUP(N22,珠岛花园!A$7:M$69,4)</f>
        <v>39911.5</v>
      </c>
      <c r="F22" s="1595">
        <f>VLOOKUP(N22,珠岛花园!A$7:M$69,5)</f>
        <v>14228801.5</v>
      </c>
      <c r="G22" s="1595" t="s">
        <v>4989</v>
      </c>
      <c r="H22" s="1596">
        <f t="shared" si="1"/>
        <v>0.89246715543821453</v>
      </c>
      <c r="I22" s="1595">
        <f>VLOOKUP(N22,珠岛花园!A$7:M$69,11,TRUE)</f>
        <v>1530063.5</v>
      </c>
      <c r="J22" s="1595">
        <f>VLOOKUP(N22,珠岛花园!A$7:M$95,10,TRUE)</f>
        <v>12698738</v>
      </c>
      <c r="K22" s="1595">
        <f>VLOOKUP(N22,珠岛花园!A$7:M$95,8,TRUE)</f>
        <v>0</v>
      </c>
      <c r="L22" s="1595">
        <v>2017.4</v>
      </c>
      <c r="M22" s="1594"/>
      <c r="N22" s="1597">
        <v>43000</v>
      </c>
    </row>
    <row r="23" spans="1:14" ht="42.75">
      <c r="A23" s="1595" t="str">
        <f>百信广场!B$2</f>
        <v>天祥建设集团有限公司</v>
      </c>
      <c r="B23" s="1595" t="s">
        <v>30</v>
      </c>
      <c r="C23" s="1595" t="s">
        <v>4998</v>
      </c>
      <c r="D23" s="1595" t="str">
        <f>百信广场!I$1</f>
        <v>C10:277  C15:287  C20：297   C25：307  C30:317  C35:327  C40:342  C45:362   C50：382  C55：402  C60:422   从2015年3月1日起上调20元/方。C30 337</v>
      </c>
      <c r="E23" s="1595">
        <f>VLOOKUP(N23,百信广场!A$7:M$69,4)</f>
        <v>104488.2</v>
      </c>
      <c r="F23" s="1595">
        <f>VLOOKUP(N23,百信广场!A$7:M$69,5)</f>
        <v>35306242.899999999</v>
      </c>
      <c r="G23" s="1595" t="s">
        <v>4989</v>
      </c>
      <c r="H23" s="1596">
        <f t="shared" si="1"/>
        <v>0.83258013216066706</v>
      </c>
      <c r="I23" s="1595">
        <f>VLOOKUP(N23,百信广场!A$7:M$69,11,TRUE)</f>
        <v>5854203.4000000004</v>
      </c>
      <c r="J23" s="1595">
        <f>VLOOKUP(N23,百信广场!A$7:M$95,10,TRUE)</f>
        <v>29112993</v>
      </c>
      <c r="K23" s="1595">
        <f>VLOOKUP(N23,百信广场!A$7:M$95,8,TRUE)</f>
        <v>88893</v>
      </c>
      <c r="L23" s="1595">
        <v>2017.1</v>
      </c>
      <c r="M23" s="1594"/>
      <c r="N23" s="1597">
        <v>43000</v>
      </c>
    </row>
    <row r="24" spans="1:14" ht="185.25">
      <c r="A24" s="1595" t="str">
        <f>赫基国际大厦!B$2</f>
        <v>天祥建设集团有限公司</v>
      </c>
      <c r="B24" s="1595" t="s">
        <v>31</v>
      </c>
      <c r="C24" s="1595" t="s">
        <v>4999</v>
      </c>
      <c r="D24" s="1595" t="str">
        <f>赫基国际大厦!I$1</f>
        <v>补充协议二：从2015年1月1日起至本工程完工止（2015.4.1至2015.4.30除外），C15 270 C20 280 C25 290 C30 300 C35 315 C40 335 C45 360 C50 360 C55 380 C60 400 C65 480 C70 510 C75 540 C80 590 C85 630 C80高抛 640 2.2015.4.1至4.30日，C15 290 C20 300 C25 310 30 320 C35 335 C40 350 C45 365 C50 380 C55 400 C60 420 C65 500 C70 530 C75 560 C80 610 C85 650 C80 高抛 660；补充协议（三）2015年06月1日起 C30 290 ；2015年7月1日起 C30 280 从2015年12月1日起下调10元/m3；C30 270元；从2016年1月1日起下调5元/m3；C30 265元 从2016年7月15起上调10元 C30 275 从2016年12月12日上调25元；C30 300 从2016年12月15日上调25元；C30 325；从2017年3.1下调20元；C30 305; 从2017.3.10起下调10元；C30 295</v>
      </c>
      <c r="E24" s="1595">
        <f>VLOOKUP(N24,赫基国际大厦!A$7:M$69,4)</f>
        <v>0</v>
      </c>
      <c r="F24" s="1595">
        <f>VLOOKUP(N24,赫基国际大厦!A$7:M$69,5)</f>
        <v>0</v>
      </c>
      <c r="G24" s="1595" t="s">
        <v>5000</v>
      </c>
      <c r="H24" s="1596">
        <f t="shared" si="1"/>
        <v>0</v>
      </c>
      <c r="I24" s="1595">
        <f>VLOOKUP(N24,赫基国际大厦!A$7:M$69,11,TRUE)</f>
        <v>4702544.4200000027</v>
      </c>
      <c r="J24" s="1595">
        <f>VLOOKUP(N24,赫基国际大厦!A$7:M$95,10,TRUE)</f>
        <v>0</v>
      </c>
      <c r="K24" s="1595">
        <f>VLOOKUP(N24,赫基国际大厦!A$7:M$95,8,TRUE)</f>
        <v>13875</v>
      </c>
      <c r="L24" s="1595">
        <v>2017.4</v>
      </c>
      <c r="M24" s="1594"/>
      <c r="N24" s="1597">
        <v>43000</v>
      </c>
    </row>
    <row r="25" spans="1:14" ht="28.5">
      <c r="A25" s="1595" t="str">
        <f>瑞华武警公寓楼房!B$2</f>
        <v>瑞华建设集团有限公司</v>
      </c>
      <c r="B25" s="1595" t="s">
        <v>33</v>
      </c>
      <c r="C25" s="1595" t="s">
        <v>5001</v>
      </c>
      <c r="D25" s="1595" t="str">
        <f>瑞华武警公寓楼房!I$1</f>
        <v>C15：258 C20：268 C25：278 C30：288 C35：303 C40：318 C45：338 C50：368  从2014年4.1起上调10元/M3</v>
      </c>
      <c r="E25" s="1595">
        <f>VLOOKUP(N25,瑞华武警公寓楼房!A$7:M$73,4)</f>
        <v>3059</v>
      </c>
      <c r="F25" s="1595">
        <f>VLOOKUP(N25,瑞华武警公寓楼房!A$7:M$73,5)</f>
        <v>898097</v>
      </c>
      <c r="G25" s="1595" t="s">
        <v>4957</v>
      </c>
      <c r="H25" s="1596">
        <f t="shared" si="1"/>
        <v>0.97159549580947269</v>
      </c>
      <c r="I25" s="1595">
        <f>VLOOKUP(N25,瑞华武警公寓楼房!A$7:M$73,11,TRUE)</f>
        <v>25510</v>
      </c>
      <c r="J25" s="1595">
        <f>VLOOKUP(N25,瑞华武警公寓楼房!A$7:M$100,10,TRUE)</f>
        <v>872587</v>
      </c>
      <c r="K25" s="1595">
        <f>VLOOKUP(N25,瑞华武警公寓楼房!A$7:M$100,8,TRUE)</f>
        <v>894</v>
      </c>
      <c r="L25" s="1595">
        <v>2016.2</v>
      </c>
      <c r="M25" s="1594" t="s">
        <v>5002</v>
      </c>
      <c r="N25" s="1597">
        <v>43000</v>
      </c>
    </row>
    <row r="26" spans="1:14" ht="71.25">
      <c r="A26" s="1595" t="str">
        <f>武警BC栋!B$2</f>
        <v>瑞华建设集团有限公司</v>
      </c>
      <c r="B26" s="1595" t="s">
        <v>25</v>
      </c>
      <c r="C26" s="1595" t="s">
        <v>5003</v>
      </c>
      <c r="D26" s="1595" t="str">
        <f>武警BC栋!J$1</f>
        <v xml:space="preserve">C15：235   C20：245  C25：255   C30：265    C35：275   C40：290  C45：305   C50：325，2013年5月1日下调5元，2013年8月1日上调10元，2013年9月15日上调5元，从2013年10月1日起上升50元，C30：325元   从2014年5月15日上调5元/m³                                                                            </v>
      </c>
      <c r="E26" s="1595">
        <f>VLOOKUP(N26,武警BC栋!A$7:M$69,4)</f>
        <v>27258.5</v>
      </c>
      <c r="F26" s="1595">
        <f>VLOOKUP(N26,武警BC栋!A$7:M$69,5)</f>
        <v>8581295</v>
      </c>
      <c r="G26" s="1595" t="s">
        <v>4957</v>
      </c>
      <c r="H26" s="1596">
        <f t="shared" si="1"/>
        <v>0.98951195594604313</v>
      </c>
      <c r="I26" s="1595">
        <f>VLOOKUP(N26,武警BC栋!A$7:M$69,11,TRUE)</f>
        <v>90001</v>
      </c>
      <c r="J26" s="1595">
        <f>VLOOKUP(N26,武警BC栋!A$7:M$95,10,TRUE)</f>
        <v>8491294</v>
      </c>
      <c r="K26" s="1595">
        <f>VLOOKUP(N26,武警BC栋!A$7:M$95,8,TRUE)</f>
        <v>0</v>
      </c>
      <c r="L26" s="1595">
        <v>2015.12</v>
      </c>
      <c r="M26" s="1594"/>
      <c r="N26" s="1597">
        <v>43000</v>
      </c>
    </row>
    <row r="27" spans="1:14" ht="185.25">
      <c r="A27" s="1595" t="str">
        <f>星港国际!B$2</f>
        <v>广物汇晶广场项目部</v>
      </c>
      <c r="B27" s="1595" t="s">
        <v>34</v>
      </c>
      <c r="C27" s="1595" t="s">
        <v>5004</v>
      </c>
      <c r="D27" s="1595" t="str">
        <f>星港国际!H$1</f>
        <v>C15：250 C20：260 C25：270  C30：280 C35：290 C40：305 C45：320 C50：335 C55: 350  C60:370 从2015年4月1上调20元/方（只上调一个月）；从2015年8月10下调元/方，C30 270；从2015年9月1日起下调10元/方 C30 260; 从2015年10月1起下调10元/方；</v>
      </c>
      <c r="E27" s="1595">
        <f>VLOOKUP(N27,星港国际!A$7:M$73,4)</f>
        <v>12998.33</v>
      </c>
      <c r="F27" s="1595">
        <f>VLOOKUP(N27,星港国际!A$7:M$73,5)</f>
        <v>3886491.1</v>
      </c>
      <c r="G27" s="1595" t="s">
        <v>1241</v>
      </c>
      <c r="H27" s="1596">
        <f t="shared" si="1"/>
        <v>1</v>
      </c>
      <c r="I27" s="1595">
        <f>VLOOKUP(N27,星港国际!A$7:M$73,11,TRUE)</f>
        <v>0</v>
      </c>
      <c r="J27" s="1595">
        <f>VLOOKUP(N27,星港国际!A$7:M$100,10,TRUE)</f>
        <v>3886385.1</v>
      </c>
      <c r="K27" s="1595">
        <f>VLOOKUP(N27,星港国际!A$7:M$100,8,TRUE)</f>
        <v>0</v>
      </c>
      <c r="L27" s="1595">
        <v>2016.2</v>
      </c>
      <c r="M27" s="1594"/>
      <c r="N27" s="1597">
        <v>43000</v>
      </c>
    </row>
    <row r="28" spans="1:14" ht="156.75">
      <c r="A28" s="1595" t="str">
        <f>石井污水!B$2</f>
        <v>广州市市政集团有限公司</v>
      </c>
      <c r="B28" s="1595" t="s">
        <v>5005</v>
      </c>
      <c r="C28" s="1595" t="s">
        <v>5006</v>
      </c>
      <c r="D28" s="1595" t="str">
        <f>石井污水!I$1</f>
        <v>C15：265 C20：275 C25：285 C30：295 C35：310 C40：325 C45：345 C50：370 C55: 400  C60:435 砂浆按随车混凝土单价; 从2015年7月1日起下调10元/方。C30 285 从2015年9月1日下调5元/方 C30 280；从2015年11月15日下调下调10元/方 C30 270；从2015年12月15日下调下调10元/方 C30 260；从2015年3月1日起下调10元 C30 250 ；从2016年4月15日起上调5元；255元（M5地面砂浆260元）从2016年10月1日开始下始下调5元/方；C30 250元；从2016年12月12日上调40元；C30 290元从2016年12月15日上调20元；C30 310元；从2017年1月11日起下调20元；C30 290(砂浆随混凝土单价）从2017年3月21日起C30 280</v>
      </c>
      <c r="E28" s="1595">
        <f>VLOOKUP(N28,石井污水!A$7:M$73,4)</f>
        <v>107466.2</v>
      </c>
      <c r="F28" s="1595">
        <f>VLOOKUP(N28,石井污水!A$7:M$73,5)</f>
        <v>30773000</v>
      </c>
      <c r="G28" s="1595" t="s">
        <v>4957</v>
      </c>
      <c r="H28" s="1596">
        <f t="shared" si="1"/>
        <v>0.99912899984465975</v>
      </c>
      <c r="I28" s="1595">
        <f>VLOOKUP(N28,石井污水!A$7:M$73,11,TRUE)</f>
        <v>22680.5</v>
      </c>
      <c r="J28" s="1595">
        <f>VLOOKUP(N28,石井污水!A$7:M$100,10,TRUE)</f>
        <v>26016924.5</v>
      </c>
      <c r="K28" s="1595">
        <f>VLOOKUP(N28,石井污水!A$7:M$100,8,TRUE)</f>
        <v>3669150</v>
      </c>
      <c r="L28" s="1595">
        <v>2017.3</v>
      </c>
      <c r="M28" s="1594"/>
      <c r="N28" s="1597">
        <v>43000</v>
      </c>
    </row>
    <row r="29" spans="1:14" ht="57">
      <c r="A29" s="1601" t="str">
        <f>'菠萝山二标（标段四）'!B$2</f>
        <v>广州市住宅建设发展有限公司</v>
      </c>
      <c r="B29" s="1601" t="s">
        <v>36</v>
      </c>
      <c r="C29" s="1601" t="s">
        <v>5007</v>
      </c>
      <c r="D29" s="1601" t="str">
        <f>'菠萝山二标（标段四）'!I$1</f>
        <v>C10 255  C15：265 C20：275 C25：285 C30：295 C35：305 C40：325 C45：350 C50：375 从2015年11月1日起下调7元/方 C30 288</v>
      </c>
      <c r="E29" s="1601">
        <f>VLOOKUP(N29,'菠萝山二标（标段四）'!A$7:M$73,4)</f>
        <v>13818</v>
      </c>
      <c r="F29" s="1601">
        <f>VLOOKUP(N29,'菠萝山二标（标段四）'!A$7:M$73,5)</f>
        <v>4031301</v>
      </c>
      <c r="G29" s="1601" t="s">
        <v>5008</v>
      </c>
      <c r="H29" s="1602">
        <f t="shared" si="1"/>
        <v>0.91186194233573714</v>
      </c>
      <c r="I29" s="1601">
        <f>VLOOKUP(N29,'菠萝山二标（标段四）'!A$7:M$73,11,TRUE)</f>
        <v>355311.04000000033</v>
      </c>
      <c r="J29" s="1601">
        <f>VLOOKUP(N29,'菠萝山二标（标段四）'!A$7:M$100,10,TRUE)</f>
        <v>3675989.96</v>
      </c>
      <c r="K29" s="1601">
        <f>VLOOKUP(N29,'菠萝山二标（标段四）'!A$7:M$100,8,TRUE)</f>
        <v>0</v>
      </c>
      <c r="L29" s="1601">
        <v>2017.1</v>
      </c>
      <c r="M29" s="1603"/>
      <c r="N29" s="1597">
        <v>43000</v>
      </c>
    </row>
    <row r="30" spans="1:14" ht="57">
      <c r="A30" s="1595" t="str">
        <f>污水处理系统管网!B$2</f>
        <v>广州市琨裕投资管理有限公司</v>
      </c>
      <c r="B30" s="1595" t="s">
        <v>5009</v>
      </c>
      <c r="C30" s="1595" t="s">
        <v>5010</v>
      </c>
      <c r="D30" s="1595" t="str">
        <f>污水处理系统管网!I$1</f>
        <v xml:space="preserve"> C15：225  C20：235 C25：245  C30：255 C35：270  C40：285  C45：305 C50：330 C55：360 C60：395 润泵砂浆 420元/m3从2016年12月12日上调30元；C30 285 2016.12.15上调50元；C30 335</v>
      </c>
      <c r="E30" s="1595">
        <f>VLOOKUP(N30,污水处理系统管网!A$7:M$73,4)</f>
        <v>875.5</v>
      </c>
      <c r="F30" s="1595">
        <f>VLOOKUP(N30,污水处理系统管网!A$7:M$73,5)</f>
        <v>230300</v>
      </c>
      <c r="G30" s="1595" t="s">
        <v>4957</v>
      </c>
      <c r="H30" s="1596">
        <f t="shared" si="1"/>
        <v>0.89096830221450285</v>
      </c>
      <c r="I30" s="1595">
        <f>VLOOKUP(N30,污水处理系统管网!A$7:M$73,11,TRUE)</f>
        <v>25110</v>
      </c>
      <c r="J30" s="1595">
        <f>VLOOKUP(N30,污水处理系统管网!A$7:M$100,10,TRUE)</f>
        <v>205190</v>
      </c>
      <c r="K30" s="1595">
        <f>VLOOKUP(N30,污水处理系统管网!A$7:M$100,8,TRUE)</f>
        <v>0</v>
      </c>
      <c r="L30" s="1595">
        <v>2017.1</v>
      </c>
      <c r="M30" s="1594"/>
      <c r="N30" s="1597">
        <v>43000</v>
      </c>
    </row>
    <row r="31" spans="1:14" ht="28.5">
      <c r="A31" s="1595" t="str">
        <f>黄埔八标!B$2</f>
        <v>中国中铁一局集团有限公司</v>
      </c>
      <c r="B31" s="1595" t="s">
        <v>38</v>
      </c>
      <c r="C31" s="1595" t="s">
        <v>5011</v>
      </c>
      <c r="D31" s="1595" t="str">
        <f>黄埔八标!I$1</f>
        <v>C15 225 C20 235 C25 245 C30 255 C35 265 C40 275C45 295 C55 345 C60 380</v>
      </c>
      <c r="E31" s="1595">
        <f>VLOOKUP(N31,黄埔八标!A$7:M$73,4)</f>
        <v>5580</v>
      </c>
      <c r="F31" s="1595">
        <f>VLOOKUP(N31,黄埔八标!A$7:M$73,5)</f>
        <v>1416867.5</v>
      </c>
      <c r="G31" s="1595" t="s">
        <v>5012</v>
      </c>
      <c r="H31" s="1596">
        <f t="shared" si="1"/>
        <v>1</v>
      </c>
      <c r="I31" s="1595">
        <f>VLOOKUP(N31,黄埔八标!A$7:M$73,11,TRUE)</f>
        <v>0</v>
      </c>
      <c r="J31" s="1595">
        <f>VLOOKUP(N31,黄埔八标!A$7:M$100,10,TRUE)</f>
        <v>1416867.5</v>
      </c>
      <c r="K31" s="1595">
        <f>VLOOKUP(N31,黄埔八标!A$7:M$100,8,TRUE)</f>
        <v>0</v>
      </c>
      <c r="L31" s="1595">
        <v>2016.1</v>
      </c>
      <c r="M31" s="1594"/>
      <c r="N31" s="1597">
        <v>43000</v>
      </c>
    </row>
    <row r="32" spans="1:14" ht="85.5">
      <c r="A32" s="1595" t="str">
        <f>奥园国际中心!B$2</f>
        <v>天祥建设集团有限公司</v>
      </c>
      <c r="B32" s="1595" t="s">
        <v>39</v>
      </c>
      <c r="C32" s="1595" t="s">
        <v>4992</v>
      </c>
      <c r="D32" s="1595" t="str">
        <f>奥园国际中心!I$1</f>
        <v>C15：235  C20：245  C25：255  C30：265 C35：280  C40：295  C45：315 C50：335 C55：355  C60：375 C65：430 C70：475 C75：505 C80：555 砂浆318 从2016.7.15起上调10元 C30 275 砂浆 328 从2016年12月12日上调25元；C30 300；从2016年12月15日上调25元；C30 325 从2017年3.1下调20元；C30 305; 从2017.3.10起下调10元；C30 295</v>
      </c>
      <c r="E32" s="1595">
        <f>VLOOKUP(N32,奥园国际中心!A$7:M$73,4)</f>
        <v>61587.22</v>
      </c>
      <c r="F32" s="1595">
        <f>VLOOKUP(N32,奥园国际中心!A$7:M$73,5)</f>
        <v>20197512.899999999</v>
      </c>
      <c r="G32" s="1595" t="s">
        <v>5013</v>
      </c>
      <c r="H32" s="1596">
        <f t="shared" si="1"/>
        <v>0.93325294473986653</v>
      </c>
      <c r="I32" s="1595">
        <f>VLOOKUP(N32,奥园国际中心!A$7:M$73,11,TRUE)</f>
        <v>1053827.6000000008</v>
      </c>
      <c r="J32" s="1595">
        <f>VLOOKUP(N32,奥园国际中心!A$7:M$100,10,TRUE)</f>
        <v>14734548.32</v>
      </c>
      <c r="K32" s="1595">
        <f>VLOOKUP(N32,奥园国际中心!A$7:M$100,8,TRUE)</f>
        <v>143255.20000000001</v>
      </c>
      <c r="L32" s="1595">
        <v>2017.1</v>
      </c>
      <c r="M32" s="1594"/>
      <c r="N32" s="1597">
        <v>43000</v>
      </c>
    </row>
    <row r="33" spans="1:14" ht="71.25">
      <c r="A33" s="1595" t="str">
        <f>钟落潭校区!B$2</f>
        <v>深圳市龙坚建筑工程有限公司</v>
      </c>
      <c r="B33" s="1595" t="s">
        <v>40</v>
      </c>
      <c r="C33" s="1595" t="s">
        <v>5014</v>
      </c>
      <c r="D33" s="1595" t="str">
        <f>钟落潭校区!I$1</f>
        <v>C15：215  C20：225  C25：235  C30：245 C35：260  C40：275  C45：295 C50：320 C55：350  C60：385  砂浆420 从2016年6月1日起上调10元/方；C30 255；从2016年8月10日起上调10元/方；C30 265; 从2016年10月20日上调10元 C30 275(协议未回）</v>
      </c>
      <c r="E33" s="1595">
        <f>VLOOKUP(N33,钟落潭校区!A$7:M$73,4)</f>
        <v>8594</v>
      </c>
      <c r="F33" s="1595">
        <f>VLOOKUP(N33,钟落潭校区!A$7:M$73,5)</f>
        <v>2251785</v>
      </c>
      <c r="G33" s="1595" t="s">
        <v>5012</v>
      </c>
      <c r="H33" s="1596">
        <f t="shared" si="1"/>
        <v>0.81257313642288231</v>
      </c>
      <c r="I33" s="1595">
        <f>VLOOKUP(N33,钟落潭校区!A$7:M$73,11,TRUE)</f>
        <v>422045</v>
      </c>
      <c r="J33" s="1595">
        <f>VLOOKUP(N33,钟落潭校区!A$7:M$100,10,TRUE)</f>
        <v>1829740</v>
      </c>
      <c r="K33" s="1595">
        <f>VLOOKUP(N33,钟落潭校区!A$7:M$100,8,TRUE)</f>
        <v>0</v>
      </c>
      <c r="L33" s="1595">
        <v>2017.1</v>
      </c>
      <c r="M33" s="1594"/>
      <c r="N33" s="1597">
        <v>43000</v>
      </c>
    </row>
    <row r="34" spans="1:14" ht="57">
      <c r="A34" s="1595" t="str">
        <f>'石井-环西'!B$2</f>
        <v>广东华隧建设股份有限公司</v>
      </c>
      <c r="B34" s="1595" t="s">
        <v>42</v>
      </c>
      <c r="C34" s="1595" t="s">
        <v>5015</v>
      </c>
      <c r="D34" s="1595" t="str">
        <f>'石井-环西'!I$1</f>
        <v>C15 235 C20 245 C25 255 C30 265 C35 280 C40 295 C45 315 C50 340 C55 370 C60 405 砂浆 420 从2016年12月12日上调40元；C30 305元；从2016年12月15日上调20元；C30 325元</v>
      </c>
      <c r="E34" s="1595">
        <f>VLOOKUP(N34,'石井-环西'!A$7:M$73,4)</f>
        <v>2608.5</v>
      </c>
      <c r="F34" s="1595">
        <f>VLOOKUP(N34,'石井-环西'!A$7:M$73,5)</f>
        <v>1045427.5</v>
      </c>
      <c r="G34" s="1595" t="s">
        <v>4987</v>
      </c>
      <c r="H34" s="1596">
        <f t="shared" si="1"/>
        <v>1.0695256769472887</v>
      </c>
      <c r="I34" s="1595">
        <f>VLOOKUP(N34,'石井-环西'!A$7:M$73,11,TRUE)</f>
        <v>-71791.095000000001</v>
      </c>
      <c r="J34" s="1595">
        <f>VLOOKUP(N34,'石井-环西'!A$7:M$100,10,TRUE)</f>
        <v>1104375</v>
      </c>
      <c r="K34" s="1595">
        <f>VLOOKUP(N34,'石井-环西'!A$7:M$100,8,TRUE)</f>
        <v>13738.9</v>
      </c>
      <c r="L34" s="1595">
        <v>2016.12</v>
      </c>
      <c r="M34" s="1594"/>
      <c r="N34" s="1597">
        <v>43000</v>
      </c>
    </row>
    <row r="35" spans="1:14" ht="71.25">
      <c r="A35" s="1595" t="str">
        <f>云产业园!B$2</f>
        <v>四川航天建筑工程有限公司</v>
      </c>
      <c r="B35" s="1605" t="s">
        <v>43</v>
      </c>
      <c r="C35" s="1595" t="s">
        <v>5016</v>
      </c>
      <c r="D35" s="1595" t="str">
        <f>云产业园!I$1</f>
        <v>C10 230.62 C15 236.61 C20 245.6 C25 252.34 C30 259.08 C35 268.81 C40 279.29 C45 289.78 C50 299.51 C55 314.49 C60 329.46 C65 379.46 C70 429.46 润管砂浆 320从2016年12月13日至2016年10月25日起上调40元；C30 299.08</v>
      </c>
      <c r="E35" s="1595">
        <f>VLOOKUP(N35,云产业园!A$7:M$73,4)</f>
        <v>25797</v>
      </c>
      <c r="F35" s="1595">
        <f>VLOOKUP(N35,云产业园!A$7:M$73,5)</f>
        <v>7977612.9699999988</v>
      </c>
      <c r="G35" s="1595" t="s">
        <v>5017</v>
      </c>
      <c r="H35" s="1596">
        <f t="shared" si="1"/>
        <v>0.99580716186204532</v>
      </c>
      <c r="I35" s="1595">
        <f>VLOOKUP(N35,云产业园!A$7:M$73,11,TRUE)</f>
        <v>33333.023000000103</v>
      </c>
      <c r="J35" s="1595">
        <f>VLOOKUP(N35,云产业园!A$7:M$100,10,TRUE)</f>
        <v>7916657.3899999987</v>
      </c>
      <c r="K35" s="1595">
        <f>VLOOKUP(N35,云产业园!A$7:M$100,8,TRUE)</f>
        <v>31620.930499999999</v>
      </c>
      <c r="L35" s="1595">
        <v>2017.1</v>
      </c>
      <c r="M35" s="1594"/>
      <c r="N35" s="1597">
        <v>43000</v>
      </c>
    </row>
    <row r="36" spans="1:14">
      <c r="A36" s="1595"/>
      <c r="B36" s="1595"/>
      <c r="C36" s="1595"/>
      <c r="D36" s="1595"/>
      <c r="E36" s="1595"/>
      <c r="F36" s="1595"/>
      <c r="G36" s="1595"/>
      <c r="H36" s="1595"/>
      <c r="I36" s="1595"/>
      <c r="J36" s="1595"/>
      <c r="K36" s="1595"/>
      <c r="L36" s="1595"/>
      <c r="M36" s="1595"/>
      <c r="N36" s="1595"/>
    </row>
    <row r="37" spans="1:14">
      <c r="A37" s="1632" t="s">
        <v>5018</v>
      </c>
      <c r="B37" s="1632"/>
      <c r="C37" s="1632"/>
      <c r="D37" s="1632"/>
      <c r="E37" s="1632"/>
      <c r="F37" s="1632"/>
      <c r="G37" s="1632"/>
      <c r="H37" s="1632"/>
      <c r="I37" s="1632"/>
      <c r="J37" s="1632"/>
      <c r="K37" s="1632"/>
      <c r="L37" s="1632"/>
      <c r="M37" s="1632"/>
      <c r="N37" s="1632"/>
    </row>
    <row r="38" spans="1:14" ht="28.5">
      <c r="A38" s="1595" t="s">
        <v>240</v>
      </c>
      <c r="B38" s="1595" t="s">
        <v>4960</v>
      </c>
      <c r="C38" s="1595" t="s">
        <v>4961</v>
      </c>
      <c r="D38" s="1595" t="s">
        <v>4962</v>
      </c>
      <c r="E38" s="1595" t="s">
        <v>4963</v>
      </c>
      <c r="F38" s="1595" t="s">
        <v>4964</v>
      </c>
      <c r="G38" s="1595" t="s">
        <v>4965</v>
      </c>
      <c r="H38" s="1596" t="s">
        <v>4966</v>
      </c>
      <c r="I38" s="1595" t="s">
        <v>4967</v>
      </c>
      <c r="J38" s="1595" t="s">
        <v>4968</v>
      </c>
      <c r="K38" s="1595" t="s">
        <v>4969</v>
      </c>
      <c r="L38" s="1595" t="s">
        <v>4970</v>
      </c>
      <c r="M38" s="1594" t="s">
        <v>278</v>
      </c>
      <c r="N38" s="1597" t="s">
        <v>4755</v>
      </c>
    </row>
    <row r="39" spans="1:14" ht="42.75">
      <c r="A39" s="1595" t="str">
        <f>东沙大道!B$2</f>
        <v>广东西南建设工程有限公司</v>
      </c>
      <c r="B39" s="1595" t="s">
        <v>45</v>
      </c>
      <c r="C39" s="1595" t="s">
        <v>5019</v>
      </c>
      <c r="D39" s="1595" t="str">
        <f>东沙大道!J$1</f>
        <v>C15：215   C20：225  C25：235   C30：245   C35：255  C40：270   C45：285   C50：305，2012年10月10日上调10元，C30：255元</v>
      </c>
      <c r="E39" s="1595">
        <f>VLOOKUP(N39,东沙大道!A$7:M$73,4)</f>
        <v>10356.5</v>
      </c>
      <c r="F39" s="1595">
        <f>VLOOKUP(N39,东沙大道!A$7:M$73,5)</f>
        <v>2844782.5</v>
      </c>
      <c r="G39" s="1595" t="s">
        <v>4957</v>
      </c>
      <c r="H39" s="1596">
        <f t="shared" ref="H39:H65" si="2">J39/(I39+J39)</f>
        <v>0.72426011478909191</v>
      </c>
      <c r="I39" s="1595">
        <f>VLOOKUP(N39,东沙大道!A$7:M$73,11,TRUE)</f>
        <v>784420</v>
      </c>
      <c r="J39" s="1595">
        <f>VLOOKUP(N39,东沙大道!A$7:M$100,10,TRUE)</f>
        <v>2060362.5</v>
      </c>
      <c r="K39" s="1595">
        <f>VLOOKUP(N39,东沙大道!A$7:M$100,8,TRUE)</f>
        <v>0</v>
      </c>
      <c r="L39" s="1595">
        <v>2014.1</v>
      </c>
      <c r="M39" s="1594" t="s">
        <v>5020</v>
      </c>
      <c r="N39" s="1597">
        <v>43000</v>
      </c>
    </row>
    <row r="40" spans="1:14" ht="71.25">
      <c r="A40" s="1595" t="str">
        <f>下西关涌!B$2</f>
        <v>广东省水利水电第三工程局</v>
      </c>
      <c r="B40" s="1595" t="s">
        <v>46</v>
      </c>
      <c r="C40" s="1595" t="s">
        <v>5021</v>
      </c>
      <c r="D40" s="1595" t="str">
        <f>下西关涌!I$1</f>
        <v>C15：287，C20：297，C25：307， C30：317，C35：332，C40：347，C45:362 C50:382 C55:402 C60:432从2015年9月1日付20元/方 C30 297；从2015年11月1日起下调27元/方；C30 270; 从2016年11月1日起上调5元 C30 275；从2016年12月15日起上调40元；C30 315</v>
      </c>
      <c r="E40" s="1595">
        <f>VLOOKUP(N40,下西关涌!A$7:M$73,4)</f>
        <v>5077</v>
      </c>
      <c r="F40" s="1595">
        <f>VLOOKUP(N40,下西关涌!A$7:M$73,5)</f>
        <v>1555664</v>
      </c>
      <c r="G40" s="1595" t="s">
        <v>5012</v>
      </c>
      <c r="H40" s="1596">
        <f t="shared" si="2"/>
        <v>0.98189653693535339</v>
      </c>
      <c r="I40" s="1595">
        <f>VLOOKUP(N40,下西关涌!A$7:M$73,11,TRUE)</f>
        <v>27437.5</v>
      </c>
      <c r="J40" s="1595">
        <f>VLOOKUP(N40,下西关涌!A$7:M$100,10,TRUE)</f>
        <v>1488156.5</v>
      </c>
      <c r="K40" s="1595">
        <f>VLOOKUP(N40,下西关涌!A$7:M$100,8,TRUE)</f>
        <v>5600</v>
      </c>
      <c r="L40" s="1595">
        <v>2016.2</v>
      </c>
      <c r="M40" s="1594" t="s">
        <v>5022</v>
      </c>
      <c r="N40" s="1597">
        <v>43000</v>
      </c>
    </row>
    <row r="41" spans="1:14" ht="57">
      <c r="A41" s="1595" t="str">
        <f>'电白 艺术博物馆'!B$2</f>
        <v>广东电白二建工程有限公司</v>
      </c>
      <c r="B41" s="1595" t="s">
        <v>5023</v>
      </c>
      <c r="C41" s="1595" t="s">
        <v>5024</v>
      </c>
      <c r="D41" s="1595" t="str">
        <f>'电白 艺术博物馆'!I$1</f>
        <v xml:space="preserve">C15：282，C20：292，C25：302， C30：312，C35：327，C40：342，C45：357，C50：377，C55：397，C60：427 从2015年9月1日起下调20元/方 C30 292; 从2015年起下调22元/方 C30 270; </v>
      </c>
      <c r="E41" s="1595">
        <f>VLOOKUP(N41,'电白 艺术博物馆'!A$7:M$73,4)</f>
        <v>28195.5</v>
      </c>
      <c r="F41" s="1595">
        <f>VLOOKUP(N41,'电白 艺术博物馆'!A$7:M$73,5)</f>
        <v>9223919.5</v>
      </c>
      <c r="G41" s="1595" t="s">
        <v>5012</v>
      </c>
      <c r="H41" s="1596">
        <f t="shared" si="2"/>
        <v>1</v>
      </c>
      <c r="I41" s="1595">
        <f>VLOOKUP(N41,'电白 艺术博物馆'!A$7:M$73,11,TRUE)</f>
        <v>0</v>
      </c>
      <c r="J41" s="1595">
        <f>VLOOKUP(N41,'电白 艺术博物馆'!A$7:M$100,10,TRUE)</f>
        <v>9223919.5</v>
      </c>
      <c r="K41" s="1595">
        <f>VLOOKUP(N41,'电白 艺术博物馆'!A$7:M$100,8,TRUE)</f>
        <v>0</v>
      </c>
      <c r="L41" s="1595">
        <v>2017.4</v>
      </c>
      <c r="M41" s="1594" t="s">
        <v>1524</v>
      </c>
      <c r="N41" s="1597">
        <v>43000</v>
      </c>
    </row>
    <row r="42" spans="1:14" ht="28.5">
      <c r="A42" s="1595" t="str">
        <f>红棉一标、六标大道!B$2</f>
        <v>广东省基础工程集团有限公司</v>
      </c>
      <c r="B42" s="1595" t="s">
        <v>5025</v>
      </c>
      <c r="C42" s="1595" t="s">
        <v>5026</v>
      </c>
      <c r="D42" s="1595" t="str">
        <f>红棉一标、六标大道!I$1</f>
        <v>临供C30：305</v>
      </c>
      <c r="E42" s="1595">
        <f>VLOOKUP(N42,红棉一标、六标大道!A$7:M$73,4)</f>
        <v>30</v>
      </c>
      <c r="F42" s="1595">
        <f>VLOOKUP(N42,红棉一标、六标大道!A$7:M$73,5)</f>
        <v>8670</v>
      </c>
      <c r="G42" s="1595" t="s">
        <v>1816</v>
      </c>
      <c r="H42" s="1596" t="e">
        <f t="shared" si="2"/>
        <v>#DIV/0!</v>
      </c>
      <c r="I42" s="1595">
        <f>VLOOKUP(N42,红棉一标、六标大道!A$7:M$73,11,TRUE)</f>
        <v>0</v>
      </c>
      <c r="J42" s="1595">
        <f>VLOOKUP(N42,红棉一标、六标大道!A$7:M$100,10,TRUE)</f>
        <v>0</v>
      </c>
      <c r="K42" s="1595">
        <f>VLOOKUP(N42,红棉一标、六标大道!A$7:M$100,8,TRUE)</f>
        <v>0</v>
      </c>
      <c r="L42" s="1595">
        <v>2016.5</v>
      </c>
      <c r="M42" s="1594"/>
      <c r="N42" s="1597">
        <v>43000</v>
      </c>
    </row>
    <row r="43" spans="1:14" ht="71.25">
      <c r="A43" s="1595" t="str">
        <f>沥滘马涌!B$2</f>
        <v>广东盈隆建设有限公司</v>
      </c>
      <c r="B43" s="1595" t="s">
        <v>47</v>
      </c>
      <c r="C43" s="1595" t="s">
        <v>5027</v>
      </c>
      <c r="D43" s="1595" t="str">
        <f>沥滘马涌!I$1</f>
        <v>C15：260，C20：270，C25：280， C30：290，C35：305，C40：320，C45：340 砂浆420 从2015年11月1日起单价下调20元/方；C30 270；从2016年12月10日上调30元/方；C30 300； 从2016年12月15日上调20元/方；C30 320；从2017年3月1日起; C30 285</v>
      </c>
      <c r="E43" s="1595">
        <f>VLOOKUP(N43,沥滘马涌!A$7:M$73,4)</f>
        <v>2908</v>
      </c>
      <c r="F43" s="1595">
        <f>VLOOKUP(N43,沥滘马涌!A$7:M$73,5)</f>
        <v>862822.5</v>
      </c>
      <c r="G43" s="1595" t="s">
        <v>4957</v>
      </c>
      <c r="H43" s="1596">
        <f t="shared" si="2"/>
        <v>0.91817816687427967</v>
      </c>
      <c r="I43" s="1595">
        <f>VLOOKUP(N43,沥滘马涌!A$7:M$73,11,TRUE)</f>
        <v>70282.5</v>
      </c>
      <c r="J43" s="1595">
        <f>VLOOKUP(N43,沥滘马涌!A$7:M$100,10,TRUE)</f>
        <v>788687.5</v>
      </c>
      <c r="K43" s="1595">
        <f>VLOOKUP(N43,沥滘马涌!A$7:M$100,8,TRUE)</f>
        <v>5025</v>
      </c>
      <c r="L43" s="1595">
        <v>2017.3</v>
      </c>
      <c r="M43" s="1594" t="s">
        <v>1553</v>
      </c>
      <c r="N43" s="1597">
        <v>43000</v>
      </c>
    </row>
    <row r="44" spans="1:14" ht="28.5">
      <c r="A44" s="1595" t="str">
        <f>黄埔东延线七标!B$3</f>
        <v>上海市基础工程集团有限公司深圳分公司</v>
      </c>
      <c r="B44" s="1595" t="s">
        <v>5028</v>
      </c>
      <c r="C44" s="1595" t="s">
        <v>5029</v>
      </c>
      <c r="D44" s="1595" t="str">
        <f>黄埔东延线七标!I$1</f>
        <v xml:space="preserve">C15：252 C20：262 C25：271 C30;279 C35：292 C40：304 C45：318 C50：331 C55：349 C60：362 </v>
      </c>
      <c r="E44" s="1595">
        <f>VLOOKUP(N44,黄埔东延线七标!A$7:M$73,4)</f>
        <v>4062.5</v>
      </c>
      <c r="F44" s="1595">
        <f>VLOOKUP(N44,黄埔东延线七标!A$7:M$73,5)</f>
        <v>1122763.92</v>
      </c>
      <c r="G44" s="1595" t="s">
        <v>5012</v>
      </c>
      <c r="H44" s="1596">
        <f t="shared" si="2"/>
        <v>0.85503281936598041</v>
      </c>
      <c r="I44" s="1595">
        <f>VLOOKUP(N44,黄埔东延线七标!A$7:M$73,11,TRUE)</f>
        <v>162763.91999999998</v>
      </c>
      <c r="J44" s="1595">
        <f>VLOOKUP(N44,黄埔东延线七标!A$7:M$100,10,TRUE)</f>
        <v>960000</v>
      </c>
      <c r="K44" s="1595">
        <f>VLOOKUP(N44,黄埔东延线七标!A$7:M$100,8,TRUE)</f>
        <v>0</v>
      </c>
      <c r="L44" s="1595">
        <v>2017.1</v>
      </c>
      <c r="M44" s="1594"/>
      <c r="N44" s="1597">
        <v>43000</v>
      </c>
    </row>
    <row r="45" spans="1:14" ht="85.5">
      <c r="A45" s="1595" t="str">
        <f>'菠萝山三标（南区）'!B$2</f>
        <v>广州市房屋开发建设有限公司</v>
      </c>
      <c r="B45" s="1595" t="s">
        <v>49</v>
      </c>
      <c r="C45" s="1595" t="s">
        <v>5007</v>
      </c>
      <c r="D45" s="1595" t="str">
        <f>'菠萝山三标（南区）'!I$1</f>
        <v xml:space="preserve">C10 255  C15：265 C20：275 C25：285 C30：295 C35：305 C40：325 C45：350 C50：375  从2015年11月1日起 C30 288 ;从2016年12月10日起C30 50元 C30 338 </v>
      </c>
      <c r="E45" s="1595">
        <f>VLOOKUP(N45,'菠萝山三标（南区）'!A$7:M$73,4)</f>
        <v>24159</v>
      </c>
      <c r="F45" s="1595">
        <f>VLOOKUP(N45,'菠萝山三标（南区）'!A$7:M$73,5)</f>
        <v>7347862</v>
      </c>
      <c r="G45" s="1595" t="s">
        <v>5030</v>
      </c>
      <c r="H45" s="1596">
        <f t="shared" si="2"/>
        <v>0.95148950810453425</v>
      </c>
      <c r="I45" s="1595">
        <f>VLOOKUP(N45,'菠萝山三标（南区）'!A$7:M$73,11,TRUE)</f>
        <v>356448.40000000049</v>
      </c>
      <c r="J45" s="1595">
        <f>VLOOKUP(N45,'菠萝山三标（南区）'!A$7:M$100,10,TRUE)</f>
        <v>6991413.5999999996</v>
      </c>
      <c r="K45" s="1595">
        <f>VLOOKUP(N45,'菠萝山三标（南区）'!A$7:M$100,8,TRUE)</f>
        <v>0</v>
      </c>
      <c r="L45" s="1595">
        <v>2017.1</v>
      </c>
      <c r="M45" s="1594"/>
      <c r="N45" s="1597">
        <v>43000</v>
      </c>
    </row>
    <row r="46" spans="1:14" ht="57">
      <c r="A46" s="1595" t="str">
        <f>龙苑城!B$2</f>
        <v>鑫泰建设集团有限公司</v>
      </c>
      <c r="B46" s="1595" t="s">
        <v>51</v>
      </c>
      <c r="C46" s="1595" t="s">
        <v>5031</v>
      </c>
      <c r="D46" s="1595" t="str">
        <f>龙苑城!I$1</f>
        <v>C15 214 C20 224 C25 234 C30 244 C35 259 C40 274 C45 294 C50 319 C55 349 C60 384 砂浆 417 从2016年7月26日上调12元；C30 256 ；从2016年12月12日上调50元；C30 306 砂浆 429</v>
      </c>
      <c r="E46" s="1595">
        <f>VLOOKUP(N46,龙苑城!A$7:M$73,4)</f>
        <v>17126</v>
      </c>
      <c r="F46" s="1595">
        <f>VLOOKUP(N46,龙苑城!A$7:M$73,5)</f>
        <v>4538538</v>
      </c>
      <c r="G46" s="1595" t="s">
        <v>4957</v>
      </c>
      <c r="H46" s="1596">
        <f t="shared" si="2"/>
        <v>0.93642490158725122</v>
      </c>
      <c r="I46" s="1595">
        <f>VLOOKUP(N46,龙苑城!A$7:M$73,11,TRUE)</f>
        <v>288538</v>
      </c>
      <c r="J46" s="1595">
        <f>VLOOKUP(N46,龙苑城!A$7:M$100,10,TRUE)</f>
        <v>4250000</v>
      </c>
      <c r="K46" s="1595">
        <f>VLOOKUP(N46,龙苑城!A$7:M$100,8,TRUE)</f>
        <v>0</v>
      </c>
      <c r="L46" s="1595">
        <v>2017.1</v>
      </c>
      <c r="M46" s="1594"/>
      <c r="N46" s="1597">
        <v>43000</v>
      </c>
    </row>
    <row r="47" spans="1:14" ht="71.25">
      <c r="A47" s="1595" t="str">
        <f>新华污水!B$3</f>
        <v>广东华隧建设股份有限公司</v>
      </c>
      <c r="B47" s="1595" t="s">
        <v>53</v>
      </c>
      <c r="C47" s="1595" t="s">
        <v>5032</v>
      </c>
      <c r="D47" s="1595" t="str">
        <f>新华污水!I$1</f>
        <v>C15 225 C20 235 C25 245 C30 255 C35 270 C40 285  C45 305 C50 325 砂浆300 从2016年12月15日至2017年1月31日 C30 300 从2017年2月1日起至2017年3月31日C30 290元；从2016.4.1起再协商。从2016年7月1日至9月30日止C30 290元结算；</v>
      </c>
      <c r="E47" s="1595">
        <f>VLOOKUP(N47,新华污水!A$7:M$73,4)</f>
        <v>48537</v>
      </c>
      <c r="F47" s="1595">
        <f>VLOOKUP(N47,新华污水!A$7:M$73,5)</f>
        <v>13296715</v>
      </c>
      <c r="G47" s="1595" t="s">
        <v>5033</v>
      </c>
      <c r="H47" s="1596">
        <f t="shared" si="2"/>
        <v>0.90989875490846206</v>
      </c>
      <c r="I47" s="1595">
        <f>VLOOKUP(N47,新华污水!A$7:M$73,11,TRUE)</f>
        <v>939430</v>
      </c>
      <c r="J47" s="1595">
        <f>VLOOKUP(N47,新华污水!A$7:M$100,10,TRUE)</f>
        <v>9486952</v>
      </c>
      <c r="K47" s="1595">
        <f>VLOOKUP(N47,新华污水!A$7:M$100,8,TRUE)</f>
        <v>241164</v>
      </c>
      <c r="L47" s="1595">
        <v>2017.3</v>
      </c>
      <c r="M47" s="1594" t="s">
        <v>1673</v>
      </c>
      <c r="N47" s="1597">
        <v>43000</v>
      </c>
    </row>
    <row r="48" spans="1:14" ht="85.5">
      <c r="A48" s="1595" t="str">
        <f>第八医院!B$2</f>
        <v>广东恒达建设工程有限公司</v>
      </c>
      <c r="B48" s="1595" t="s">
        <v>54</v>
      </c>
      <c r="C48" s="1595" t="s">
        <v>5034</v>
      </c>
      <c r="D48" s="1595" t="str">
        <f>第八医院!I$1</f>
        <v>C15 210 C20 220 C25 230 C30 240 C35 255 C40 270  C45 290 C50 315 C55 345 C60 380 砂浆：按同批次混凝土 2016年12月15日至2016年12月31日起上调40元 C30 280元从2017年1月1日至30日上调40元；C30 280 从2017年2月1日起至3月31日上调40元；C30 280；从2017年4月1日至5月31日按C30 270 结算；从2016年6月1日至8月31日止C30 270元结算；</v>
      </c>
      <c r="E48" s="1595">
        <f>VLOOKUP(N48,第八医院!A$7:M$73,4)</f>
        <v>17705</v>
      </c>
      <c r="F48" s="1595">
        <f>VLOOKUP(N48,第八医院!A$7:M$73,5)</f>
        <v>4779910.2</v>
      </c>
      <c r="G48" s="1595" t="s">
        <v>5012</v>
      </c>
      <c r="H48" s="1596">
        <f t="shared" si="2"/>
        <v>0.97033969737116854</v>
      </c>
      <c r="I48" s="1595">
        <f>VLOOKUP(N48,第八医院!A$7:M$73,11,TRUE)</f>
        <v>134455.19999999995</v>
      </c>
      <c r="J48" s="1595">
        <f>VLOOKUP(N48,第八医院!A$7:M$100,10,TRUE)</f>
        <v>4398715</v>
      </c>
      <c r="K48" s="1595">
        <f>VLOOKUP(N48,第八医院!A$7:M$100,8,TRUE)</f>
        <v>133985.70000000001</v>
      </c>
      <c r="L48" s="1595">
        <v>2017.3</v>
      </c>
      <c r="M48" s="1594" t="s">
        <v>1695</v>
      </c>
      <c r="N48" s="1597">
        <v>43000</v>
      </c>
    </row>
    <row r="49" spans="1:14" ht="57">
      <c r="A49" s="1595" t="str">
        <f>动物园工程!B$2</f>
        <v>广州市恒盛建设工程有限公司</v>
      </c>
      <c r="B49" s="1595" t="s">
        <v>55</v>
      </c>
      <c r="C49" s="1595" t="s">
        <v>4982</v>
      </c>
      <c r="D49" s="1595" t="str">
        <f>动物园工程!I$1</f>
        <v>C15 215 C20 225 C25 235 C30 245 C35 260 C40 275 C45 295 C50 320 C55 350 C60 385 砂浆 按同次混凝土 从2016年7月25日起上调10元；C30 255 从2016年12月10日起上调30元/方；C30 285</v>
      </c>
      <c r="E49" s="1595">
        <f>VLOOKUP(N49,动物园工程!A$7:M$73,4)</f>
        <v>9864.5</v>
      </c>
      <c r="F49" s="1595">
        <f>VLOOKUP(N49,动物园工程!A$7:M$73,5)</f>
        <v>2420010</v>
      </c>
      <c r="G49" s="1595" t="s">
        <v>5035</v>
      </c>
      <c r="H49" s="1596">
        <f t="shared" si="2"/>
        <v>1.0371364010872746</v>
      </c>
      <c r="I49" s="1595">
        <v>-86652.5</v>
      </c>
      <c r="J49" s="1595">
        <f>VLOOKUP(N49,动物园工程!A$7:M$100,10,TRUE)</f>
        <v>2420010</v>
      </c>
      <c r="K49" s="1595">
        <f>VLOOKUP(N49,动物园工程!A$7:M$100,8,TRUE)</f>
        <v>0</v>
      </c>
      <c r="L49" s="1595">
        <v>2017.4</v>
      </c>
      <c r="M49" s="1594"/>
      <c r="N49" s="1597">
        <v>43000</v>
      </c>
    </row>
    <row r="50" spans="1:14" ht="28.5">
      <c r="A50" s="1595" t="str">
        <f>上诚万科新隆沙!B$3</f>
        <v>广东上城建设有限公司</v>
      </c>
      <c r="B50" s="1595" t="s">
        <v>56</v>
      </c>
      <c r="C50" s="1595" t="s">
        <v>5034</v>
      </c>
      <c r="D50" s="1595" t="str">
        <f>上诚万科新隆沙!I$1</f>
        <v xml:space="preserve">C15 217 C20 227 C25 237 C30 247 C35 260 C40 277 C45 297 C50 317 C55 338 C60 365 润泵砂浆 360 </v>
      </c>
      <c r="E50" s="1595">
        <f>VLOOKUP(N50,上诚万科新隆沙!A$7:M$73,4)</f>
        <v>26377.5</v>
      </c>
      <c r="F50" s="1595">
        <f>VLOOKUP(N50,上诚万科新隆沙!A$7:M$73,5)</f>
        <v>7854962.6545000011</v>
      </c>
      <c r="G50" s="1595" t="s">
        <v>5036</v>
      </c>
      <c r="H50" s="1596">
        <f t="shared" si="2"/>
        <v>0.98300779487526224</v>
      </c>
      <c r="I50" s="1595">
        <f>VLOOKUP(N50,上诚万科新隆沙!A$7:M$73,11,TRUE)</f>
        <v>118110.19014999969</v>
      </c>
      <c r="J50" s="1595">
        <f>VLOOKUP(N50,上诚万科新隆沙!A$7:M$100,10,TRUE)</f>
        <v>6832735.1699999999</v>
      </c>
      <c r="K50" s="1595">
        <f>VLOOKUP(N50,上诚万科新隆沙!A$7:M$100,8,TRUE)</f>
        <v>16956.135000000002</v>
      </c>
      <c r="L50" s="1595">
        <v>2017.3</v>
      </c>
      <c r="M50" s="1594" t="s">
        <v>5037</v>
      </c>
      <c r="N50" s="1597">
        <v>43000</v>
      </c>
    </row>
    <row r="51" spans="1:14" ht="42.75">
      <c r="A51" s="1595" t="str">
        <f>南方钢厂!B$2</f>
        <v>广州市第一市政工程有限公司</v>
      </c>
      <c r="B51" s="1595" t="s">
        <v>52</v>
      </c>
      <c r="C51" s="1595" t="s">
        <v>5038</v>
      </c>
      <c r="D51" s="1595" t="str">
        <f>南方钢厂!I$1</f>
        <v xml:space="preserve">C15 230 C20 240 C25 250 C30 260 C35 275 C40 290 C45 310 C50 335 C55 365 C60 400 砂浆 按同次混凝土  从2016年12月10日起上调20元；C30 280 </v>
      </c>
      <c r="E51" s="1595">
        <f>VLOOKUP(N51,南方钢厂!A$7:M$73,4)</f>
        <v>1124.5</v>
      </c>
      <c r="F51" s="1595">
        <f>VLOOKUP(N51,南方钢厂!A$7:M$73,5)</f>
        <v>306305</v>
      </c>
      <c r="G51" s="1595" t="s">
        <v>5012</v>
      </c>
      <c r="H51" s="1596">
        <f t="shared" si="2"/>
        <v>1</v>
      </c>
      <c r="I51" s="1595">
        <f>VLOOKUP(N51,南方钢厂!A$7:M$73,11,TRUE)</f>
        <v>0</v>
      </c>
      <c r="J51" s="1595">
        <f>VLOOKUP(N51,南方钢厂!A$7:M$100,10,TRUE)</f>
        <v>235715</v>
      </c>
      <c r="K51" s="1595">
        <f>VLOOKUP(N51,南方钢厂!A$7:M$100,8,TRUE)</f>
        <v>0</v>
      </c>
      <c r="L51" s="1595">
        <v>2016.12</v>
      </c>
      <c r="M51" s="1594"/>
      <c r="N51" s="1597">
        <v>43000</v>
      </c>
    </row>
    <row r="52" spans="1:14" ht="71.25">
      <c r="A52" s="1595" t="str">
        <f>芳村高尔夫地块!B$2</f>
        <v xml:space="preserve">广东省第一建筑工程有限公司 </v>
      </c>
      <c r="B52" s="1595" t="s">
        <v>57</v>
      </c>
      <c r="C52" s="1595" t="s">
        <v>5039</v>
      </c>
      <c r="D52" s="1595" t="str">
        <f>芳村高尔夫地块!I$1</f>
        <v>C15 220 C20 230 C25 240 C30 250 C35 260 C40 275 C45 295 砂浆300 2016年12月15日至2016年12月31日上调40元；C30 290；2017年1月1日；C30 290 （以后按此固定价结算）</v>
      </c>
      <c r="E52" s="1595">
        <f>VLOOKUP(N52,芳村高尔夫地块!A$7:M$73,4)</f>
        <v>22293.5</v>
      </c>
      <c r="F52" s="1595">
        <f>VLOOKUP(N52,芳村高尔夫地块!A$7:M$73,5)</f>
        <v>5983927.5673330706</v>
      </c>
      <c r="G52" s="1595" t="s">
        <v>5012</v>
      </c>
      <c r="H52" s="1596">
        <f t="shared" si="2"/>
        <v>0.50866675202029199</v>
      </c>
      <c r="I52" s="1595">
        <f>VLOOKUP(N52,芳村高尔夫地块!A$7:M$73,11,TRUE)</f>
        <v>2940102.567333071</v>
      </c>
      <c r="J52" s="1595">
        <f>VLOOKUP(N52,芳村高尔夫地块!A$7:M$100,10,TRUE)</f>
        <v>3043825</v>
      </c>
      <c r="K52" s="1595">
        <f>VLOOKUP(N52,芳村高尔夫地块!A$7:M$100,8,TRUE)</f>
        <v>0</v>
      </c>
      <c r="L52" s="1595">
        <v>2017.3</v>
      </c>
      <c r="M52" s="1606" t="s">
        <v>5040</v>
      </c>
      <c r="N52" s="1597">
        <v>43000</v>
      </c>
    </row>
    <row r="53" spans="1:14" ht="71.25">
      <c r="A53" s="1595" t="str">
        <f>太和镇医院!B$2</f>
        <v>广州市富林建筑工程有限公司</v>
      </c>
      <c r="B53" s="1595" t="s">
        <v>50</v>
      </c>
      <c r="C53" s="1595" t="s">
        <v>5041</v>
      </c>
      <c r="D53" s="1595" t="str">
        <f>太和镇医院!I$1</f>
        <v>C15 220 C20 230 C25 240 C30 250 C35 260 C40 275 C45 295  C50 320 C55 350 C60 385 砂浆按同批次混凝土 从2016年12月15起2016年12.31日起上调40元；C30 290 从2017年1月1日至30日上调40元；C30 290；从2017年2月1日至3月30日起上调30元；C30 280</v>
      </c>
      <c r="E53" s="1595">
        <f>VLOOKUP(N53,太和镇医院!A$7:M$73,4)</f>
        <v>6898.5</v>
      </c>
      <c r="F53" s="1595">
        <f>VLOOKUP(N53,太和镇医院!A$7:M$73,5)</f>
        <v>1935681.5</v>
      </c>
      <c r="G53" s="1595" t="s">
        <v>5012</v>
      </c>
      <c r="H53" s="1596">
        <f t="shared" si="2"/>
        <v>0.99683795848102008</v>
      </c>
      <c r="I53" s="1595">
        <f>VLOOKUP(N53,太和镇医院!A$7:M$73,11,TRUE)</f>
        <v>6060.5</v>
      </c>
      <c r="J53" s="1595">
        <f>VLOOKUP(N53,太和镇医院!A$7:M$100,10,TRUE)</f>
        <v>1910581</v>
      </c>
      <c r="K53" s="1595">
        <f>VLOOKUP(N53,太和镇医院!A$7:M$100,8,TRUE)</f>
        <v>27320</v>
      </c>
      <c r="L53" s="1595">
        <v>2017.2</v>
      </c>
      <c r="M53" s="1594" t="s">
        <v>5042</v>
      </c>
      <c r="N53" s="1597">
        <v>43000</v>
      </c>
    </row>
    <row r="54" spans="1:14" ht="42.75">
      <c r="A54" s="1595" t="str">
        <f>新广从路二标!B$2</f>
        <v>广东盈隆建设有限公司</v>
      </c>
      <c r="B54" s="1595" t="s">
        <v>58</v>
      </c>
      <c r="C54" s="1595" t="s">
        <v>5043</v>
      </c>
      <c r="D54" s="1595" t="str">
        <f>新广从路二标!I$1</f>
        <v xml:space="preserve">C15 210 C20 220 C25 230 C30 240 C35 255 C40 270 C45 290 C50 315 砂浆 按同批次混凝土 从2016年7月15日上调20元 C30 260 从2016年12月10日起上调30元；C30 290 </v>
      </c>
      <c r="E54" s="1595">
        <f>VLOOKUP(N54,新广从路二标!A$7:M$73,4)</f>
        <v>327</v>
      </c>
      <c r="F54" s="1595">
        <f>VLOOKUP(N54,新广从路二标!A$7:M$73,5)</f>
        <v>84070</v>
      </c>
      <c r="G54" s="1595" t="s">
        <v>5012</v>
      </c>
      <c r="H54" s="1596">
        <f t="shared" si="2"/>
        <v>0.97011523363302521</v>
      </c>
      <c r="I54" s="1595">
        <f>VLOOKUP(N54,新广从路二标!A$7:M$73,11,TRUE)</f>
        <v>2360</v>
      </c>
      <c r="J54" s="1595">
        <f>VLOOKUP(N54,新广从路二标!A$7:M$100,10,TRUE)</f>
        <v>76610</v>
      </c>
      <c r="K54" s="1595">
        <f>VLOOKUP(N54,新广从路二标!A$7:M$100,8,TRUE)</f>
        <v>1120</v>
      </c>
      <c r="L54" s="1595">
        <v>2017.1</v>
      </c>
      <c r="M54" s="1594"/>
      <c r="N54" s="1597">
        <v>43000</v>
      </c>
    </row>
    <row r="55" spans="1:14" ht="128.25">
      <c r="A55" s="1595" t="str">
        <f>天宸原著!B$2</f>
        <v>上海东辰工程建设有限公司</v>
      </c>
      <c r="B55" s="1595" t="s">
        <v>59</v>
      </c>
      <c r="C55" s="1595" t="s">
        <v>5044</v>
      </c>
      <c r="D55" s="1595" t="str">
        <f>天宸原著!I$1</f>
        <v>C15 233  C20 242 C25 249 C30 255 C35 266 C40 275 C45 286 C50 296 C55 311 C60 326 从2016年12月15日至2016.12.31日起，C30 300；从2017年1月1日至2017年2月28日 C30 290；从2017年3月1日起 C30 255</v>
      </c>
      <c r="E55" s="1595">
        <f>VLOOKUP(N55,天宸原著!A$7:M$73,4)</f>
        <v>35631</v>
      </c>
      <c r="F55" s="1595">
        <f>VLOOKUP(N55,天宸原著!A$7:M$73,5)</f>
        <v>10347034.890000001</v>
      </c>
      <c r="G55" s="1595" t="s">
        <v>5045</v>
      </c>
      <c r="H55" s="1596">
        <f t="shared" si="2"/>
        <v>0.81643810678876361</v>
      </c>
      <c r="I55" s="1595">
        <f>VLOOKUP(N55,天宸原著!A$7:M$73,11,TRUE)</f>
        <v>1338821.3820000002</v>
      </c>
      <c r="J55" s="1595">
        <f>VLOOKUP(N55,天宸原著!A$7:M$100,10,TRUE)</f>
        <v>5954747.8799999999</v>
      </c>
      <c r="K55" s="1595">
        <f>VLOOKUP(N55,天宸原著!A$7:M$100,8,TRUE)</f>
        <v>11926.25</v>
      </c>
      <c r="L55" s="1595">
        <v>2017.1</v>
      </c>
      <c r="M55" s="1594"/>
      <c r="N55" s="1597">
        <v>43000</v>
      </c>
    </row>
    <row r="56" spans="1:14" ht="57">
      <c r="A56" s="1595" t="str">
        <f>中国人民军!B$2</f>
        <v>汕头市达濠建筑总公司</v>
      </c>
      <c r="B56" s="1595" t="s">
        <v>5046</v>
      </c>
      <c r="C56" s="1595" t="s">
        <v>5047</v>
      </c>
      <c r="D56" s="1595" t="str">
        <f>中国人民军!I$1</f>
        <v>C15 245 C20 255 C25 265 C30 275 C35 285 砂浆 320 从2016年12月12日上调40元；C30 315 从2017年3月1日起下调15元；C30 300</v>
      </c>
      <c r="E56" s="1595">
        <f>VLOOKUP(N56,中国人民军!A$7:M$73,4)</f>
        <v>2167</v>
      </c>
      <c r="F56" s="1595">
        <f>VLOOKUP(N56,中国人民军!A$7:M$73,5)</f>
        <v>641627.5</v>
      </c>
      <c r="G56" s="1595" t="s">
        <v>5048</v>
      </c>
      <c r="H56" s="1596">
        <f t="shared" si="2"/>
        <v>0.77038147389029954</v>
      </c>
      <c r="I56" s="1595">
        <f>VLOOKUP(N56,中国人民军!A$7:M$73,11,TRUE)</f>
        <v>131355</v>
      </c>
      <c r="J56" s="1595">
        <f>VLOOKUP(N56,中国人民军!A$7:M$100,10,TRUE)</f>
        <v>440702.5</v>
      </c>
      <c r="K56" s="1595">
        <f>VLOOKUP(N56,中国人民军!A$7:M$100,8,TRUE)</f>
        <v>99999</v>
      </c>
      <c r="L56" s="1595">
        <v>2017.2</v>
      </c>
      <c r="M56" s="1594"/>
      <c r="N56" s="1597">
        <v>43000</v>
      </c>
    </row>
    <row r="57" spans="1:14" ht="28.5">
      <c r="A57" s="1595" t="str">
        <f>第一中学!B$2</f>
        <v>广州工程总承包集团有限公司</v>
      </c>
      <c r="B57" s="1595" t="s">
        <v>65</v>
      </c>
      <c r="C57" s="1595">
        <v>2016.11</v>
      </c>
      <c r="D57" s="1595">
        <f>第一中学!I$1</f>
        <v>0</v>
      </c>
      <c r="E57" s="1595">
        <f>VLOOKUP(N57,第一中学!A$7:M$73,4)</f>
        <v>67</v>
      </c>
      <c r="F57" s="1595">
        <f>VLOOKUP(N57,第一中学!A$7:M$73,5)</f>
        <v>16845</v>
      </c>
      <c r="G57" s="1595" t="s">
        <v>1816</v>
      </c>
      <c r="H57" s="1596">
        <f t="shared" si="2"/>
        <v>1</v>
      </c>
      <c r="I57" s="1595">
        <f>VLOOKUP(N57,第一中学!A$7:M$73,11,TRUE)</f>
        <v>0</v>
      </c>
      <c r="J57" s="1595">
        <f>VLOOKUP(N57,第一中学!A$7:M$100,10,TRUE)</f>
        <v>16845</v>
      </c>
      <c r="K57" s="1595">
        <f>VLOOKUP(N57,第一中学!A$7:M$100,8,TRUE)</f>
        <v>16845</v>
      </c>
      <c r="L57" s="1595"/>
      <c r="M57" s="1595" t="s">
        <v>5051</v>
      </c>
      <c r="N57" s="1597">
        <v>43000</v>
      </c>
    </row>
    <row r="58" spans="1:14" ht="28.5">
      <c r="A58" s="1595" t="str">
        <f>小谷围大学城一标!B$2</f>
        <v>广东省建筑工程集团有限公司</v>
      </c>
      <c r="B58" s="1600" t="s">
        <v>61</v>
      </c>
      <c r="C58" s="1595" t="s">
        <v>5052</v>
      </c>
      <c r="D58" s="1595">
        <f>小谷围大学城一标!I$1</f>
        <v>0</v>
      </c>
      <c r="E58" s="1595">
        <f>VLOOKUP(N58,小谷围大学城一标!A$7:M$73,4)</f>
        <v>0</v>
      </c>
      <c r="F58" s="1595">
        <f>VLOOKUP(N58,小谷围大学城一标!A$7:M$73,5)</f>
        <v>0</v>
      </c>
      <c r="G58" s="1595" t="s">
        <v>1816</v>
      </c>
      <c r="H58" s="1596" t="e">
        <f t="shared" si="2"/>
        <v>#DIV/0!</v>
      </c>
      <c r="I58" s="1595">
        <f>VLOOKUP(N58,小谷围大学城一标!A$7:M$73,11,TRUE)</f>
        <v>0</v>
      </c>
      <c r="J58" s="1595">
        <f>VLOOKUP(N58,小谷围大学城一标!A$7:M$100,10,TRUE)</f>
        <v>0</v>
      </c>
      <c r="K58" s="1595">
        <f>VLOOKUP(N58,小谷围大学城一标!A$7:M$100,8,TRUE)</f>
        <v>0</v>
      </c>
      <c r="L58" s="1595"/>
      <c r="M58" s="1595" t="s">
        <v>5051</v>
      </c>
      <c r="N58" s="1597">
        <v>43000</v>
      </c>
    </row>
    <row r="59" spans="1:14" ht="28.5">
      <c r="A59" s="1595" t="str">
        <f>小谷围大学城二标!B$2</f>
        <v>广州市第三建筑工程有限公司</v>
      </c>
      <c r="B59" s="1600" t="s">
        <v>62</v>
      </c>
      <c r="C59" s="1595" t="s">
        <v>5052</v>
      </c>
      <c r="D59" s="1595" t="str">
        <f>小谷围大学城二标!I$1</f>
        <v xml:space="preserve">C15 270 C20 280 C25 290 C30 300 C35 315 C40 330 C45 350 C50 375 C55 405 C60 440 砂浆340 </v>
      </c>
      <c r="E59" s="1595">
        <f>VLOOKUP(N59,小谷围大学城二标!A$7:M$73,4)</f>
        <v>2451</v>
      </c>
      <c r="F59" s="1595">
        <f>VLOOKUP(N59,小谷围大学城二标!A$7:M$73,5)</f>
        <v>751053</v>
      </c>
      <c r="G59" s="1595" t="s">
        <v>1816</v>
      </c>
      <c r="H59" s="1596">
        <f t="shared" si="2"/>
        <v>0</v>
      </c>
      <c r="I59" s="1595">
        <f>VLOOKUP(N59,小谷围大学城二标!A$7:M$73,11,TRUE)</f>
        <v>437442</v>
      </c>
      <c r="J59" s="1595">
        <f>VLOOKUP(N59,小谷围大学城二标!A$7:M$100,10,TRUE)</f>
        <v>0</v>
      </c>
      <c r="K59" s="1595">
        <f>VLOOKUP(N59,小谷围大学城二标!A$7:M$100,8,TRUE)</f>
        <v>208746</v>
      </c>
      <c r="L59" s="1595"/>
      <c r="M59" s="1595" t="s">
        <v>5053</v>
      </c>
      <c r="N59" s="1597">
        <v>43000</v>
      </c>
    </row>
    <row r="60" spans="1:14" ht="28.5">
      <c r="A60" s="1595" t="str">
        <f>小谷围大学城三标!B$2</f>
        <v xml:space="preserve">广州市房屋开发建设有限公司  </v>
      </c>
      <c r="B60" s="1600" t="s">
        <v>63</v>
      </c>
      <c r="C60" s="1595" t="s">
        <v>5052</v>
      </c>
      <c r="D60" s="1595" t="str">
        <f>小谷围大学城三标!I$1</f>
        <v>C15 260 C20 270 C25 278 C30 285 C35 296 C40 307 C45 319 C50 330 C30水下 300 微膨胀C40 352 c35P6-P8 301</v>
      </c>
      <c r="E60" s="1595">
        <f>VLOOKUP(N60,小谷围大学城三标!A$7:M$73,4)</f>
        <v>4015</v>
      </c>
      <c r="F60" s="1595">
        <f>VLOOKUP(N60,小谷围大学城三标!A$7:M$73,5)</f>
        <v>1193754</v>
      </c>
      <c r="G60" s="1595">
        <v>0</v>
      </c>
      <c r="H60" s="1596">
        <f t="shared" si="2"/>
        <v>1.7831558815851352</v>
      </c>
      <c r="I60" s="1595">
        <f>VLOOKUP(N60,小谷围大学城三标!A$7:M$73,11,TRUE)</f>
        <v>-658794.79999999993</v>
      </c>
      <c r="J60" s="1595">
        <f>VLOOKUP(N60,小谷围大学城三标!A$7:M$100,10,TRUE)</f>
        <v>1500000</v>
      </c>
      <c r="K60" s="1595">
        <f>VLOOKUP(N60,小谷围大学城三标!A$7:M$100,8,TRUE)</f>
        <v>22300</v>
      </c>
      <c r="L60" s="1595"/>
      <c r="M60" s="1595" t="s">
        <v>5051</v>
      </c>
      <c r="N60" s="1597">
        <v>43000</v>
      </c>
    </row>
    <row r="61" spans="1:14" ht="28.5">
      <c r="A61" s="1595" t="str">
        <f>小东景!B$2</f>
        <v>广州市泰基工程技术有限公司</v>
      </c>
      <c r="B61" s="1607" t="s">
        <v>66</v>
      </c>
      <c r="C61" s="1595" t="s">
        <v>5054</v>
      </c>
      <c r="D61" s="1595" t="str">
        <f>小东景!I$1</f>
        <v>C20 268 C25 278 C30 288 从2016年12月15日起上调40元/方；C30 328</v>
      </c>
      <c r="E61" s="1595">
        <f>VLOOKUP(N61,小东景!A$7:M$73,4)</f>
        <v>3916</v>
      </c>
      <c r="F61" s="1595">
        <f>VLOOKUP(N61,小东景!A$7:M$73,5)</f>
        <v>1227970</v>
      </c>
      <c r="G61" s="1595" t="s">
        <v>5012</v>
      </c>
      <c r="H61" s="1596">
        <f t="shared" si="2"/>
        <v>0.8559088625371517</v>
      </c>
      <c r="I61" s="1595">
        <f>VLOOKUP(N61,小东景!A$7:M$73,11,TRUE)</f>
        <v>166628</v>
      </c>
      <c r="J61" s="1595">
        <f>VLOOKUP(N61,小东景!A$7:M$100,10,TRUE)</f>
        <v>989779</v>
      </c>
      <c r="K61" s="1595">
        <f>VLOOKUP(N61,小东景!A$7:M$100,8,TRUE)</f>
        <v>126588</v>
      </c>
      <c r="L61" s="1595">
        <v>2017.3</v>
      </c>
      <c r="M61" s="1595"/>
      <c r="N61" s="1597">
        <v>43000</v>
      </c>
    </row>
    <row r="62" spans="1:14" ht="28.5">
      <c r="A62" s="1595" t="str">
        <f>菠萝山!B$2</f>
        <v>广州市房屋开发建设有限公司</v>
      </c>
      <c r="B62" s="1595" t="s">
        <v>67</v>
      </c>
      <c r="C62" s="1595" t="s">
        <v>5055</v>
      </c>
      <c r="D62" s="1595" t="str">
        <f>菠萝山!I$1</f>
        <v>C10 260 C15 270 C20 280 C25 290 C30 300 C35 315 C40 330 C45 350 C50 375 C55 405 C60 440</v>
      </c>
      <c r="E62" s="1595">
        <f>VLOOKUP(N62,菠萝山!A$7:M$73,4)</f>
        <v>4996.5</v>
      </c>
      <c r="F62" s="1595">
        <f>VLOOKUP(N62,菠萝山!A$7:M$73,5)</f>
        <v>1500577.5</v>
      </c>
      <c r="G62" s="1595" t="s">
        <v>5012</v>
      </c>
      <c r="H62" s="1596">
        <f t="shared" si="2"/>
        <v>0.92260662892701262</v>
      </c>
      <c r="I62" s="1595">
        <f>VLOOKUP(N62,菠萝山!A$7:M$73,11,TRUE)</f>
        <v>111935</v>
      </c>
      <c r="J62" s="1595">
        <f>VLOOKUP(N62,菠萝山!A$7:M$100,10,TRUE)</f>
        <v>1334377.5</v>
      </c>
      <c r="K62" s="1595">
        <f>VLOOKUP(N62,菠萝山!A$7:M$100,8,TRUE)</f>
        <v>111935</v>
      </c>
      <c r="L62" s="1595">
        <v>2017.3</v>
      </c>
      <c r="M62" s="1595"/>
      <c r="N62" s="1597">
        <v>43000</v>
      </c>
    </row>
    <row r="63" spans="1:14" ht="42.75">
      <c r="A63" s="1595" t="str">
        <f>石榴岗!B$2</f>
        <v>广东水电二局股份有限公司广州市海珠区石榴岗河水闸重建工程项目经理部</v>
      </c>
      <c r="B63" s="1595" t="s">
        <v>68</v>
      </c>
      <c r="C63" s="1595" t="s">
        <v>5055</v>
      </c>
      <c r="D63" s="1595" t="str">
        <f>石榴岗!I$1</f>
        <v xml:space="preserve">C15 310 C20 320 C25 330 C30 340 C35 355 C40 370 C45 390 C50 415 C55 445 从2017年3月1日起下浮20元；C30 320 </v>
      </c>
      <c r="E63" s="1595">
        <f>VLOOKUP(N63,石榴岗!A$7:M$73,4)</f>
        <v>3910</v>
      </c>
      <c r="F63" s="1595">
        <f>VLOOKUP(N63,石榴岗!A$7:M$73,5)</f>
        <v>1330335</v>
      </c>
      <c r="G63" s="1595" t="s">
        <v>5056</v>
      </c>
      <c r="H63" s="1596">
        <f t="shared" si="2"/>
        <v>0.64136853073984024</v>
      </c>
      <c r="I63" s="1595">
        <f>VLOOKUP(N63,石榴岗!A$7:M$73,11,TRUE)</f>
        <v>293230</v>
      </c>
      <c r="J63" s="1595">
        <f>VLOOKUP(N63,石榴岗!A$7:M$100,10,TRUE)</f>
        <v>524406</v>
      </c>
      <c r="K63" s="1595">
        <f>VLOOKUP(N63,石榴岗!A$7:M$100,8,TRUE)</f>
        <v>389716</v>
      </c>
      <c r="L63" s="1595"/>
      <c r="M63" s="1595" t="s">
        <v>5057</v>
      </c>
      <c r="N63" s="1597">
        <v>43000</v>
      </c>
    </row>
    <row r="64" spans="1:14" ht="42.75">
      <c r="A64" s="1595" t="str">
        <f>科研办公楼!B$2</f>
        <v>广州市黄埔建筑工程总公司</v>
      </c>
      <c r="B64" s="994" t="s">
        <v>69</v>
      </c>
      <c r="C64" s="1595" t="s">
        <v>5058</v>
      </c>
      <c r="D64" s="1595" t="str">
        <f>科研办公楼!I$1</f>
        <v>C15 278 C20 288 C25 298 C30 308 C35 323 C40 338 C45 358 C50 383 C55 413 C60 448 砂浆370 从2017年4月1日起下调10元/方；C30 298</v>
      </c>
      <c r="E64" s="1595">
        <f>VLOOKUP(N64,科研办公楼!A$7:M$73,4)</f>
        <v>13625.5</v>
      </c>
      <c r="F64" s="1595">
        <f>VLOOKUP(N64,科研办公楼!A$7:M$73,5)</f>
        <v>4276208.5</v>
      </c>
      <c r="G64" s="1595" t="s">
        <v>5059</v>
      </c>
      <c r="H64" s="1596">
        <f t="shared" si="2"/>
        <v>0.85100079084455582</v>
      </c>
      <c r="I64" s="1595">
        <f>VLOOKUP(N64,科研办公楼!A$7:M$73,11,TRUE)</f>
        <v>604027</v>
      </c>
      <c r="J64" s="1595">
        <f>VLOOKUP(N64,科研办公楼!A$7:M$100,10,TRUE)</f>
        <v>3449867</v>
      </c>
      <c r="K64" s="1595">
        <f>VLOOKUP(N64,科研办公楼!A$7:M$100,8,TRUE)</f>
        <v>604027</v>
      </c>
      <c r="L64" s="1595"/>
      <c r="M64" s="1595"/>
      <c r="N64" s="1597">
        <v>43000</v>
      </c>
    </row>
    <row r="65" spans="1:14">
      <c r="A65" s="1595" t="str">
        <f>医药研究!B$2</f>
        <v>广东建邦兴业集团有限公司</v>
      </c>
      <c r="B65" s="1595" t="s">
        <v>72</v>
      </c>
      <c r="C65" s="1595" t="s">
        <v>5060</v>
      </c>
      <c r="D65" s="1595">
        <f>医药研究!I$1</f>
        <v>0</v>
      </c>
      <c r="E65" s="1595">
        <f>VLOOKUP(N65,医药研究!A$7:M$73,4)</f>
        <v>59</v>
      </c>
      <c r="F65" s="1595">
        <f>VLOOKUP(N65,医药研究!A$7:M$73,5)</f>
        <v>16520</v>
      </c>
      <c r="G65" s="1595" t="s">
        <v>5061</v>
      </c>
      <c r="H65" s="1596">
        <f t="shared" si="2"/>
        <v>1</v>
      </c>
      <c r="I65" s="1595">
        <f>VLOOKUP(N65,医药研究!A$7:M$73,11,TRUE)</f>
        <v>0</v>
      </c>
      <c r="J65" s="1595">
        <f>VLOOKUP(N65,医药研究!A$7:M$100,10,TRUE)</f>
        <v>16520</v>
      </c>
      <c r="K65" s="1595">
        <f>VLOOKUP(N65,医药研究!A$7:M$100,8,TRUE)</f>
        <v>7000</v>
      </c>
      <c r="L65" s="1595"/>
      <c r="M65" s="1595"/>
      <c r="N65" s="1597">
        <v>43000</v>
      </c>
    </row>
    <row r="66" spans="1:14" ht="28.5">
      <c r="A66" s="1595" t="str">
        <f>白云机场商务航空!B$2</f>
        <v>广东润民建安工程有限公司</v>
      </c>
      <c r="B66" s="1595" t="s">
        <v>70</v>
      </c>
      <c r="C66" s="1595" t="s">
        <v>5060</v>
      </c>
      <c r="D66" s="1595" t="str">
        <f>白云机场商务航空!I$1</f>
        <v xml:space="preserve">C15 250 C20 260 C25 270 C30 280 C35 295 C40 310 C45 330 C50 355 C55 385 C60 420 砂浆370 </v>
      </c>
      <c r="E66" s="1595">
        <f>VLOOKUP(N66,白云机场商务航空!A$7:M$73,4)</f>
        <v>5029</v>
      </c>
      <c r="F66" s="1595">
        <f>VLOOKUP(N66,白云机场商务航空!A$7:M$73,5)</f>
        <v>1450078</v>
      </c>
      <c r="G66" s="1595" t="s">
        <v>5061</v>
      </c>
      <c r="H66" s="1596">
        <f>J66/(I66+J66)</f>
        <v>0.56143067458622509</v>
      </c>
      <c r="I66" s="1595">
        <f>VLOOKUP(N66,白云机场商务航空!A$7:M$73,11,TRUE)</f>
        <v>491830.5</v>
      </c>
      <c r="J66" s="1595">
        <f>VLOOKUP(N66,白云机场商务航空!A$7:M$100,10,TRUE)</f>
        <v>629612.5</v>
      </c>
      <c r="K66" s="1595">
        <f>VLOOKUP(N66,白云机场商务航空!A$7:M$100,8,TRUE)</f>
        <v>491830.5</v>
      </c>
      <c r="L66" s="1595"/>
      <c r="M66" s="1595"/>
      <c r="N66" s="1597">
        <v>43000</v>
      </c>
    </row>
    <row r="67" spans="1:14" ht="57">
      <c r="A67" s="1595" t="str">
        <f>保瑞抗癌!B$2</f>
        <v>广州市伟腾建筑工程有限公司</v>
      </c>
      <c r="B67" s="1595" t="s">
        <v>71</v>
      </c>
      <c r="C67" s="1595" t="s">
        <v>5060</v>
      </c>
      <c r="D67" s="1595" t="str">
        <f>保瑞抗癌!I$1</f>
        <v>C15 255 C20 265 C25 275 C30 285 C35 300 C40 315 C45 335 C50 360 C55 390 C60 425 砂浆380</v>
      </c>
      <c r="E67" s="1595">
        <f>VLOOKUP(N67,保瑞抗癌!A$7:M$73,4)</f>
        <v>11812</v>
      </c>
      <c r="F67" s="1595">
        <f>VLOOKUP(N67,保瑞抗癌!A$7:M$73,5)</f>
        <v>3485692.5</v>
      </c>
      <c r="G67" s="1595" t="s">
        <v>5062</v>
      </c>
      <c r="H67" s="1596">
        <f>J67/(I67+J67)</f>
        <v>0.87376683399353217</v>
      </c>
      <c r="I67" s="1595">
        <f>VLOOKUP(N67,保瑞抗癌!A$7:M$73,11,TRUE)</f>
        <v>352008</v>
      </c>
      <c r="J67" s="1595">
        <f>VLOOKUP(N67,保瑞抗癌!A$7:M$100,10,TRUE)</f>
        <v>2436546</v>
      </c>
      <c r="K67" s="1595">
        <f>VLOOKUP(N67,保瑞抗癌!A$7:M$100,8,TRUE)</f>
        <v>352008</v>
      </c>
      <c r="L67" s="1595"/>
      <c r="M67" s="1595"/>
      <c r="N67" s="1597">
        <v>43000</v>
      </c>
    </row>
    <row r="68" spans="1:14" ht="28.5">
      <c r="A68" s="1595" t="str">
        <f>真光中学!B$2</f>
        <v xml:space="preserve">广州工程总承包集团有限公司 </v>
      </c>
      <c r="B68" s="1595" t="s">
        <v>75</v>
      </c>
      <c r="C68" s="1595">
        <v>2017.4</v>
      </c>
      <c r="D68" s="1595">
        <f>真光中学!I$1</f>
        <v>0</v>
      </c>
      <c r="E68" s="1595">
        <f>VLOOKUP(N68,真光中学!A$7:M$73,4)</f>
        <v>499</v>
      </c>
      <c r="F68" s="1595">
        <f>VLOOKUP(N68,真光中学!A$7:M$73,5)</f>
        <v>139720</v>
      </c>
      <c r="G68" s="1595" t="s">
        <v>5061</v>
      </c>
      <c r="H68" s="1596">
        <f>J68/(I68+J68)</f>
        <v>0</v>
      </c>
      <c r="I68" s="1595">
        <f>VLOOKUP(N68,真光中学!A$7:M$73,11,TRUE)</f>
        <v>136920</v>
      </c>
      <c r="J68" s="1595">
        <f>VLOOKUP(N68,真光中学!A$7:M$100,10,TRUE)</f>
        <v>0</v>
      </c>
      <c r="K68" s="1595">
        <f>VLOOKUP(N68,真光中学!A$7:M$100,8,TRUE)</f>
        <v>136920</v>
      </c>
      <c r="L68" s="1595"/>
      <c r="M68" s="1595"/>
      <c r="N68" s="1597">
        <v>43000</v>
      </c>
    </row>
    <row r="69" spans="1:14" ht="28.5">
      <c r="A69" s="1595" t="str">
        <f>'科研办公楼 (恒盛)'!B$2</f>
        <v>广州市恒盛建设工程有限公司</v>
      </c>
      <c r="B69" s="1595" t="s">
        <v>73</v>
      </c>
      <c r="C69" s="1595">
        <v>2017.4</v>
      </c>
      <c r="D69" s="1595" t="str">
        <f>'科研办公楼 (恒盛)'!I$1</f>
        <v>C10 240 C15 250 C20 260 C25 270 C30 280 C35 295 C40 310 C45 330 C50 355 C55 385 C60 420 砂浆同批次混凝土</v>
      </c>
      <c r="E69" s="1595">
        <f>VLOOKUP(N69,'科研办公楼 (恒盛)'!A$7:M$73,4)</f>
        <v>17482</v>
      </c>
      <c r="F69" s="1595">
        <f>VLOOKUP(N69,'科研办公楼 (恒盛)'!A$7:M$73,5)</f>
        <v>5020404</v>
      </c>
      <c r="G69" s="1595" t="s">
        <v>5061</v>
      </c>
      <c r="H69" s="1596">
        <f>J69/(I69+J69)</f>
        <v>0.83975382389970799</v>
      </c>
      <c r="I69" s="1595">
        <f>VLOOKUP(N69,'科研办公楼 (恒盛)'!A$7:M$73,11,TRUE)</f>
        <v>598215</v>
      </c>
      <c r="J69" s="1595">
        <f>VLOOKUP(N69,'科研办公楼 (恒盛)'!A$7:M$100,10,TRUE)</f>
        <v>3134885</v>
      </c>
      <c r="K69" s="1595">
        <f>VLOOKUP(N69,'科研办公楼 (恒盛)'!A$7:M$100,8,TRUE)</f>
        <v>1198215</v>
      </c>
      <c r="L69" s="1595"/>
      <c r="M69" s="1595"/>
      <c r="N69" s="1597">
        <v>43000</v>
      </c>
    </row>
    <row r="70" spans="1:14" ht="28.5">
      <c r="A70" s="1600" t="str">
        <f>生物岛!B$2</f>
        <v>广州工程总承包集团有限公司</v>
      </c>
      <c r="B70" s="1600" t="s">
        <v>74</v>
      </c>
      <c r="C70" s="1600">
        <v>2017.4</v>
      </c>
      <c r="D70" s="1600">
        <f>生物岛!I$1</f>
        <v>0</v>
      </c>
      <c r="E70" s="1600">
        <f>VLOOKUP(N70,生物岛!A$7:M$73,4)</f>
        <v>1044</v>
      </c>
      <c r="F70" s="1600">
        <f>VLOOKUP(N70,生物岛!A$7:M$73,5)</f>
        <v>292320</v>
      </c>
      <c r="G70" s="1595" t="s">
        <v>5061</v>
      </c>
      <c r="H70" s="1608" t="e">
        <f>J70/(I70+J70)</f>
        <v>#DIV/0!</v>
      </c>
      <c r="I70" s="1600">
        <f>VLOOKUP(N70,生物岛!A$7:M$73,11,TRUE)</f>
        <v>0</v>
      </c>
      <c r="J70" s="1600">
        <f>VLOOKUP(N70,生物岛!A$7:M$100,10,TRUE)</f>
        <v>0</v>
      </c>
      <c r="K70" s="1600">
        <f>VLOOKUP(N70,生物岛!A$7:M$100,8,TRUE)</f>
        <v>0</v>
      </c>
      <c r="L70" s="1600"/>
      <c r="M70" s="1600"/>
      <c r="N70" s="1597">
        <v>43000</v>
      </c>
    </row>
    <row r="71" spans="1:14">
      <c r="A71" s="1632" t="s">
        <v>5063</v>
      </c>
      <c r="B71" s="1632"/>
      <c r="C71" s="1632"/>
      <c r="D71" s="1632"/>
      <c r="E71" s="1632"/>
      <c r="F71" s="1632"/>
      <c r="G71" s="1632"/>
      <c r="H71" s="1632"/>
      <c r="I71" s="1632"/>
      <c r="J71" s="1632"/>
      <c r="K71" s="1632"/>
      <c r="L71" s="1632"/>
      <c r="M71" s="1632"/>
      <c r="N71" s="1632"/>
    </row>
    <row r="72" spans="1:14" ht="28.5">
      <c r="A72" s="1595" t="s">
        <v>240</v>
      </c>
      <c r="B72" s="1595" t="s">
        <v>4960</v>
      </c>
      <c r="C72" s="1595" t="s">
        <v>4961</v>
      </c>
      <c r="D72" s="1595" t="s">
        <v>4962</v>
      </c>
      <c r="E72" s="1595" t="s">
        <v>4963</v>
      </c>
      <c r="F72" s="1595" t="s">
        <v>4964</v>
      </c>
      <c r="G72" s="1595" t="s">
        <v>4965</v>
      </c>
      <c r="H72" s="1596" t="s">
        <v>4966</v>
      </c>
      <c r="I72" s="1595" t="s">
        <v>4967</v>
      </c>
      <c r="J72" s="1595" t="s">
        <v>4968</v>
      </c>
      <c r="K72" s="1595" t="s">
        <v>4969</v>
      </c>
      <c r="L72" s="1595" t="s">
        <v>4970</v>
      </c>
      <c r="M72" s="1594" t="s">
        <v>278</v>
      </c>
      <c r="N72" s="1597" t="s">
        <v>4755</v>
      </c>
    </row>
    <row r="73" spans="1:14" ht="128.25">
      <c r="A73" s="1595" t="str">
        <f>保利琶洲!B$3</f>
        <v>中建三局第一建设工程有限责任公司广州分公司</v>
      </c>
      <c r="B73" s="1598" t="s">
        <v>89</v>
      </c>
      <c r="C73" s="1595" t="s">
        <v>5064</v>
      </c>
      <c r="D73" s="1595" t="str">
        <f>保利琶洲!J$1</f>
        <v>按信息价下浮23%，润泵350元。暂定价C30 ＜120，277元， C30≥120， 283元；从2014年4季度（2014年9月21日）采用固定单价 C10 265 C15 275 C20 285 C25 295 C30 305 C35 320 C40 335 C45 355 C50 375 C55 395 C62 415 从2015年10月21日起C10 240 C15 250 C20 260 C25 270 C30 280 C35 295 C40 310 C45 330 C50 350 C55 370 C60 390 从2016年5月12日开始C30 258；从2016年12月15日至19日起增加20元；C30 278; 从2016年12月20日至2017年1月28日上增加40元；C30 318; 从2017年3月1日起上调20元；C30 278元；</v>
      </c>
      <c r="E73" s="1595">
        <f>VLOOKUP(N73,保利琶洲!A$7:M$73,4)</f>
        <v>99904.489000000001</v>
      </c>
      <c r="F73" s="1595">
        <f>VLOOKUP(N73,保利琶洲!A$7:M$73,5)</f>
        <v>33467670.405999996</v>
      </c>
      <c r="G73" s="1595" t="s">
        <v>5065</v>
      </c>
      <c r="H73" s="1596">
        <f t="shared" ref="H73:H93" si="3">J73/(I73+J73)</f>
        <v>0.99645526108821603</v>
      </c>
      <c r="I73" s="1595">
        <f>VLOOKUP(N73,保利琶洲!A$7:M$73,11,TRUE)</f>
        <v>118398.49600000092</v>
      </c>
      <c r="J73" s="1595">
        <f>VLOOKUP(N73,保利琶洲!A$7:M$100,10,TRUE)</f>
        <v>33282790.969999999</v>
      </c>
      <c r="K73" s="1595">
        <f>VLOOKUP(N73,保利琶洲!A$7:M$100,8,TRUE)</f>
        <v>101217.81600000001</v>
      </c>
      <c r="L73" s="1595">
        <v>2016.11</v>
      </c>
      <c r="M73" s="1595"/>
      <c r="N73" s="1597">
        <v>43000</v>
      </c>
    </row>
    <row r="74" spans="1:14" ht="57">
      <c r="A74" s="1595" t="str">
        <f>石湖停车场!B$2</f>
        <v>中铁建工集团有限公司</v>
      </c>
      <c r="B74" s="1595" t="s">
        <v>90</v>
      </c>
      <c r="C74" s="1595" t="s">
        <v>5066</v>
      </c>
      <c r="D74" s="1595" t="str">
        <f>石湖停车场!J$1</f>
        <v xml:space="preserve">水下c30:335.8  c20:299  c30:322 C35P8：340.4 C35：335.8 C45:363.4    </v>
      </c>
      <c r="E74" s="1595">
        <f>VLOOKUP(N74,石湖停车场!A$7:M$73,4)</f>
        <v>32967</v>
      </c>
      <c r="F74" s="1595">
        <f>VLOOKUP(N74,石湖停车场!A$7:M$73,5)</f>
        <v>11174992.720000003</v>
      </c>
      <c r="G74" s="1595" t="s">
        <v>5067</v>
      </c>
      <c r="H74" s="1596">
        <f t="shared" si="3"/>
        <v>0.99784952522098835</v>
      </c>
      <c r="I74" s="1595">
        <f>VLOOKUP(N74,石湖停车场!A$7:M$73,11,TRUE)</f>
        <v>24031.539999999513</v>
      </c>
      <c r="J74" s="1595">
        <f>VLOOKUP(N74,石湖停车场!A$7:M$100,10,TRUE)</f>
        <v>11150961.18</v>
      </c>
      <c r="K74" s="1595">
        <f>VLOOKUP(N74,石湖停车场!A$7:M$100,8,TRUE)</f>
        <v>-19934.689999999999</v>
      </c>
      <c r="L74" s="1595">
        <v>2017.1</v>
      </c>
      <c r="M74" s="1595"/>
      <c r="N74" s="1597">
        <v>43000</v>
      </c>
    </row>
    <row r="75" spans="1:14" ht="99.75">
      <c r="A75" s="1595" t="str">
        <f>坑口!B$3</f>
        <v>中铁建工集团有限公司广州地铁坑口BT融资建设工程项目经理部</v>
      </c>
      <c r="B75" s="1595" t="s">
        <v>91</v>
      </c>
      <c r="C75" s="1595" t="s">
        <v>5068</v>
      </c>
      <c r="D75" s="1595" t="str">
        <f>坑口!J$1</f>
        <v xml:space="preserve">C10：310  C15:315  C20:325          C30水下桩：360      C25：335   C30：345  C35：365  C40：385  2014年5月15日起 混凝土每立方米上浮7元/m³ C30：352 ;从2014年11月15开始按信息价下调20% C30：332  M30砂浆；380  2014年11月15日起（含2014.11.15）起C10:273; C15:283 C20:293 C25:303 C30:313  C35:329 C40:345 C45:363 C50:383 C55:408 C60:438 </v>
      </c>
      <c r="E75" s="1595">
        <f>VLOOKUP(N75,坑口!A$7:M$73,4)</f>
        <v>68577.5</v>
      </c>
      <c r="F75" s="1595">
        <f>VLOOKUP(N75,坑口!A$7:M$73,5)</f>
        <v>23471014</v>
      </c>
      <c r="G75" s="1595" t="s">
        <v>5069</v>
      </c>
      <c r="H75" s="1596">
        <f t="shared" si="3"/>
        <v>1</v>
      </c>
      <c r="I75" s="1595">
        <f>VLOOKUP(N75,坑口!A$7:M$73,11,TRUE)</f>
        <v>0</v>
      </c>
      <c r="J75" s="1595">
        <f>VLOOKUP(N75,坑口!A$7:M$100,10,TRUE)</f>
        <v>23471014</v>
      </c>
      <c r="K75" s="1595">
        <f>VLOOKUP(N75,坑口!A$7:M$100,8,TRUE)</f>
        <v>0</v>
      </c>
      <c r="L75" s="1595">
        <v>2017.1</v>
      </c>
      <c r="M75" s="1595"/>
      <c r="N75" s="1597">
        <v>43000</v>
      </c>
    </row>
    <row r="76" spans="1:14" ht="128.25">
      <c r="A76" s="1595" t="str">
        <f>'番禺 天骄时代'!B$2</f>
        <v>中铁建工集团有限公司广州番禺天骄时代商业楼第六期项目经理部</v>
      </c>
      <c r="B76" s="1595" t="s">
        <v>92</v>
      </c>
      <c r="C76" s="1595" t="s">
        <v>5070</v>
      </c>
      <c r="D76" s="1595" t="str">
        <f>'番禺 天骄时代'!J$1</f>
        <v>含税单价：C15：307 C20：318 C25：330 C30：346 C35：362 C40：378 C45：393 非普通泵送混凝土单价在各普通泵送混凝土基础上调8元/m³  润泵砂浆：350 普通泵送C50：409 从2014年12月16开始 C15 280 C20 290 C25 300 C30 310 C35 325 C40 340 C45 355 调差以2015年第一季度对比，如价格幅动系数在正负3%（含±3%）以内的不作调整，如超过，则合同单价从2015年第一季度起，第n季度（n≥1)的价格计算如下：第n季度的结算价格=合同价格*（1+涨跌系数F);涨跌系数F=(pn-po)/po*100%±3%)</v>
      </c>
      <c r="E76" s="1595">
        <f>VLOOKUP(N76,'番禺 天骄时代'!A$7:M$73,4)</f>
        <v>77796</v>
      </c>
      <c r="F76" s="1595">
        <f>VLOOKUP(N76,'番禺 天骄时代'!A$7:M$73,5)</f>
        <v>25104147.640000001</v>
      </c>
      <c r="G76" s="1595" t="s">
        <v>5071</v>
      </c>
      <c r="H76" s="1596">
        <f t="shared" si="3"/>
        <v>0.99990038856261654</v>
      </c>
      <c r="I76" s="1595">
        <f>VLOOKUP(N76,'番禺 天骄时代'!A$7:M$73,11,TRUE)</f>
        <v>2366.0899999975227</v>
      </c>
      <c r="J76" s="1595">
        <f>VLOOKUP(N76,'番禺 天骄时代'!A$7:M$100,10,TRUE)</f>
        <v>23750829.949999999</v>
      </c>
      <c r="K76" s="1595">
        <f>VLOOKUP(N76,'番禺 天骄时代'!A$7:M$100,8,TRUE)</f>
        <v>38767.51</v>
      </c>
      <c r="L76" s="1595">
        <v>2017.1</v>
      </c>
      <c r="M76" s="1595"/>
      <c r="N76" s="1597">
        <v>43000</v>
      </c>
    </row>
    <row r="77" spans="1:14" ht="57">
      <c r="A77" s="1595" t="str">
        <f>雅瑶!B$2</f>
        <v>广东力信电建工程有限公司</v>
      </c>
      <c r="B77" s="1595" t="s">
        <v>93</v>
      </c>
      <c r="C77" s="1595" t="s">
        <v>5072</v>
      </c>
      <c r="D77" s="1595" t="str">
        <f>雅瑶!J$1</f>
        <v>含税价：C15：295 C20：305 C25：315 C30：325 C35：340  C40：355 C45：375 C50：400 C55：430 C60：465 M10砂浆：350 C15石粉：315  从2015年3月20日上调10元/m3;从2015年4月5日上调10元/m3</v>
      </c>
      <c r="E77" s="1595">
        <f>VLOOKUP(N77,雅瑶!A$7:M$73,4)</f>
        <v>21560.5</v>
      </c>
      <c r="F77" s="1595">
        <f>VLOOKUP(N77,雅瑶!A$7:M$73,5)</f>
        <v>7073701.5</v>
      </c>
      <c r="G77" s="1595" t="s">
        <v>4957</v>
      </c>
      <c r="H77" s="1596">
        <f t="shared" si="3"/>
        <v>1.0159060288308746</v>
      </c>
      <c r="I77" s="1595">
        <f>VLOOKUP(N77,雅瑶!A$7:M$73,11,TRUE)</f>
        <v>-112514.5</v>
      </c>
      <c r="J77" s="1595">
        <f>VLOOKUP(N77,雅瑶!A$7:M$100,10,TRUE)</f>
        <v>7186216</v>
      </c>
      <c r="K77" s="1595">
        <f>VLOOKUP(N77,雅瑶!A$7:M$100,8,TRUE)</f>
        <v>36180</v>
      </c>
      <c r="L77" s="1595">
        <v>2017.1</v>
      </c>
      <c r="M77" s="1595" t="s">
        <v>2380</v>
      </c>
      <c r="N77" s="1597">
        <v>43000</v>
      </c>
    </row>
    <row r="78" spans="1:14" ht="85.5">
      <c r="A78" s="1595" t="str">
        <f>水博苑!B$2</f>
        <v>广东宏昌建设工程有限公司</v>
      </c>
      <c r="B78" s="1595" t="s">
        <v>94</v>
      </c>
      <c r="C78" s="1595" t="s">
        <v>5073</v>
      </c>
      <c r="D78" s="1595" t="str">
        <f>水博苑!J$1</f>
        <v>2014年11月18日之前C30：305，19日开始为C15：266 C20：276 C25：286 C30：296  C35：311 C40：326 C45：346 C50：366 C55：396 C60：431   M15湿拌砂浆315  从2015年4月5日上调20元/m3；从2015年7月1日起C15 273 C20 283 C25 293 C30 303 C35 318 C40 333 C45 353 C50 373 C55 403 C60 438 M10砂浆 292 M15砂浆 302</v>
      </c>
      <c r="E78" s="1595">
        <f>VLOOKUP(N78,水博苑!A$7:M$73,4)</f>
        <v>15778</v>
      </c>
      <c r="F78" s="1595">
        <f>VLOOKUP(N78,水博苑!A$7:M$73,5)</f>
        <v>4983357</v>
      </c>
      <c r="G78" s="1595" t="s">
        <v>4957</v>
      </c>
      <c r="H78" s="1596">
        <f t="shared" si="3"/>
        <v>1</v>
      </c>
      <c r="I78" s="1595">
        <f>VLOOKUP(N78,水博苑!A$7:M$73,11,TRUE)</f>
        <v>0</v>
      </c>
      <c r="J78" s="1595">
        <f>VLOOKUP(N78,水博苑!A$7:M$100,10,TRUE)</f>
        <v>4924198.16</v>
      </c>
      <c r="K78" s="1595">
        <f>VLOOKUP(N78,水博苑!A$7:M$100,8,TRUE)</f>
        <v>0</v>
      </c>
      <c r="L78" s="1595">
        <v>2017.2</v>
      </c>
      <c r="M78" s="1595" t="s">
        <v>5074</v>
      </c>
      <c r="N78" s="1597">
        <v>43000</v>
      </c>
    </row>
    <row r="79" spans="1:14" ht="156.75">
      <c r="A79" s="1595" t="str">
        <f>中海广钢幼儿园!B$2</f>
        <v xml:space="preserve">广州尚智建筑劳务有限公司  </v>
      </c>
      <c r="B79" s="1595" t="s">
        <v>95</v>
      </c>
      <c r="C79" s="1595" t="s">
        <v>5075</v>
      </c>
      <c r="D79" s="1595" t="str">
        <f>中海广钢幼儿园!J$1</f>
        <v>C10：223 C15：233 C20：243 C25：253 C30：263 C35：273 C40：288 C45：303 C50：323 C55：343 C60：373  C65 413 从2016年3月1日付下调5元/方；（C30:258)</v>
      </c>
      <c r="E79" s="1595">
        <f>VLOOKUP(N79,中海广钢幼儿园!A$7:M$73,4)</f>
        <v>73308</v>
      </c>
      <c r="F79" s="1595">
        <f>VLOOKUP(N79,中海广钢幼儿园!A$7:M$73,5)</f>
        <v>20115916.290000003</v>
      </c>
      <c r="G79" s="1595" t="s">
        <v>5076</v>
      </c>
      <c r="H79" s="1596">
        <f t="shared" si="3"/>
        <v>1.3296276322828877</v>
      </c>
      <c r="I79" s="1595">
        <f>VLOOKUP(N79,中海广钢幼儿园!A$7:M$73,11,TRUE)</f>
        <v>-4977014.99</v>
      </c>
      <c r="J79" s="1595">
        <f>VLOOKUP(N79,中海广钢幼儿园!A$7:M$100,10,TRUE)</f>
        <v>20075916</v>
      </c>
      <c r="K79" s="1595">
        <f>VLOOKUP(N79,中海广钢幼儿园!A$7:M$100,8,TRUE)</f>
        <v>61005</v>
      </c>
      <c r="L79" s="1595">
        <v>2017.1</v>
      </c>
      <c r="M79" s="1595"/>
      <c r="N79" s="1597">
        <v>43000</v>
      </c>
    </row>
    <row r="80" spans="1:14" ht="57">
      <c r="A80" s="1595" t="str">
        <f>南通广钢!B$2</f>
        <v>南通四建集团有限公司</v>
      </c>
      <c r="B80" s="1595" t="s">
        <v>97</v>
      </c>
      <c r="C80" s="1595" t="s">
        <v>5077</v>
      </c>
      <c r="D80" s="1595" t="str">
        <f>南通广钢!J$1</f>
        <v xml:space="preserve">C15：283  C20：293  C25：303  C30：313   C35：328 C40：343 C45：363 C50：383 C55：408 C60：438 C65:478 从2016年3月1日起下调35元C30 278 从2016年12月10日起上调30元；C30 308；从2016年12月15日起上调30元；C30 338; </v>
      </c>
      <c r="E80" s="1595">
        <f>VLOOKUP(N80,南通广钢!A$7:M$73,4)</f>
        <v>106886</v>
      </c>
      <c r="F80" s="1595">
        <f>VLOOKUP(N80,南通广钢!A$7:M$73,5)</f>
        <v>36377018</v>
      </c>
      <c r="G80" s="1595" t="s">
        <v>4989</v>
      </c>
      <c r="H80" s="1596">
        <f t="shared" si="3"/>
        <v>0.94502023227962229</v>
      </c>
      <c r="I80" s="1595">
        <f>VLOOKUP(N80,南通广钢!A$7:M$73,11,TRUE)</f>
        <v>2000000</v>
      </c>
      <c r="J80" s="1595">
        <f>VLOOKUP(N80,南通广钢!A$7:M$100,10,TRUE)</f>
        <v>34377018</v>
      </c>
      <c r="K80" s="1595">
        <f>VLOOKUP(N80,南通广钢!A$7:M$100,8,TRUE)</f>
        <v>0</v>
      </c>
      <c r="L80" s="1595">
        <v>2017.1</v>
      </c>
      <c r="M80" s="1595"/>
      <c r="N80" s="1597">
        <v>43000</v>
      </c>
    </row>
    <row r="81" spans="1:14" ht="42.75">
      <c r="A81" s="1595" t="str">
        <f>中太广钢!B$2</f>
        <v>中太建设集团股份有限公司</v>
      </c>
      <c r="B81" s="1595" t="s">
        <v>5078</v>
      </c>
      <c r="C81" s="1595" t="s">
        <v>5079</v>
      </c>
      <c r="D81" s="1595" t="str">
        <f>中太广钢!J$1</f>
        <v>C15：270  C20：280  C25：290  C30：300 C35：315  C40：330 C45：350 C50：370 C55：395 C60：425 润泵砂浆单价按C30混凝土单价结算；</v>
      </c>
      <c r="E81" s="1595">
        <f>VLOOKUP(N81,中太广钢!A$7:M$73,4)</f>
        <v>67647</v>
      </c>
      <c r="F81" s="1595">
        <f>VLOOKUP(N81,中太广钢!A$7:M$73,5)</f>
        <v>22093262.5</v>
      </c>
      <c r="G81" s="1595" t="s">
        <v>5065</v>
      </c>
      <c r="H81" s="1596">
        <f t="shared" si="3"/>
        <v>1.1711715279714801</v>
      </c>
      <c r="I81" s="1595">
        <f>VLOOKUP(N81,中太广钢!A$7:M$73,11,TRUE)</f>
        <v>-3025390</v>
      </c>
      <c r="J81" s="1595">
        <f>VLOOKUP(N81,中太广钢!A$7:M$100,10,TRUE)</f>
        <v>20700000</v>
      </c>
      <c r="K81" s="1595">
        <f>VLOOKUP(N81,中太广钢!A$7:M$100,8,TRUE)</f>
        <v>0</v>
      </c>
      <c r="L81" s="1595">
        <v>2016.11</v>
      </c>
      <c r="M81" s="1595"/>
      <c r="N81" s="1597">
        <v>43000</v>
      </c>
    </row>
    <row r="82" spans="1:14" ht="71.25">
      <c r="A82" s="1595" t="str">
        <f>恒辉广钢!B$2</f>
        <v>广东恒辉建设有限公司</v>
      </c>
      <c r="B82" s="1595" t="s">
        <v>104</v>
      </c>
      <c r="C82" s="1595" t="s">
        <v>5080</v>
      </c>
      <c r="D82" s="1595" t="str">
        <f>恒辉广钢!J$1</f>
        <v>C15：245 C20：255  C25：265  C30：275       C35：290 C40：305 C45：325  C50：345 C55：370 C60：400 从7.15起上调20元 C30 295 从2016年7月15日起上调20元 C30 295 ；从2016年12月10号上调20元；C30 315 从2016年12月15日起上调335</v>
      </c>
      <c r="E82" s="1595">
        <f>VLOOKUP(N82,恒辉广钢!A$7:M$73,4)</f>
        <v>42460</v>
      </c>
      <c r="F82" s="1595">
        <f>VLOOKUP(N82,恒辉广钢!A$7:M$73,5)</f>
        <v>12506112.5</v>
      </c>
      <c r="G82" s="1595" t="s">
        <v>5081</v>
      </c>
      <c r="H82" s="1596">
        <f t="shared" si="3"/>
        <v>0.93920870336993345</v>
      </c>
      <c r="I82" s="1595">
        <f>VLOOKUP(N82,恒辉广钢!A$7:M$73,11,TRUE)</f>
        <v>601788</v>
      </c>
      <c r="J82" s="1595">
        <f>VLOOKUP(N82,恒辉广钢!A$7:M$100,10,TRUE)</f>
        <v>9297458</v>
      </c>
      <c r="K82" s="1595">
        <f>VLOOKUP(N82,恒辉广钢!A$7:M$100,8,TRUE)</f>
        <v>0</v>
      </c>
      <c r="L82" s="1595">
        <v>2016.11</v>
      </c>
      <c r="M82" s="1595" t="s">
        <v>5082</v>
      </c>
      <c r="N82" s="1597">
        <v>43000</v>
      </c>
    </row>
    <row r="83" spans="1:14" ht="71.25">
      <c r="A83" s="1595" t="str">
        <f>红云涂料厂!B$2</f>
        <v>中建三局第一建设工程有限责任公司广州分公司</v>
      </c>
      <c r="B83" s="1598" t="s">
        <v>100</v>
      </c>
      <c r="C83" s="1595" t="s">
        <v>5083</v>
      </c>
      <c r="D83" s="1595" t="str">
        <f>红云涂料厂!J$1</f>
        <v>C15：248 C20：258  C25：268  C30：278       C35：293 C40：308 C45：328  C50：348 C55：368 C60：388 从2016年12月15日至12月19日上调20元；C30 298 2016年12月20日至1月28日上调30元；C30 328；2017.1.27起C30 278</v>
      </c>
      <c r="E83" s="1595">
        <f>VLOOKUP(N83,红云涂料厂!A$7:M$73,4)</f>
        <v>52490.5</v>
      </c>
      <c r="F83" s="1595">
        <f>VLOOKUP(N83,红云涂料厂!A$7:M$73,5)</f>
        <v>15274631.74</v>
      </c>
      <c r="G83" s="1595" t="s">
        <v>5084</v>
      </c>
      <c r="H83" s="1596">
        <f t="shared" si="3"/>
        <v>1.0690319287460261</v>
      </c>
      <c r="I83" s="1595">
        <f>VLOOKUP(N83,红云涂料厂!A$7:M$73,11,TRUE)</f>
        <v>-872971.61500000034</v>
      </c>
      <c r="J83" s="1595">
        <f>VLOOKUP(N83,红云涂料厂!A$7:M$100,10,TRUE)</f>
        <v>13518882.440000001</v>
      </c>
      <c r="K83" s="1595">
        <f>VLOOKUP(N83,红云涂料厂!A$7:M$100,8,TRUE)</f>
        <v>615252</v>
      </c>
      <c r="L83" s="1595">
        <v>2017.2</v>
      </c>
      <c r="M83" s="1595"/>
      <c r="N83" s="1597">
        <v>43000</v>
      </c>
    </row>
    <row r="84" spans="1:14" ht="71.25">
      <c r="A84" s="1595" t="str">
        <f>东新高速公路!B$2</f>
        <v>广东省建筑工程机械施工有限公司</v>
      </c>
      <c r="B84" s="1595" t="s">
        <v>101</v>
      </c>
      <c r="C84" s="1595" t="s">
        <v>5083</v>
      </c>
      <c r="D84" s="1595" t="str">
        <f>东新高速公路!J$1</f>
        <v xml:space="preserve">C15：244 C20：253 C25:260 C30：267 4 C35：277 C40：288  C45：299 C50：309  C55：325 C60：338  砂浆 350 从2016年12月10日付20元；C30 287.4 从2016年12月15日上调20元 C30 307.4 </v>
      </c>
      <c r="E84" s="1595">
        <f>VLOOKUP(N84,东新高速公路!A$7:M$73,4)</f>
        <v>17211</v>
      </c>
      <c r="F84" s="1595">
        <f>VLOOKUP(N84,东新高速公路!A$7:M$73,5)</f>
        <v>5404621.7800000003</v>
      </c>
      <c r="G84" s="1595" t="s">
        <v>5085</v>
      </c>
      <c r="H84" s="1596">
        <f t="shared" si="3"/>
        <v>0.96995089953100289</v>
      </c>
      <c r="I84" s="1595">
        <f>VLOOKUP(N84,东新高速公路!A$7:M$73,11,TRUE)</f>
        <v>141888.50200000009</v>
      </c>
      <c r="J84" s="1595">
        <f>VLOOKUP(N84,东新高速公路!A$7:M$100,10,TRUE)</f>
        <v>4580000</v>
      </c>
      <c r="K84" s="1595">
        <f>VLOOKUP(N84,东新高速公路!A$7:M$100,8,TRUE)</f>
        <v>-6938</v>
      </c>
      <c r="L84" s="1595">
        <v>2017.3</v>
      </c>
      <c r="M84" s="1595"/>
      <c r="N84" s="1597">
        <v>43000</v>
      </c>
    </row>
    <row r="85" spans="1:14" ht="199.5">
      <c r="A85" s="1595" t="str">
        <f>鸣翠花园!B$2</f>
        <v>中建三局第二建筑工程有限责任公司华南公司</v>
      </c>
      <c r="B85" s="1595" t="s">
        <v>102</v>
      </c>
      <c r="C85" s="1595" t="s">
        <v>5086</v>
      </c>
      <c r="D85" s="1595" t="str">
        <f>鸣翠花园!J$1</f>
        <v xml:space="preserve">C15 242 C20 252 C25 262 C30 272 C35 287 砂浆 300 C40 302 </v>
      </c>
      <c r="E85" s="1595">
        <f>VLOOKUP(N85,鸣翠花园!A$7:M$73,4)</f>
        <v>1146</v>
      </c>
      <c r="F85" s="1595">
        <f>VLOOKUP(N85,鸣翠花园!A$7:M$73,5)</f>
        <v>301981.84999999998</v>
      </c>
      <c r="G85" s="1595" t="s">
        <v>5087</v>
      </c>
      <c r="H85" s="1596">
        <f t="shared" si="3"/>
        <v>1.2286347505162629</v>
      </c>
      <c r="I85" s="1595">
        <f>VLOOKUP(N85,鸣翠花园!A$7:M$73,11,TRUE)</f>
        <v>-48383.000000000015</v>
      </c>
      <c r="J85" s="1595">
        <f>VLOOKUP(N85,鸣翠花园!A$7:M$100,10,TRUE)</f>
        <v>260000</v>
      </c>
      <c r="K85" s="1595">
        <f>VLOOKUP(N85,鸣翠花园!A$7:M$100,8,TRUE)</f>
        <v>951.99999999999989</v>
      </c>
      <c r="L85" s="1595">
        <v>2016.2</v>
      </c>
      <c r="M85" s="1595"/>
      <c r="N85" s="1597">
        <v>43000</v>
      </c>
    </row>
    <row r="86" spans="1:14" ht="199.5">
      <c r="A86" s="1595" t="str">
        <f>广铝、远大总部经济大厦!B$2</f>
        <v>中建三局第二建筑工程有限责任公司华南公司</v>
      </c>
      <c r="B86" s="1598" t="s">
        <v>103</v>
      </c>
      <c r="C86" s="1595" t="s">
        <v>4992</v>
      </c>
      <c r="D86" s="1595" t="str">
        <f>广铝、远大总部经济大厦!J$1</f>
        <v>润管砂浆 300 C15 242 C20 252 C25 262 C30 272 C35 287 C40 302 C45 319 C50 339 C55 359 C60 379从2016年12月14日至2017年1月27日起上调28元；（此期间不做调差）C30 300; 2017年1月27起 C30 272 ；从2017年4月23日起上调8元/方；C30 280元/方；</v>
      </c>
      <c r="E86" s="1595">
        <f>VLOOKUP(N86,广铝、远大总部经济大厦!A$7:M$73,4)</f>
        <v>5727.4</v>
      </c>
      <c r="F86" s="1595">
        <f>VLOOKUP(N86,广铝、远大总部经济大厦!A$7:M$73,5)</f>
        <v>1866166.7</v>
      </c>
      <c r="G86" s="1595" t="s">
        <v>5087</v>
      </c>
      <c r="H86" s="1596">
        <f t="shared" si="3"/>
        <v>0</v>
      </c>
      <c r="I86" s="1595">
        <f>VLOOKUP(N86,广铝、远大总部经济大厦!A$7:M$73,11,TRUE)</f>
        <v>1306316.69</v>
      </c>
      <c r="J86" s="1595">
        <f>VLOOKUP(N86,广铝、远大总部经济大厦!A$7:M$100,10,TRUE)</f>
        <v>0</v>
      </c>
      <c r="K86" s="1595">
        <f>VLOOKUP(N86,广铝、远大总部经济大厦!A$7:M$100,8,TRUE)</f>
        <v>662268.68400000001</v>
      </c>
      <c r="L86" s="1595">
        <v>2017.3</v>
      </c>
      <c r="M86" s="1595" t="s">
        <v>2635</v>
      </c>
      <c r="N86" s="1597">
        <v>43000</v>
      </c>
    </row>
    <row r="87" spans="1:14" ht="85.5">
      <c r="A87" s="1595" t="str">
        <f>广纸地块项目!B$2</f>
        <v>中建三局第一建设工程有限责任公司广州分公司</v>
      </c>
      <c r="B87" s="1598" t="s">
        <v>96</v>
      </c>
      <c r="C87" s="1595" t="s">
        <v>5041</v>
      </c>
      <c r="D87" s="1595" t="str">
        <f>广纸地块项目!J$1</f>
        <v>C15 230 C20 240 C25 250 C30 260 C35 275 C40 290 C45 305 C50 325 C55 350 C60 375 C65 435 C70 485 C75 565 C80 645 从2016年5月12日下调2元 C30 258 从2016年12月15日至12月19日上调20元；C30 280 2016年12月20日至1月28日上调40元；C30 320 从2017年3月1日起上调20元；C30 278元；</v>
      </c>
      <c r="E87" s="1595">
        <f>VLOOKUP(N87,广纸地块项目!A$7:M$73,4)</f>
        <v>66990</v>
      </c>
      <c r="F87" s="1595">
        <f>VLOOKUP(N87,广纸地块项目!A$7:M$73,5)</f>
        <v>19911180</v>
      </c>
      <c r="G87" s="1595" t="s">
        <v>5084</v>
      </c>
      <c r="H87" s="1596">
        <f t="shared" si="3"/>
        <v>0.83345407467947841</v>
      </c>
      <c r="I87" s="1595">
        <f>VLOOKUP(N87,广纸地块项目!A$7:M$73,11,TRUE)</f>
        <v>2153543.7299999995</v>
      </c>
      <c r="J87" s="1595">
        <f>VLOOKUP(N87,广纸地块项目!A$7:M$100,10,TRUE)</f>
        <v>10777086.219999999</v>
      </c>
      <c r="K87" s="1595">
        <f>VLOOKUP(N87,广纸地块项目!A$7:M$100,8,TRUE)</f>
        <v>751664.89999999991</v>
      </c>
      <c r="L87" s="1595">
        <v>2017.3</v>
      </c>
      <c r="M87" s="1595"/>
      <c r="N87" s="1597">
        <v>43000</v>
      </c>
    </row>
    <row r="88" spans="1:14" ht="57">
      <c r="A88" s="1595" t="str">
        <f>中诚广钢!B$2</f>
        <v>广东中城集团建设有限公司</v>
      </c>
      <c r="B88" s="1598" t="s">
        <v>5088</v>
      </c>
      <c r="C88" s="1595" t="s">
        <v>4983</v>
      </c>
      <c r="D88" s="1595" t="str">
        <f>中诚广钢!J$1</f>
        <v>C15 220 C20 230 C25 240 C30 250 C35 260 C40 275 C45 295 C50 315 C55 340 C60 365 砂浆330 从2016年12月10日至15日上调20元；C30 270 从2016年12月16日上调40元；C30 310 ；</v>
      </c>
      <c r="E88" s="1595">
        <f>VLOOKUP(N88,中诚广钢!A$7:M$73,4)</f>
        <v>86135</v>
      </c>
      <c r="F88" s="1595">
        <f>VLOOKUP(N88,中诚广钢!A$7:M$73,5)</f>
        <v>26232259.688785043</v>
      </c>
      <c r="G88" s="1595" t="s">
        <v>5089</v>
      </c>
      <c r="H88" s="1596">
        <f t="shared" si="3"/>
        <v>0.95837941141206606</v>
      </c>
      <c r="I88" s="1595">
        <f>VLOOKUP(N88,中诚广钢!A$7:M$73,11,TRUE)</f>
        <v>755648.78878504271</v>
      </c>
      <c r="J88" s="1595">
        <f>VLOOKUP(N88,中诚广钢!A$7:M$100,10,TRUE)</f>
        <v>17400000</v>
      </c>
      <c r="K88" s="1595">
        <f>VLOOKUP(N88,中诚广钢!A$7:M$100,8,TRUE)</f>
        <v>449457.39999999997</v>
      </c>
      <c r="L88" s="1595">
        <v>2017.1</v>
      </c>
      <c r="M88" s="1595"/>
      <c r="N88" s="1597">
        <v>43000</v>
      </c>
    </row>
    <row r="89" spans="1:14" ht="199.5">
      <c r="A89" s="1595" t="str">
        <f>芳村唯品会主体!B$2</f>
        <v>中建三局第一建设工程有限责任公司</v>
      </c>
      <c r="B89" s="1598" t="s">
        <v>109</v>
      </c>
      <c r="C89" s="1595" t="s">
        <v>5090</v>
      </c>
      <c r="D89" s="1595" t="str">
        <f>芳村唯品会主体!J$1</f>
        <v>C10 218 C15 228 C20 238 C25 248 C30 258 C35 273 C40 288 C45 308 C50 328 C55 348 C60 368 从 2016 年12 月 20 日至 2017 年 1 月 28 日混凝土供应单价在上述合同单价对应标号基础上增加 40 元/m3，此段期间混凝土供应单价不再进行其他任何形式调差。2017 年1月28日后恢复上述合同单价供应结算及调差。从2017年3月1日起上调20元；C30 278元；</v>
      </c>
      <c r="E89" s="1595">
        <f>VLOOKUP(N89,芳村唯品会主体!A$7:M$73,4)</f>
        <v>13888.5</v>
      </c>
      <c r="F89" s="1595">
        <f>VLOOKUP(N89,芳村唯品会主体!A$7:M$73,5)</f>
        <v>4186782.29</v>
      </c>
      <c r="G89" s="1595" t="s">
        <v>5091</v>
      </c>
      <c r="H89" s="1596">
        <f t="shared" si="3"/>
        <v>0</v>
      </c>
      <c r="I89" s="1595">
        <f>VLOOKUP(N89,芳村唯品会主体!A$7:M$73,11,TRUE)</f>
        <v>1660.1029999996535</v>
      </c>
      <c r="J89" s="1595">
        <f>VLOOKUP(N89,芳村唯品会主体!A$7:M$100,10,TRUE)</f>
        <v>0</v>
      </c>
      <c r="K89" s="1595">
        <f>VLOOKUP(N89,芳村唯品会主体!A$7:M$100,8,TRUE)</f>
        <v>346860.5</v>
      </c>
      <c r="L89" s="1595"/>
      <c r="M89" s="1595" t="s">
        <v>5092</v>
      </c>
      <c r="N89" s="1597">
        <v>43000</v>
      </c>
    </row>
    <row r="90" spans="1:14" ht="199.5">
      <c r="A90" s="1595" t="str">
        <f>唯品会!B$2</f>
        <v>中建三局第二建设工程有限责任公司</v>
      </c>
      <c r="B90" s="1598" t="s">
        <v>106</v>
      </c>
      <c r="C90" s="1595" t="s">
        <v>5093</v>
      </c>
      <c r="D90" s="1595" t="str">
        <f>唯品会!J$1</f>
        <v xml:space="preserve">C15 225 C20 235 C25 245 C30 255 C35 270 C40 285 </v>
      </c>
      <c r="E90" s="1595">
        <f>VLOOKUP(N90,唯品会!A$7:M$73,4)</f>
        <v>20297</v>
      </c>
      <c r="F90" s="1595">
        <f>VLOOKUP(N90,唯品会!A$7:M$73,5)</f>
        <v>5328949.49</v>
      </c>
      <c r="G90" s="1595" t="s">
        <v>5091</v>
      </c>
      <c r="H90" s="1596">
        <f t="shared" si="3"/>
        <v>1</v>
      </c>
      <c r="I90" s="1595">
        <f>VLOOKUP(N90,唯品会!A$7:M$73,11,TRUE)</f>
        <v>0</v>
      </c>
      <c r="J90" s="1595">
        <f>VLOOKUP(N90,唯品会!A$7:M$100,10,TRUE)</f>
        <v>5328949.49</v>
      </c>
      <c r="K90" s="1595">
        <f>VLOOKUP(N90,唯品会!A$7:M$100,8,TRUE)</f>
        <v>1701369.5970000001</v>
      </c>
      <c r="L90" s="1595">
        <v>2017.1</v>
      </c>
      <c r="M90" s="1595" t="s">
        <v>5094</v>
      </c>
      <c r="N90" s="1597">
        <v>43000</v>
      </c>
    </row>
    <row r="91" spans="1:14" ht="71.25">
      <c r="A91" s="1595" t="str">
        <f>星河湾!B$2</f>
        <v>广东省基础工程集团有限公司</v>
      </c>
      <c r="B91" s="1598" t="s">
        <v>107</v>
      </c>
      <c r="C91" s="1595" t="s">
        <v>5044</v>
      </c>
      <c r="D91" s="1595" t="str">
        <f>星河湾!J$1</f>
        <v>C15 215 C20 225 C25 235 C30 245 C35 260 C40 275 C45 295 从2016年12月12日起上调40元；C30 285</v>
      </c>
      <c r="E91" s="1595">
        <f>VLOOKUP(N91,星河湾!A$7:M$73,4)</f>
        <v>11999</v>
      </c>
      <c r="F91" s="1595">
        <f>VLOOKUP(N91,星河湾!A$7:M$73,5)</f>
        <v>3509092.47</v>
      </c>
      <c r="G91" s="1595" t="s">
        <v>5095</v>
      </c>
      <c r="H91" s="1596">
        <f t="shared" si="3"/>
        <v>0.83795185294721342</v>
      </c>
      <c r="I91" s="1595">
        <f>VLOOKUP(N91,星河湾!A$7:M$73,11,TRUE)</f>
        <v>472542.723</v>
      </c>
      <c r="J91" s="1595">
        <f>VLOOKUP(N91,星河湾!A$7:M$100,10,TRUE)</f>
        <v>2443521</v>
      </c>
      <c r="K91" s="1595">
        <f>VLOOKUP(N91,星河湾!A$7:M$100,8,TRUE)</f>
        <v>91363.453999999998</v>
      </c>
      <c r="L91" s="1595">
        <v>2017.2</v>
      </c>
      <c r="M91" s="1595"/>
      <c r="N91" s="1597">
        <v>43000</v>
      </c>
    </row>
    <row r="92" spans="1:14" ht="42.75">
      <c r="A92" s="1595" t="str">
        <f>芳村唯品会!B$2</f>
        <v>四川中宇建设有限公司</v>
      </c>
      <c r="B92" s="1595" t="s">
        <v>108</v>
      </c>
      <c r="C92" s="1595" t="s">
        <v>5047</v>
      </c>
      <c r="D92" s="1595" t="str">
        <f>芳村唯品会!J$1</f>
        <v xml:space="preserve">C15：245 C20：255  C25：265  C30：275       C35：290 C40：305 C45：325  C50：345 C55：370 C60：400 从7.15起上调20元 C30 295 从2016年7月15日起上调20元 C30 295 </v>
      </c>
      <c r="E92" s="1595">
        <f>VLOOKUP(N92,芳村唯品会!A$7:M$73,4)</f>
        <v>1367</v>
      </c>
      <c r="F92" s="1595">
        <f>VLOOKUP(N92,芳村唯品会!A$7:M$73,5)</f>
        <v>395408.69</v>
      </c>
      <c r="G92" s="1595" t="s">
        <v>5096</v>
      </c>
      <c r="H92" s="1596">
        <f t="shared" si="3"/>
        <v>0</v>
      </c>
      <c r="I92" s="1595">
        <f>VLOOKUP(N92,芳村唯品会!A$7:M$73,11,TRUE)</f>
        <v>370588.95199999999</v>
      </c>
      <c r="J92" s="1595">
        <f>VLOOKUP(N92,芳村唯品会!A$7:M$100,10,TRUE)</f>
        <v>0</v>
      </c>
      <c r="K92" s="1595">
        <f>VLOOKUP(N92,芳村唯品会!A$7:M$100,8,TRUE)</f>
        <v>112926.952</v>
      </c>
      <c r="L92" s="1595"/>
      <c r="M92" s="1595"/>
      <c r="N92" s="1597">
        <v>43000</v>
      </c>
    </row>
    <row r="93" spans="1:14" ht="28.5">
      <c r="A93" s="1609" t="s">
        <v>5097</v>
      </c>
      <c r="B93" s="1609" t="s">
        <v>5098</v>
      </c>
      <c r="C93" s="1609" t="s">
        <v>5047</v>
      </c>
      <c r="D93" s="1609" t="s">
        <v>5099</v>
      </c>
      <c r="E93" s="1609">
        <v>2198</v>
      </c>
      <c r="F93" s="1609">
        <v>568030</v>
      </c>
      <c r="G93" s="1609" t="s">
        <v>1816</v>
      </c>
      <c r="H93" s="1610" t="e">
        <f t="shared" si="3"/>
        <v>#DIV/0!</v>
      </c>
      <c r="I93" s="1609">
        <v>0</v>
      </c>
      <c r="J93" s="1609">
        <v>0</v>
      </c>
      <c r="K93" s="1609">
        <v>0</v>
      </c>
      <c r="L93" s="1609"/>
      <c r="M93" s="1609" t="s">
        <v>5051</v>
      </c>
      <c r="N93" s="1597">
        <v>43000</v>
      </c>
    </row>
    <row r="94" spans="1:14">
      <c r="A94" s="1595"/>
      <c r="B94" s="1595"/>
      <c r="C94" s="1595"/>
      <c r="D94" s="1595"/>
      <c r="E94" s="1595"/>
      <c r="F94" s="1595"/>
      <c r="G94" s="1595"/>
      <c r="H94" s="1596"/>
      <c r="I94" s="1595"/>
      <c r="J94" s="1595"/>
      <c r="K94" s="1595"/>
      <c r="L94" s="1595"/>
      <c r="M94" s="1594"/>
      <c r="N94" s="1597"/>
    </row>
    <row r="95" spans="1:14">
      <c r="A95" s="1632" t="s">
        <v>5100</v>
      </c>
      <c r="B95" s="1632"/>
      <c r="C95" s="1632"/>
      <c r="D95" s="1632"/>
      <c r="E95" s="1632"/>
      <c r="F95" s="1632"/>
      <c r="G95" s="1632"/>
      <c r="H95" s="1632"/>
      <c r="I95" s="1632"/>
      <c r="J95" s="1632"/>
      <c r="K95" s="1632"/>
      <c r="L95" s="1632"/>
      <c r="M95" s="1632"/>
      <c r="N95" s="1632"/>
    </row>
    <row r="96" spans="1:14" ht="28.5">
      <c r="A96" s="1595" t="s">
        <v>240</v>
      </c>
      <c r="B96" s="1595" t="s">
        <v>4960</v>
      </c>
      <c r="C96" s="1595" t="s">
        <v>4961</v>
      </c>
      <c r="D96" s="1595" t="s">
        <v>4962</v>
      </c>
      <c r="E96" s="1595" t="s">
        <v>4963</v>
      </c>
      <c r="F96" s="1595" t="s">
        <v>4964</v>
      </c>
      <c r="G96" s="1595" t="s">
        <v>4965</v>
      </c>
      <c r="H96" s="1596" t="s">
        <v>4966</v>
      </c>
      <c r="I96" s="1595" t="s">
        <v>4967</v>
      </c>
      <c r="J96" s="1595" t="s">
        <v>4968</v>
      </c>
      <c r="K96" s="1595" t="s">
        <v>4969</v>
      </c>
      <c r="L96" s="1595" t="s">
        <v>4970</v>
      </c>
      <c r="M96" s="1594" t="s">
        <v>278</v>
      </c>
      <c r="N96" s="1597" t="s">
        <v>4755</v>
      </c>
    </row>
    <row r="97" spans="1:14" ht="71.25">
      <c r="A97" s="1595" t="str">
        <f>省人民医院!B$2</f>
        <v>汕头市建安（集团）公司广州公司</v>
      </c>
      <c r="B97" s="1595" t="s">
        <v>118</v>
      </c>
      <c r="C97" s="1595" t="s">
        <v>5101</v>
      </c>
      <c r="D97" s="1595" t="str">
        <f>省人民医院!I$1</f>
        <v>C15:220  C20:230  C25:240  C30:250  C35:260  C40:275  C45:290  C50:310  C55:330  C60:360  2011年9月20日上调6元，2012年8月1日下调6元，2012年10月25日上调10元，2013年3月1日下调3元，2013年8月1日上调6元，2013年10月10日上调55元，C30：318元，</v>
      </c>
      <c r="E97" s="1595">
        <f>VLOOKUP(N97,省人民医院!A$7:M$73,4)</f>
        <v>27909</v>
      </c>
      <c r="F97" s="1595">
        <f>VLOOKUP(N97,省人民医院!A$7:M$73,5)</f>
        <v>7745198.5</v>
      </c>
      <c r="G97" s="1595" t="s">
        <v>4957</v>
      </c>
      <c r="H97" s="1596">
        <f t="shared" ref="H97:H110" si="4">J97/(I97+J97)</f>
        <v>0.99845058845167101</v>
      </c>
      <c r="I97" s="1595">
        <f>VLOOKUP(N97,省人民医院!A$7:M$73,11,TRUE)</f>
        <v>12000.5</v>
      </c>
      <c r="J97" s="1595">
        <f>VLOOKUP(N97,省人民医院!A$7:M$100,10,TRUE)</f>
        <v>7733198</v>
      </c>
      <c r="K97" s="1595">
        <f>VLOOKUP(N97,省人民医院!A$7:M$100,8,TRUE)</f>
        <v>0</v>
      </c>
      <c r="L97" s="1595">
        <v>2016.1</v>
      </c>
      <c r="M97" s="1594" t="s">
        <v>5102</v>
      </c>
      <c r="N97" s="1597">
        <v>43000</v>
      </c>
    </row>
    <row r="98" spans="1:14" ht="71.25">
      <c r="A98" s="1595" t="str">
        <f>大塘商业中心!B$2</f>
        <v>广州市恒盛建设工程有限公司</v>
      </c>
      <c r="B98" s="1595" t="s">
        <v>119</v>
      </c>
      <c r="C98" s="1595" t="s">
        <v>5103</v>
      </c>
      <c r="D98" s="1595" t="str">
        <f>大塘商业中心!J$1</f>
        <v>C10:230  C15:240  C20:250  C25:260  C30:270  C35:280  C40:295  C45:310 C50:330  C55:350  C60:380 ，2013年8月18日上调5元（调价函未确认），2013年10月7日上调60元，2013年12月1日下调5元，C30：330元/m3 ; （从2016年5月1日起下调50元，C30 280）</v>
      </c>
      <c r="E98" s="1595">
        <f>VLOOKUP(N98,大塘商业中心!A$7:M$73,4)</f>
        <v>53770.5</v>
      </c>
      <c r="F98" s="1595">
        <f>VLOOKUP(N98,大塘商业中心!A$7:M$73,5)</f>
        <v>17321105</v>
      </c>
      <c r="G98" s="1595" t="s">
        <v>4957</v>
      </c>
      <c r="H98" s="1596">
        <f t="shared" si="4"/>
        <v>0.94650826260795717</v>
      </c>
      <c r="I98" s="1595">
        <f>VLOOKUP(N98,大塘商业中心!A$7:M$73,11,TRUE)</f>
        <v>926536</v>
      </c>
      <c r="J98" s="1595">
        <f>VLOOKUP(N98,大塘商业中心!A$7:M$100,10,TRUE)</f>
        <v>16394569</v>
      </c>
      <c r="K98" s="1595">
        <f>VLOOKUP(N98,大塘商业中心!A$7:M$100,8,TRUE)</f>
        <v>40430</v>
      </c>
      <c r="L98" s="1595">
        <v>2017.1</v>
      </c>
      <c r="M98" s="1594"/>
      <c r="N98" s="1597">
        <v>43000</v>
      </c>
    </row>
    <row r="99" spans="1:14" ht="28.5">
      <c r="A99" s="1595" t="str">
        <f>茂达天骄时代!B$2</f>
        <v>广州卓东房地产开发有限公司</v>
      </c>
      <c r="B99" s="1595" t="s">
        <v>120</v>
      </c>
      <c r="C99" s="1595" t="s">
        <v>5104</v>
      </c>
      <c r="D99" s="1595" t="str">
        <f>茂达天骄时代!J$1</f>
        <v>C15：285  C20：298 C25;307 C30:320  C35;333 C40;351 C45：364 C50：381  C55：403 C60;425 砂浆：395</v>
      </c>
      <c r="E99" s="1595">
        <f>VLOOKUP(N99,茂达天骄时代!A$7:M$73,4)</f>
        <v>32367</v>
      </c>
      <c r="F99" s="1595">
        <f>VLOOKUP(N99,茂达天骄时代!A$7:M$73,5)</f>
        <v>10603386</v>
      </c>
      <c r="G99" s="1595" t="s">
        <v>4989</v>
      </c>
      <c r="H99" s="1596">
        <f t="shared" si="4"/>
        <v>0.97669015340726928</v>
      </c>
      <c r="I99" s="1595">
        <f>VLOOKUP(N99,茂达天骄时代!A$7:M$73,11,TRUE)</f>
        <v>253048</v>
      </c>
      <c r="J99" s="1595">
        <f>VLOOKUP(N99,茂达天骄时代!A$7:M$100,10,TRUE)</f>
        <v>10602793.5</v>
      </c>
      <c r="K99" s="1595">
        <f>VLOOKUP(N99,茂达天骄时代!A$7:M$100,8,TRUE)</f>
        <v>252455.5</v>
      </c>
      <c r="L99" s="1595">
        <v>2017.3</v>
      </c>
      <c r="M99" s="1594" t="s">
        <v>2953</v>
      </c>
      <c r="N99" s="1597">
        <v>43000</v>
      </c>
    </row>
    <row r="100" spans="1:14" ht="85.5">
      <c r="A100" s="1595" t="str">
        <f>哥弟总部!B$2</f>
        <v>广东琼盛建设工程有限公司</v>
      </c>
      <c r="B100" s="1595" t="s">
        <v>121</v>
      </c>
      <c r="C100" s="1595" t="s">
        <v>5105</v>
      </c>
      <c r="D100" s="1595" t="str">
        <f>哥弟总部!J$1</f>
        <v>C10:265  C15:275  C20:285  C25:295  C30:305  C35:320 C40:335  C45:350 C50:370  C55:390 C60:420  砂浆420 2015年3月20上调15元，2015年4月5日上调15元 ；从2015年8月20日下调5元/方；从2016年1月20日下调15元；（未回）</v>
      </c>
      <c r="E100" s="1595">
        <f>VLOOKUP(N100,哥弟总部!A$7:M$73,4)</f>
        <v>32693</v>
      </c>
      <c r="F100" s="1595">
        <f>VLOOKUP(N100,哥弟总部!A$7:M$73,5)</f>
        <v>11964117.5</v>
      </c>
      <c r="G100" s="1595" t="s">
        <v>5106</v>
      </c>
      <c r="H100" s="1596">
        <f t="shared" si="4"/>
        <v>0.84292368409120022</v>
      </c>
      <c r="I100" s="1595">
        <f>VLOOKUP(N100,哥弟总部!A$7:M$73,11,TRUE)</f>
        <v>1879279.5</v>
      </c>
      <c r="J100" s="1595">
        <f>VLOOKUP(N100,哥弟总部!A$7:M$100,10,TRUE)</f>
        <v>10084838</v>
      </c>
      <c r="K100" s="1595">
        <f>VLOOKUP(N100,哥弟总部!A$7:M$100,8,TRUE)</f>
        <v>2392823.5</v>
      </c>
      <c r="L100" s="1595">
        <v>2017.4</v>
      </c>
      <c r="M100" s="1594" t="s">
        <v>5107</v>
      </c>
      <c r="N100" s="1597">
        <v>43000</v>
      </c>
    </row>
    <row r="101" spans="1:14" ht="114">
      <c r="A101" s="1595" t="str">
        <f>'涛景国际 '!B$2</f>
        <v>广东省八建集团有限公司</v>
      </c>
      <c r="B101" s="1595" t="s">
        <v>122</v>
      </c>
      <c r="C101" s="1595" t="s">
        <v>5108</v>
      </c>
      <c r="D101" s="1595" t="str">
        <f>'涛景国际 '!J$1</f>
        <v>C15:276 C20：287 C25：298 C30：305 C35：320 C40：335 C45：346 C50：361 C5：383 C60：398 砂浆420  从2014年11月1日起固定单价C15:276 C20：287 C25：298 C30：305 C35：320 C40：335 C45：346 C50：361 C55：383 C60：398 砂浆420 ；从2015年9月1日起下调10元/方 C30 295；从2016年1月1日起下调10元；C30 285 砂浆420 ；C65在C60基础上增加80元/方；2016年12月10日起上调30元；C30 315 从2017年3月1日起下调10元；C30 305元；</v>
      </c>
      <c r="E101" s="1595">
        <f>VLOOKUP(N101,'涛景国际 '!A$7:M$73,4)</f>
        <v>147944.6</v>
      </c>
      <c r="F101" s="1595">
        <f>VLOOKUP(N101,'涛景国际 '!A$7:M$73,5)</f>
        <v>48117251.899999999</v>
      </c>
      <c r="G101" s="1595" t="s">
        <v>4989</v>
      </c>
      <c r="H101" s="1596">
        <f t="shared" si="4"/>
        <v>0.92275992220578162</v>
      </c>
      <c r="I101" s="1595">
        <f>VLOOKUP(N101,'涛景国际 '!A$7:M$73,11,TRUE)</f>
        <v>3716580.2800000012</v>
      </c>
      <c r="J101" s="1595">
        <f>VLOOKUP(N101,'涛景国际 '!A$7:M$100,10,TRUE)</f>
        <v>44400671.620000005</v>
      </c>
      <c r="K101" s="1595">
        <f>VLOOKUP(N101,'涛景国际 '!A$7:M$100,8,TRUE)</f>
        <v>111925</v>
      </c>
      <c r="L101" s="1595">
        <v>2017.3</v>
      </c>
      <c r="M101" s="1594" t="s">
        <v>5109</v>
      </c>
      <c r="N101" s="1597">
        <v>43000</v>
      </c>
    </row>
    <row r="102" spans="1:14" ht="42.75">
      <c r="A102" s="1595" t="str">
        <f>南方医院!B$2</f>
        <v xml:space="preserve"> 湛江市粤西建筑工程公司</v>
      </c>
      <c r="B102" s="1595" t="s">
        <v>123</v>
      </c>
      <c r="C102" s="1595" t="s">
        <v>5027</v>
      </c>
      <c r="D102" s="1595" t="str">
        <f>南方医院!J$1</f>
        <v xml:space="preserve">C15：240 C20：252 C25：261 C30：270 C35;284 C40;298 C45;312 C50;325 C55:346 C60:364 砂浆：350 从2016年12月15日上调50元；C30 320 </v>
      </c>
      <c r="E102" s="1595">
        <f>VLOOKUP(N102,南方医院!A$7:M$73,4)</f>
        <v>32506</v>
      </c>
      <c r="F102" s="1595">
        <f>VLOOKUP(N102,南方医院!A$7:M$73,5)</f>
        <v>9093334.5</v>
      </c>
      <c r="G102" s="1595" t="s">
        <v>5110</v>
      </c>
      <c r="H102" s="1596">
        <f t="shared" si="4"/>
        <v>1</v>
      </c>
      <c r="I102" s="1595">
        <f>VLOOKUP(N102,南方医院!A$7:M$73,11,TRUE)</f>
        <v>0</v>
      </c>
      <c r="J102" s="1595">
        <f>VLOOKUP(N102,南方医院!A$7:M$100,10,TRUE)</f>
        <v>8507102.5</v>
      </c>
      <c r="K102" s="1595">
        <f>VLOOKUP(N102,南方医院!A$7:M$100,8,TRUE)</f>
        <v>88370</v>
      </c>
      <c r="L102" s="1595">
        <v>2017.4</v>
      </c>
      <c r="M102" s="1594"/>
      <c r="N102" s="1597">
        <v>43000</v>
      </c>
    </row>
    <row r="103" spans="1:14" ht="57">
      <c r="A103" s="1595" t="str">
        <f>'侨建 大厦'!B$2</f>
        <v>湛江市粤西建筑工程公司</v>
      </c>
      <c r="B103" s="1595" t="s">
        <v>199</v>
      </c>
      <c r="C103" s="1595" t="s">
        <v>5111</v>
      </c>
      <c r="D103" s="1595" t="str">
        <f>'侨建 大厦'!J$1</f>
        <v>C15：246.75 C20：255.75 C25：262.5 C30：269.25 C35;279.75 C40;290.25 C45;300.75 C50;310.5 C55:326.25 C60:339.75 从2016年12月17日至2017年1月27日止 C30 295元；</v>
      </c>
      <c r="E103" s="1595">
        <f>VLOOKUP(N103,'侨建 大厦'!A$7:M$73,4)</f>
        <v>30719.5</v>
      </c>
      <c r="F103" s="1595">
        <f>VLOOKUP(N103,'侨建 大厦'!A$7:M$73,5)</f>
        <v>8852971.6400000006</v>
      </c>
      <c r="G103" s="1595" t="s">
        <v>5112</v>
      </c>
      <c r="H103" s="1596">
        <f t="shared" si="4"/>
        <v>0.86855376996772671</v>
      </c>
      <c r="I103" s="1595">
        <f>VLOOKUP(N103,'侨建 大厦'!A$7:M$73,11,TRUE)</f>
        <v>590016.28999999969</v>
      </c>
      <c r="J103" s="1595">
        <f>VLOOKUP(N103,侨建大厦!A$7:M$100,10,TRUE)</f>
        <v>3898635</v>
      </c>
      <c r="K103" s="1595">
        <f>VLOOKUP(N103,侨建大厦!A$7:M$100,8,TRUE)</f>
        <v>57622.5</v>
      </c>
      <c r="L103" s="1595">
        <v>2017.4</v>
      </c>
      <c r="M103" s="1594" t="s">
        <v>3071</v>
      </c>
      <c r="N103" s="1597">
        <v>43000</v>
      </c>
    </row>
    <row r="104" spans="1:14" ht="42.75">
      <c r="A104" s="1595" t="str">
        <f>盛邦大厦!B$2</f>
        <v>裕达建工集团有限公司</v>
      </c>
      <c r="B104" s="1595" t="s">
        <v>125</v>
      </c>
      <c r="C104" s="1595" t="s">
        <v>5113</v>
      </c>
      <c r="D104" s="1595" t="str">
        <f>盛邦大厦!J$1</f>
        <v>C10：233 C15：233 C20：243 C25：253  C30：263 C35;278 C40;293  C45;313 C50;338 C55:368  C60:403 砂浆 418从2016年7月20日上调15元/方；C30 278 (砂浆也一起上调）</v>
      </c>
      <c r="E104" s="1595">
        <f>VLOOKUP(N104,盛邦大厦!A$7:M$73,4)</f>
        <v>30631</v>
      </c>
      <c r="F104" s="1595">
        <f>VLOOKUP(N104,盛邦大厦!A$7:M$73,5)</f>
        <v>9820061.5</v>
      </c>
      <c r="G104" s="1595" t="s">
        <v>5114</v>
      </c>
      <c r="H104" s="1596">
        <f t="shared" si="4"/>
        <v>0.50916178070778884</v>
      </c>
      <c r="I104" s="1595">
        <f>VLOOKUP(N104,盛邦大厦!A$7:M$73,11,TRUE)</f>
        <v>4820061.5</v>
      </c>
      <c r="J104" s="1595">
        <f>VLOOKUP(N104,盛邦大厦!A$7:M$100,10,TRUE)</f>
        <v>5000000</v>
      </c>
      <c r="K104" s="1595">
        <f>VLOOKUP(N104,盛邦大厦!A$7:M$100,8,TRUE)</f>
        <v>0</v>
      </c>
      <c r="L104" s="1595">
        <v>2017.1</v>
      </c>
      <c r="M104" s="1594" t="s">
        <v>5115</v>
      </c>
      <c r="N104" s="1597">
        <v>43000</v>
      </c>
    </row>
    <row r="105" spans="1:14" ht="42.75">
      <c r="A105" s="1595" t="str">
        <f>海航酒店!B$2</f>
        <v>天津住宅集团建设工程总承包有限公司</v>
      </c>
      <c r="B105" s="1595" t="s">
        <v>129</v>
      </c>
      <c r="C105" s="1595" t="s">
        <v>5116</v>
      </c>
      <c r="D105" s="1595" t="str">
        <f>海航酒店!J$1</f>
        <v>C15 252 C20 262 C25 272 C30 282 C35 297 C40 312 C45 332 C50 357从2016年10月20日起上调15元；297 从2016年12月12日至2017年1月31日上调40元；C30 322；</v>
      </c>
      <c r="E105" s="1595">
        <f>VLOOKUP(N105,海航酒店!A$7:M$73,4)</f>
        <v>980.5</v>
      </c>
      <c r="F105" s="1595">
        <f>VLOOKUP(N105,海航酒店!A$7:M$73,5)</f>
        <v>301751</v>
      </c>
      <c r="G105" s="1595" t="s">
        <v>5012</v>
      </c>
      <c r="H105" s="1596">
        <f t="shared" si="4"/>
        <v>0.48775516525725615</v>
      </c>
      <c r="I105" s="1595">
        <f>VLOOKUP(N105,海航酒店!A$7:M$73,11,TRUE)</f>
        <v>82684</v>
      </c>
      <c r="J105" s="1595">
        <f>VLOOKUP(N105,海航酒店!A$7:M$100,10,TRUE)</f>
        <v>78731</v>
      </c>
      <c r="K105" s="1595">
        <f>VLOOKUP(N105,海航酒店!A$7:M$100,8,TRUE)</f>
        <v>66544</v>
      </c>
      <c r="L105" s="1595">
        <v>2017.2</v>
      </c>
      <c r="M105" s="1594" t="s">
        <v>5117</v>
      </c>
      <c r="N105" s="1597">
        <v>43000</v>
      </c>
    </row>
    <row r="106" spans="1:14" ht="57">
      <c r="A106" s="1595" t="str">
        <f>慧源山庄!B$2</f>
        <v>湛江市粤西建筑工程公司</v>
      </c>
      <c r="B106" s="1595" t="s">
        <v>132</v>
      </c>
      <c r="C106" s="1595" t="s">
        <v>5118</v>
      </c>
      <c r="D106" s="1595" t="str">
        <f>慧源山庄!J$1</f>
        <v>C15 225 C20 235 C25 245 C30 255 C35 270 C40 285 C45 305 C50 330 C55 360 C60 395 从2016年2016年12月15日至2017年1月25日上调40元；C30 295</v>
      </c>
      <c r="E106" s="1595">
        <f>VLOOKUP(N106,慧源山庄!A$7:M$73,4)</f>
        <v>13319</v>
      </c>
      <c r="F106" s="1595">
        <f>VLOOKUP(N106,慧源山庄!A$7:M$73,5)</f>
        <v>3873013</v>
      </c>
      <c r="G106" s="1595" t="s">
        <v>5119</v>
      </c>
      <c r="H106" s="1596">
        <f t="shared" si="4"/>
        <v>0.77459073852837568</v>
      </c>
      <c r="I106" s="1595">
        <f>VLOOKUP(N106,慧源山庄!A$7:M$73,11,TRUE)</f>
        <v>873013</v>
      </c>
      <c r="J106" s="1595">
        <f>VLOOKUP(N106,慧源山庄!A$7:M$100,10,TRUE)</f>
        <v>3000000</v>
      </c>
      <c r="K106" s="1595">
        <f>VLOOKUP(N106,慧源山庄!A$7:M$100,8,TRUE)</f>
        <v>0</v>
      </c>
      <c r="L106" s="1595">
        <v>2018.2</v>
      </c>
      <c r="M106" s="1594" t="s">
        <v>5120</v>
      </c>
      <c r="N106" s="1597">
        <v>43000</v>
      </c>
    </row>
    <row r="107" spans="1:14">
      <c r="A107" s="1595" t="str">
        <f>时代天骄广场!B$2</f>
        <v>湛江市粤西建筑工程公司</v>
      </c>
      <c r="B107" s="1595" t="s">
        <v>133</v>
      </c>
      <c r="C107" s="1595" t="s">
        <v>5050</v>
      </c>
      <c r="D107" s="1595">
        <f>时代天骄广场!J$1</f>
        <v>0</v>
      </c>
      <c r="E107" s="1595">
        <f>VLOOKUP(N107,时代天骄广场!A$7:M$73,4)</f>
        <v>7255.5</v>
      </c>
      <c r="F107" s="1595">
        <f>VLOOKUP(N107,时代天骄广场!A$7:M$73,5)</f>
        <v>2129423.25</v>
      </c>
      <c r="G107" s="1595" t="s">
        <v>5112</v>
      </c>
      <c r="H107" s="1596">
        <f t="shared" si="4"/>
        <v>1</v>
      </c>
      <c r="I107" s="1595">
        <f>VLOOKUP(N107,时代天骄广场!A$7:M$73,11,TRUE)</f>
        <v>0</v>
      </c>
      <c r="J107" s="1595">
        <f>VLOOKUP(N107,时代天骄广场!A$7:M$100,10,TRUE)</f>
        <v>1200000</v>
      </c>
      <c r="K107" s="1595">
        <f>VLOOKUP(N107,时代天骄广场!A$7:M$100,8,TRUE)</f>
        <v>0</v>
      </c>
      <c r="L107" s="1595"/>
      <c r="M107" s="1594" t="s">
        <v>5051</v>
      </c>
      <c r="N107" s="1597">
        <v>43000</v>
      </c>
    </row>
    <row r="108" spans="1:14" ht="28.5">
      <c r="A108" s="1595" t="str">
        <f>中岱国际品牌广场!B$2</f>
        <v>湛江市粤西建筑工程公司</v>
      </c>
      <c r="B108" s="1595" t="s">
        <v>134</v>
      </c>
      <c r="C108" s="1595" t="s">
        <v>5118</v>
      </c>
      <c r="D108" s="1595" t="str">
        <f>中岱国际品牌广场!J$1</f>
        <v xml:space="preserve">②C15 223 C20 229 C25 237 C30 244 C35 250 C40 260 C45 270 C50 280  C55 289 C60 304 C65 404 C70 454 </v>
      </c>
      <c r="E108" s="1595">
        <f>VLOOKUP(N108,中岱国际品牌广场!A$7:M$73,4)</f>
        <v>25790</v>
      </c>
      <c r="F108" s="1595">
        <f>VLOOKUP(N108,中岱国际品牌广场!A$7:M$73,5)</f>
        <v>8036580.3300000001</v>
      </c>
      <c r="G108" s="1595" t="s">
        <v>4957</v>
      </c>
      <c r="H108" s="1596" t="e">
        <f t="shared" si="4"/>
        <v>#DIV/0!</v>
      </c>
      <c r="I108" s="1595">
        <f>VLOOKUP(N108,中岱国际品牌广场!A$7:M$73,11,TRUE)</f>
        <v>-500000</v>
      </c>
      <c r="J108" s="1595">
        <f>VLOOKUP(N108,中岱国际品牌广场!A$7:M$100,10,TRUE)</f>
        <v>500000</v>
      </c>
      <c r="K108" s="1595">
        <f>VLOOKUP(N108,中岱国际品牌广场!A$7:M$100,8,TRUE)</f>
        <v>0</v>
      </c>
      <c r="L108" s="1595">
        <v>2017.2</v>
      </c>
      <c r="M108" s="1594"/>
      <c r="N108" s="1597">
        <v>43000</v>
      </c>
    </row>
    <row r="109" spans="1:14" ht="42.75">
      <c r="A109" s="1595" t="str">
        <f>科技楼!B$2</f>
        <v xml:space="preserve"> 广西壮族自治区冶金建设公司 </v>
      </c>
      <c r="B109" s="1595" t="s">
        <v>135</v>
      </c>
      <c r="C109" s="1595" t="s">
        <v>5118</v>
      </c>
      <c r="D109" s="1595" t="str">
        <f>科技楼!J$1</f>
        <v>C15 249 C20 259 C25 270 C30 280 C35 296 C40 312 C45 333 C50 359 C55 391 C60 336 2016年12月10日起上调30元；C30 310 从2017年3月1日起下调10元；C30 300元；</v>
      </c>
      <c r="E109" s="1595">
        <f>VLOOKUP(N109,科技楼!A$7:M$73,4)</f>
        <v>14983.5</v>
      </c>
      <c r="F109" s="1595">
        <f>VLOOKUP(N109,科技楼!A$7:M$73,5)</f>
        <v>5021143</v>
      </c>
      <c r="G109" s="1595" t="s">
        <v>5121</v>
      </c>
      <c r="H109" s="1596">
        <f t="shared" si="4"/>
        <v>0.56793337247665376</v>
      </c>
      <c r="I109" s="1595">
        <f>VLOOKUP(N109,科技楼!A$7:M$73,11,TRUE)</f>
        <v>1545329.5</v>
      </c>
      <c r="J109" s="1595">
        <f>VLOOKUP(N109,科技楼!A$7:M$100,10,TRUE)</f>
        <v>2031270.5</v>
      </c>
      <c r="K109" s="1595">
        <f>VLOOKUP(N109,科技楼!A$7:M$100,8,TRUE)</f>
        <v>1132359</v>
      </c>
      <c r="L109" s="1595"/>
      <c r="M109" s="1594" t="s">
        <v>5122</v>
      </c>
      <c r="N109" s="1597">
        <v>43000</v>
      </c>
    </row>
    <row r="110" spans="1:14" ht="42.75">
      <c r="A110" s="1595" t="str">
        <f>芳村高尔夫!B$2</f>
        <v>广州市第三建筑工程有限公司</v>
      </c>
      <c r="B110" s="1595" t="s">
        <v>136</v>
      </c>
      <c r="C110" s="1595" t="s">
        <v>5049</v>
      </c>
      <c r="D110" s="1595" t="str">
        <f>芳村高尔夫!J$1</f>
        <v xml:space="preserve">C15 240 C20 250 C25 260 C30 270 C35 280 C40 295 C45 315 C50 340 C55 370 C60 405 从2016年10月1日起上调10元；C30 280 从2016年12月10日起上调30元 C30 310 </v>
      </c>
      <c r="E110" s="1595">
        <f>VLOOKUP(N110,芳村高尔夫!A$7:M$73,4)</f>
        <v>6151</v>
      </c>
      <c r="F110" s="1595">
        <f>VLOOKUP(N110,芳村高尔夫!A$7:M$73,5)</f>
        <v>1803480</v>
      </c>
      <c r="G110" s="1595" t="s">
        <v>5123</v>
      </c>
      <c r="H110" s="1596">
        <f t="shared" si="4"/>
        <v>0.87317436289839645</v>
      </c>
      <c r="I110" s="1595">
        <f>VLOOKUP(N110,芳村高尔夫!A$7:M$73,11,TRUE)</f>
        <v>228727.5</v>
      </c>
      <c r="J110" s="1595">
        <f>VLOOKUP(N110,芳村高尔夫!A$7:M$100,10,TRUE)</f>
        <v>1574752.5</v>
      </c>
      <c r="K110" s="1595">
        <f>VLOOKUP(N110,芳村高尔夫!A$7:M$100,8,TRUE)</f>
        <v>0</v>
      </c>
      <c r="L110" s="1595">
        <v>2017.3</v>
      </c>
      <c r="M110" s="1594" t="s">
        <v>5124</v>
      </c>
      <c r="N110" s="1597">
        <v>43000</v>
      </c>
    </row>
    <row r="111" spans="1:14">
      <c r="A111" s="1595"/>
      <c r="B111" s="1595"/>
      <c r="C111" s="1595"/>
      <c r="D111" s="1595"/>
      <c r="E111" s="1595"/>
      <c r="F111" s="1595"/>
      <c r="G111" s="1595"/>
      <c r="H111" s="1596"/>
      <c r="I111" s="1595"/>
      <c r="J111" s="1595"/>
      <c r="K111" s="1595"/>
      <c r="L111" s="1595"/>
      <c r="M111" s="1594"/>
      <c r="N111" s="1594"/>
    </row>
    <row r="112" spans="1:14">
      <c r="A112" s="1632" t="s">
        <v>5125</v>
      </c>
      <c r="B112" s="1632"/>
      <c r="C112" s="1632"/>
      <c r="D112" s="1632"/>
      <c r="E112" s="1632"/>
      <c r="F112" s="1632"/>
      <c r="G112" s="1632"/>
      <c r="H112" s="1632"/>
      <c r="I112" s="1632"/>
      <c r="J112" s="1632"/>
      <c r="K112" s="1632"/>
      <c r="L112" s="1632"/>
      <c r="M112" s="1632"/>
      <c r="N112" s="1632"/>
    </row>
    <row r="113" spans="1:14" ht="28.5">
      <c r="A113" s="1595" t="s">
        <v>240</v>
      </c>
      <c r="B113" s="1595" t="s">
        <v>4960</v>
      </c>
      <c r="C113" s="1595" t="s">
        <v>4961</v>
      </c>
      <c r="D113" s="1595" t="s">
        <v>4962</v>
      </c>
      <c r="E113" s="1595" t="s">
        <v>4963</v>
      </c>
      <c r="F113" s="1595" t="s">
        <v>4964</v>
      </c>
      <c r="G113" s="1595" t="s">
        <v>4965</v>
      </c>
      <c r="H113" s="1596" t="s">
        <v>4966</v>
      </c>
      <c r="I113" s="1595" t="s">
        <v>4967</v>
      </c>
      <c r="J113" s="1595" t="s">
        <v>4968</v>
      </c>
      <c r="K113" s="1595" t="s">
        <v>4969</v>
      </c>
      <c r="L113" s="1595" t="s">
        <v>4970</v>
      </c>
      <c r="M113" s="1594" t="s">
        <v>278</v>
      </c>
      <c r="N113" s="1597" t="s">
        <v>4755</v>
      </c>
    </row>
    <row r="114" spans="1:14" ht="142.5">
      <c r="A114" s="1595" t="str">
        <f>杨箕村!B$2</f>
        <v>广州天力建筑工程有限公司</v>
      </c>
      <c r="B114" s="1595" t="s">
        <v>5126</v>
      </c>
      <c r="C114" s="1595" t="s">
        <v>5127</v>
      </c>
      <c r="D114" s="1595" t="str">
        <f>杨箕村!J$1</f>
        <v>C30：275元，包方：C30：280，2013年7月26日加价12元,2013年9月26日加8元，2013年10月1日上调30元，2013年10月12日上调35元，C30：360元2013年10月26日上调5元，C30：365元  2014年8月1起下调10元（在2013年12月12的基础上） C30:350元     砌筑/抹灰砂浆：283 从2015年8月1日起C10 280 C15 290 C20 300 C25 310 C30 320 C35 330 C40 345 C45 360 C50 375 C55 395 C60 42 C65 508 C70 598 C75 698 C80 788 砂浆 307 自密实 C60 475 C70 653 C80 853 不加灰（清水）C30以下15元/m3; C30 20元/m3；C35及以上加25元/M3</v>
      </c>
      <c r="E114" s="1595">
        <f>VLOOKUP(N114,杨箕村!A$7:M$56,4)</f>
        <v>258802</v>
      </c>
      <c r="F114" s="1595">
        <f>VLOOKUP(N114,杨箕村!A$7:M$56,5)</f>
        <v>99264145</v>
      </c>
      <c r="G114" s="1595" t="s">
        <v>5128</v>
      </c>
      <c r="H114" s="1596">
        <f t="shared" ref="H114:H131" si="5">J114/(I114+J114)</f>
        <v>0.99714678847256333</v>
      </c>
      <c r="I114" s="1595">
        <f>VLOOKUP(N114,杨箕村!A$7:M$56,11,TRUE)</f>
        <v>283224.54999999632</v>
      </c>
      <c r="J114" s="1595">
        <f>VLOOKUP(N114,杨箕村!A$7:M$100,10,TRUE)</f>
        <v>98981953.400000006</v>
      </c>
      <c r="K114" s="1595">
        <f>VLOOKUP(N114,杨箕村!A$7:M$100,8,TRUE)</f>
        <v>7250</v>
      </c>
      <c r="L114" s="1595">
        <v>2016.9</v>
      </c>
      <c r="M114" s="1594" t="s">
        <v>5129</v>
      </c>
      <c r="N114" s="1597">
        <v>43000</v>
      </c>
    </row>
    <row r="115" spans="1:14" ht="85.5">
      <c r="A115" s="1595" t="str">
        <f>杨箕村D栋!B$2</f>
        <v>广州天力建筑工程有限公司</v>
      </c>
      <c r="B115" s="1595" t="s">
        <v>5130</v>
      </c>
      <c r="C115" s="1595" t="s">
        <v>5131</v>
      </c>
      <c r="D115" s="1595" t="str">
        <f>杨箕村D栋!J$1</f>
        <v xml:space="preserve">C30：275元，包方：C30：280，2013年7月26日加价12元,2013年9月26日加8元，2013年10月1日上调30元，2013年10月12日上调35元，C30：360元2013年10月26日上调5元，C30：365元  2014年8月1起下调10元（在2013年12月12的基础上） C30:350元     砌筑/抹灰砂浆：283 </v>
      </c>
      <c r="E115" s="1595">
        <f>VLOOKUP(N115,杨箕村D栋!A$7:M$73,4)</f>
        <v>70521</v>
      </c>
      <c r="F115" s="1595">
        <f>VLOOKUP(N115,杨箕村D栋!A$7:M$73,5)</f>
        <v>27098952</v>
      </c>
      <c r="G115" s="1595" t="s">
        <v>5128</v>
      </c>
      <c r="H115" s="1596">
        <f t="shared" si="5"/>
        <v>0.74954541388713392</v>
      </c>
      <c r="I115" s="1595">
        <f>VLOOKUP(N115,杨箕村D栋!A$7:M$73,11,TRUE)</f>
        <v>6781581.8699999992</v>
      </c>
      <c r="J115" s="1595">
        <f>VLOOKUP(N115,杨箕村D栋!A$7:M$100,10,TRUE)</f>
        <v>20295510.130000003</v>
      </c>
      <c r="K115" s="1595">
        <f>VLOOKUP(N115,杨箕村D栋!A$7:M$100,8,TRUE)</f>
        <v>42820</v>
      </c>
      <c r="L115" s="1595"/>
      <c r="M115" s="1594" t="s">
        <v>5132</v>
      </c>
      <c r="N115" s="1597">
        <v>43000</v>
      </c>
    </row>
    <row r="116" spans="1:14" ht="85.5">
      <c r="A116" s="1595" t="str">
        <f>富力海珠城!B$2</f>
        <v>广州天力建筑工程有限公司</v>
      </c>
      <c r="B116" s="1595" t="s">
        <v>144</v>
      </c>
      <c r="C116" s="1595" t="s">
        <v>5133</v>
      </c>
      <c r="D116" s="1595">
        <f>富力海珠城!J$1</f>
        <v>0</v>
      </c>
      <c r="E116" s="1595">
        <f>VLOOKUP(N116,富力海珠城!A$7:M$73,4)</f>
        <v>66127</v>
      </c>
      <c r="F116" s="1595">
        <f>VLOOKUP(N116,富力海珠城!A$7:M$73,5)</f>
        <v>23353507.5</v>
      </c>
      <c r="G116" s="1595" t="s">
        <v>5128</v>
      </c>
      <c r="H116" s="1596">
        <f t="shared" si="5"/>
        <v>0.98346637479311627</v>
      </c>
      <c r="I116" s="1595">
        <f>VLOOKUP(N116,富力海珠城!A$7:M$73,11,TRUE)</f>
        <v>367398.84999999916</v>
      </c>
      <c r="J116" s="1595">
        <f>VLOOKUP(N116,富力海珠城!A$7:M$100,10,TRUE)</f>
        <v>21853913.5</v>
      </c>
      <c r="K116" s="1595">
        <f>VLOOKUP(N116,富力海珠城!A$7:M$100,8,TRUE)</f>
        <v>9450</v>
      </c>
      <c r="L116" s="1595">
        <v>2015.6</v>
      </c>
      <c r="M116" s="1594" t="s">
        <v>5129</v>
      </c>
      <c r="N116" s="1597">
        <v>43000</v>
      </c>
    </row>
    <row r="117" spans="1:14" ht="228">
      <c r="A117" s="1595" t="str">
        <f>天力金沙洲保障房!B$2</f>
        <v>广州天力建筑工程有限公司</v>
      </c>
      <c r="B117" s="1595" t="s">
        <v>145</v>
      </c>
      <c r="C117" s="1595" t="s">
        <v>5134</v>
      </c>
      <c r="D117" s="1595" t="str">
        <f>天力金沙洲保障房!J$1</f>
        <v>C10：310 C15：320 C20：330 C25：340 C30：350 C35：365 C40：380 C45：395 C50：415 C55：435 C60：465 砂浆：332   从2014年8月1起下调10元；C10：280 C15：290 C20：300 C25：310 C30：320 C35：330 C40：345 C45：360 C50：375 C55：395 C60：420 C65：508 C70：598 砂浆 307 自密实C60 475 C70 653 C80 853 C75 698 C80 788从2015年11月25日起C30 295 从2016年3月1日起C30 275 通泵砂浆 252（按图包方单价）C30 265 通泵砂浆 252（按实结算）从2016年3月26日起C30 265(按实结算）C30 275(按图包方单价）从2016年8月16日起上调20元；C30 285(按实结算）C30 295(按包方结算）从2016年12月17日至12月20日起C30 315 (按实结算）C30 325(按包方结算）从2016年12月20日至12月21日起C30 335 (按实结算）C30 345(按包方结算）从2016年12月21日至24日起C30 335 (按实结算）C30 345(按包方结算）从2016年12月29日至1月10日起C30 335 (按实结算）C30 345(按包方结算）</v>
      </c>
      <c r="E117" s="1595">
        <f>VLOOKUP(N117,天力金沙洲保障房!A$7:M$52,4)</f>
        <v>159384</v>
      </c>
      <c r="F117" s="1595">
        <f>VLOOKUP(N117,天力金沙洲保障房!A$7:M$52,5)</f>
        <v>51799880</v>
      </c>
      <c r="G117" s="1595" t="s">
        <v>5135</v>
      </c>
      <c r="H117" s="1596">
        <f t="shared" si="5"/>
        <v>0.92444418566751507</v>
      </c>
      <c r="I117" s="1595">
        <f>VLOOKUP(N117,天力金沙洲保障房!A$7:M$52,11,TRUE)</f>
        <v>4214789</v>
      </c>
      <c r="J117" s="1595">
        <f>VLOOKUP(N117,天力金沙洲保障房!A$7:M$58,10,TRUE)</f>
        <v>51568992</v>
      </c>
      <c r="K117" s="1595">
        <f>VLOOKUP(N117,天力金沙洲保障房!A$7:M$58,8,TRUE)</f>
        <v>0</v>
      </c>
      <c r="L117" s="1595">
        <v>2017.2</v>
      </c>
      <c r="M117" s="1594"/>
      <c r="N117" s="1597">
        <v>43000</v>
      </c>
    </row>
    <row r="118" spans="1:14" ht="142.5">
      <c r="A118" s="1595" t="str">
        <f>金沙洲商业用房!B$2</f>
        <v>商业用房（属天力金沙洲保障房</v>
      </c>
      <c r="B118" s="1595" t="s">
        <v>5136</v>
      </c>
      <c r="C118" s="1595" t="s">
        <v>5137</v>
      </c>
      <c r="D118" s="1595" t="str">
        <f>金沙洲商业用房!J$1</f>
        <v>C10：310 C15：320 C20：330 C25：340 C30：350 C35：365 C40：380 C45：395 C50：415 C55：435 C60：465 砂浆：332   从2014年8月1起下调10元；从2015年11月25日起C30 295 从2016年3月1日起C30 275 通泵砂浆 252（按图包方单价）C30 265 通泵砂浆 252（按实结算）从2016年3月26日起C30 265(按实结算）C30 275(按图包方单价）从2016年8月16日起上调20元；C30 285(按实结算）C30 295(按包方结算）从2016年12月21日至24日起C30 335 (按实结算）C30 345(按包方结算）从2016年12月29日至1月10日起C30 335 (按实结算）C30 345(按包方结算）</v>
      </c>
      <c r="E118" s="1595">
        <f>VLOOKUP(N118,金沙洲商业用房!A$7:M$52,4)</f>
        <v>31163.5</v>
      </c>
      <c r="F118" s="1595">
        <f>VLOOKUP(N118,金沙洲商业用房!A$7:M$52,5)</f>
        <v>9253218</v>
      </c>
      <c r="G118" s="1595" t="s">
        <v>4957</v>
      </c>
      <c r="H118" s="1596">
        <f t="shared" si="5"/>
        <v>0.1080705112534904</v>
      </c>
      <c r="I118" s="1595">
        <f>VLOOKUP(N118,金沙洲商业用房!A$7:M$52,11,TRUE)</f>
        <v>8253218</v>
      </c>
      <c r="J118" s="1595">
        <f>VLOOKUP(N118,金沙洲商业用房!A$7:M$97,10,TRUE)</f>
        <v>1000000</v>
      </c>
      <c r="K118" s="1595">
        <f>VLOOKUP(N118,金沙洲商业用房!A$7:M$100,8,TRUE)</f>
        <v>19167.5</v>
      </c>
      <c r="L118" s="1595" t="s">
        <v>5138</v>
      </c>
      <c r="M118" s="1594"/>
      <c r="N118" s="1597">
        <v>43000</v>
      </c>
    </row>
    <row r="119" spans="1:14" ht="99.75">
      <c r="A119" s="1595" t="str">
        <f>金沙洲公建五栋!B$2</f>
        <v>金沙洲公建五栋</v>
      </c>
      <c r="B119" s="1595" t="s">
        <v>3346</v>
      </c>
      <c r="C119" s="1595">
        <v>2014.11</v>
      </c>
      <c r="D119" s="1595" t="str">
        <f>金沙洲公建五栋!J$1</f>
        <v>C10：310 C15：320 C20：330 C25：340 C30：350 C35：365 C40：380 C45：395 C50：415 C55：435 C60：465 砂浆：332   从2014年8月1起下调10元；从2015年11月25日起C30 295 从2016年3月1日起C30 275 通泵砂浆 252（按图包方单价）C30 265 通泵砂浆 252（按实结算）从2016年3月26日起C30 265(按实结算）C30 275(按图包方单价）从2016年8月16日起上调20元；C30 285(按实结算）C30 295(按包方结算）</v>
      </c>
      <c r="E119" s="1595">
        <f>VLOOKUP(N119,金沙洲公建五栋!A$7:M$52,4)</f>
        <v>259.5</v>
      </c>
      <c r="F119" s="1595">
        <f>VLOOKUP(N119,金沙洲公建五栋!A$7:M$52,5)</f>
        <v>84360</v>
      </c>
      <c r="G119" s="1595"/>
      <c r="H119" s="1596">
        <f t="shared" si="5"/>
        <v>1</v>
      </c>
      <c r="I119" s="1595">
        <f>VLOOKUP(N119,金沙洲公建五栋!A$7:M$52,11,TRUE)</f>
        <v>0</v>
      </c>
      <c r="J119" s="1595">
        <f>VLOOKUP(N119,金沙洲公建五栋!A$7:M$100,10,TRUE)</f>
        <v>84360</v>
      </c>
      <c r="K119" s="1595">
        <f>VLOOKUP(N119,金沙洲公建五栋!A$7:M$100,8,TRUE)</f>
        <v>0</v>
      </c>
      <c r="L119" s="1595">
        <v>2014.9</v>
      </c>
      <c r="M119" s="1594"/>
      <c r="N119" s="1597">
        <v>43000</v>
      </c>
    </row>
    <row r="120" spans="1:14" ht="42.75">
      <c r="A120" s="1595" t="str">
        <f>金沙洲保障性住房!B$2</f>
        <v>广州中煤江南基础工程公司岩土工程分公司</v>
      </c>
      <c r="B120" s="1617" t="s">
        <v>5211</v>
      </c>
      <c r="C120" s="1595" t="s">
        <v>5139</v>
      </c>
      <c r="D120" s="1595" t="str">
        <f>金沙洲保障性住房!J$1</f>
        <v>C15：300 C20：310 C25：320 C30：330 C35：340 C40:355  C45：375 C50：400 C55：430 C60：465；从2015年8月1日起 C30 310</v>
      </c>
      <c r="E120" s="1595">
        <f>VLOOKUP(N120,金沙洲保障性住房!A$1:M$23,4)</f>
        <v>25995.5</v>
      </c>
      <c r="F120" s="1595">
        <f>VLOOKUP(N120,金沙洲保障性住房!A$1:M$23,5)</f>
        <v>8861672.5</v>
      </c>
      <c r="G120" s="1595" t="s">
        <v>4957</v>
      </c>
      <c r="H120" s="1596">
        <f t="shared" si="5"/>
        <v>0.95842003865523129</v>
      </c>
      <c r="I120" s="1595">
        <f>VLOOKUP(N120,金沙洲保障性住房!A$1:M$23,11,TRUE)</f>
        <v>368468</v>
      </c>
      <c r="J120" s="1595">
        <f>VLOOKUP(N120,金沙洲保障性住房!A$1:M$71,10,TRUE)</f>
        <v>8493204.5</v>
      </c>
      <c r="K120" s="1595">
        <f>VLOOKUP(N120,金沙洲保障性住房!A$1:M$71,8,TRUE)</f>
        <v>0</v>
      </c>
      <c r="L120" s="1595">
        <v>2016.5</v>
      </c>
      <c r="M120" s="1594"/>
      <c r="N120" s="1597">
        <v>43000</v>
      </c>
    </row>
    <row r="121" spans="1:14" ht="42.75">
      <c r="A121" s="1595" t="str">
        <f>中煤金沙洲保障房桩部位!B$2</f>
        <v>广州中煤江南基础工程公司</v>
      </c>
      <c r="B121" s="1617" t="s">
        <v>5212</v>
      </c>
      <c r="C121" s="1595" t="s">
        <v>5140</v>
      </c>
      <c r="D121" s="1595" t="str">
        <f>中煤金沙洲保障房桩部位!J$1</f>
        <v>C15:265  C20:275  C25:285  C30:295  C35:305  C40:320  C45:335  C50:355  C55:375  C60:405，2013年10月1日上调15元，10月12日上调35元，C30：345，砂浆：320元</v>
      </c>
      <c r="E121" s="1595">
        <f>VLOOKUP(N121,中煤金沙洲保障房桩部位!A$7:M$73,4)</f>
        <v>18892</v>
      </c>
      <c r="F121" s="1595">
        <f>VLOOKUP(N121,中煤金沙洲保障房桩部位!A$7:M$73,5)</f>
        <v>6928562.5</v>
      </c>
      <c r="G121" s="1595" t="s">
        <v>4957</v>
      </c>
      <c r="H121" s="1596">
        <f t="shared" si="5"/>
        <v>0.97995464427144885</v>
      </c>
      <c r="I121" s="1595">
        <f>VLOOKUP(N121,中煤金沙洲保障房桩部位!A$7:M$73,11,TRUE)</f>
        <v>138885.5</v>
      </c>
      <c r="J121" s="1595">
        <f>VLOOKUP(N121,中煤金沙洲保障房桩部位!A$7:M$100,10,TRUE)</f>
        <v>6789677</v>
      </c>
      <c r="K121" s="1595">
        <f>VLOOKUP(N121,中煤金沙洲保障房桩部位!A$7:M$100,8,TRUE)</f>
        <v>0</v>
      </c>
      <c r="L121" s="1595">
        <v>2017.1</v>
      </c>
      <c r="M121" s="1594"/>
      <c r="N121" s="1597">
        <v>43000</v>
      </c>
    </row>
    <row r="122" spans="1:14" ht="71.25">
      <c r="A122" s="1595" t="str">
        <f>南方钢厂二期二标!B$2</f>
        <v>广州市恒盛建设工程有限公司</v>
      </c>
      <c r="B122" s="1595" t="s">
        <v>148</v>
      </c>
      <c r="C122" s="1595" t="s">
        <v>5141</v>
      </c>
      <c r="D122" s="1595" t="str">
        <f>南方钢厂二期二标!J$1</f>
        <v>根据需方提出计划单时市场价格进行优惠报价，报给需方的价格不高于其他保障房项目标段的单价。供方供货前需报单给需方确认，双方确定单价后进行供货。本合同供货量上限为4万立方米，如未超出此总量则双方按实结算，如超出此总量应签订补充协议书重新确认。C30:360</v>
      </c>
      <c r="E122" s="1595">
        <f>VLOOKUP(N122,南方钢厂二期二标!A$7:M$73,4)</f>
        <v>92497.5</v>
      </c>
      <c r="F122" s="1595">
        <f>VLOOKUP(N122,南方钢厂二期二标!A$7:M$73,5)</f>
        <v>35323660</v>
      </c>
      <c r="G122" s="1595" t="s">
        <v>4957</v>
      </c>
      <c r="H122" s="1596">
        <f t="shared" si="5"/>
        <v>0.99983854127423222</v>
      </c>
      <c r="I122" s="1595">
        <f>VLOOKUP(N122,南方钢厂二期二标!A$7:M$73,11,TRUE)</f>
        <v>5700</v>
      </c>
      <c r="J122" s="1595">
        <f>VLOOKUP(N122,南方钢厂二期二标!A$7:M$100,10,TRUE)</f>
        <v>35297440</v>
      </c>
      <c r="K122" s="1595">
        <f>VLOOKUP(N122,南方钢厂二期二标!A$7:M$100,8,TRUE)</f>
        <v>5700</v>
      </c>
      <c r="L122" s="1595">
        <v>2016.12</v>
      </c>
      <c r="M122" s="1594"/>
      <c r="N122" s="1597">
        <v>43000</v>
      </c>
    </row>
    <row r="123" spans="1:14" ht="142.5">
      <c r="A123" s="1595" t="str">
        <f>中建三局杨箕村!B$2</f>
        <v>中建三局第一建设工程有限责任公司</v>
      </c>
      <c r="B123" s="1595" t="s">
        <v>150</v>
      </c>
      <c r="C123" s="1595" t="s">
        <v>5142</v>
      </c>
      <c r="D123" s="1595" t="str">
        <f>中建三局杨箕村!J$1</f>
        <v xml:space="preserve">塌落度&lt;120普通单价：C10：285 C15：293 C20：304 C25：316 C30：331 C35：347 C40：362 C45：377 C50：393 C55：416 C60：435       塌落度≥120 泵送单价：C10：291 C15：299 C20：310 C25：322 C30：337 C35：353 C40：368 C45：383 C50：399 C55:422 C60：441 从2014年4季度（2014年9月21日）采用固定单价 C10 265 C15 275 C20 285 C25 295 C30 305 C35 320 C40 335 C45 355 C50 375 C55 395 C62 415 ；纯水泥25元/m3 从2015年10月21日起C10 240 C15 250 C20 260 C25 270 C30 280 C35 295 C40 310 C45 330 C50 350 C55 370 C60 390 </v>
      </c>
      <c r="E123" s="1595">
        <f>VLOOKUP(N123,中建三局杨箕村!A$7:M$73,4)</f>
        <v>71492.399999999994</v>
      </c>
      <c r="F123" s="1595">
        <f>VLOOKUP(N123,中建三局杨箕村!A$7:M$73,5)</f>
        <v>23887284.849999998</v>
      </c>
      <c r="G123" s="1595" t="s">
        <v>5143</v>
      </c>
      <c r="H123" s="1596">
        <f t="shared" si="5"/>
        <v>0.99901002480181134</v>
      </c>
      <c r="I123" s="1595">
        <f>VLOOKUP(N123,中建三局杨箕村!A$7:M$73,11,TRUE)</f>
        <v>23630.000000001746</v>
      </c>
      <c r="J123" s="1595">
        <f>VLOOKUP(N123,中建三局杨箕村!A$7:M$100,10,TRUE)</f>
        <v>23845654.850000001</v>
      </c>
      <c r="K123" s="1595">
        <f>VLOOKUP(N123,中建三局杨箕村!A$7:M$100,8,TRUE)</f>
        <v>2500</v>
      </c>
      <c r="L123" s="1595">
        <v>2016.5</v>
      </c>
      <c r="M123" s="1594"/>
      <c r="N123" s="1597">
        <v>43000</v>
      </c>
    </row>
    <row r="124" spans="1:14" ht="114">
      <c r="A124" s="1595" t="str">
        <f>广发证券!B$2</f>
        <v>广州天力建筑工程有限公司（广州建筑股份有限公司）</v>
      </c>
      <c r="B124" s="1595" t="s">
        <v>151</v>
      </c>
      <c r="C124" s="1595" t="s">
        <v>5144</v>
      </c>
      <c r="D124" s="1595" t="str">
        <f>广发证券!J$1</f>
        <v xml:space="preserve">普通混凝土：C10：305 C15：315 C20：325 C25：335 C30：345 C35：355 C40：370 C45：385 C50：405 C55：425 C60：445 C65:533 C70:623 C75:723 C80:813 自密实混凝土：C60：500 C70：678 C80：878 从2015年8月1日起普通混凝土：C10：280 C15：290  C20：300 C25：310 C30：320 C35：330 C40：345 C45：360 C50：375 C55：395 C60：420 C65:508 C70:598 通泵砂浆 307 C75 698 C80 788   自密实混凝土：C60：475 C70：653 C80：853 </v>
      </c>
      <c r="E124" s="1595">
        <f>VLOOKUP(N124,广发证券!A$7:M$73,4)</f>
        <v>42702</v>
      </c>
      <c r="F124" s="1595">
        <f>VLOOKUP(N124,广发证券!A$7:M$73,5)</f>
        <v>17943304</v>
      </c>
      <c r="G124" s="1595" t="s">
        <v>5145</v>
      </c>
      <c r="H124" s="1596">
        <f t="shared" si="5"/>
        <v>0.94356191848504833</v>
      </c>
      <c r="I124" s="1595">
        <f>VLOOKUP(N124,广发证券!A$7:M$73,11,TRUE)</f>
        <v>989849.00000000047</v>
      </c>
      <c r="J124" s="1595">
        <f>VLOOKUP(N124,广发证券!A$7:M$100,10,TRUE)</f>
        <v>16548823</v>
      </c>
      <c r="K124" s="1595">
        <f>VLOOKUP(N124,广发证券!A$7:M$100,8,TRUE)</f>
        <v>183407</v>
      </c>
      <c r="L124" s="1595">
        <v>2017.4</v>
      </c>
      <c r="M124" s="1594"/>
      <c r="N124" s="1597">
        <v>43000</v>
      </c>
    </row>
    <row r="125" spans="1:14" ht="128.25">
      <c r="A125" s="1595" t="str">
        <f>小新塘!B$2</f>
        <v>广东省建筑构件工程有限公司</v>
      </c>
      <c r="B125" s="1595" t="s">
        <v>153</v>
      </c>
      <c r="C125" s="1595" t="s">
        <v>5146</v>
      </c>
      <c r="D125" s="1595" t="str">
        <f>小新塘!J$1</f>
        <v>C10:C15：270 C20：280 C25：290 C30：300 C35：315  C40：330 C45：350 C50：375 C55：405 C60：440 砂浆400</v>
      </c>
      <c r="E125" s="1595">
        <f>VLOOKUP(N125,小新塘!A$7:M$73,4)</f>
        <v>4392.5</v>
      </c>
      <c r="F125" s="1595">
        <f>VLOOKUP(N125,小新塘!A$7:M$73,5)</f>
        <v>1311730</v>
      </c>
      <c r="G125" s="1595" t="s">
        <v>5147</v>
      </c>
      <c r="H125" s="1596">
        <f t="shared" si="5"/>
        <v>1.0082334016908967</v>
      </c>
      <c r="I125" s="1595">
        <f>VLOOKUP(N125,小新塘!A$7:M$73,11,TRUE)</f>
        <v>-10800</v>
      </c>
      <c r="J125" s="1595">
        <f>VLOOKUP(N125,小新塘!A$7:M$100,10,TRUE)</f>
        <v>1322530</v>
      </c>
      <c r="K125" s="1595">
        <f>VLOOKUP(N125,小新塘!A$7:M$100,8,TRUE)</f>
        <v>148610</v>
      </c>
      <c r="L125" s="1595">
        <v>2017.1</v>
      </c>
      <c r="M125" s="1594"/>
      <c r="N125" s="1597">
        <v>43000</v>
      </c>
    </row>
    <row r="126" spans="1:14" ht="71.25">
      <c r="A126" s="1595" t="str">
        <f>'小新塘 主体'!B$2</f>
        <v>四川广厦建筑工程有限公司</v>
      </c>
      <c r="B126" s="1598" t="s">
        <v>5148</v>
      </c>
      <c r="C126" s="1595" t="s">
        <v>4983</v>
      </c>
      <c r="D126" s="1595" t="str">
        <f>'小新塘 主体'!J$1</f>
        <v>C10: 225  C15：235 C20：245 C25：255 C30：265 C35：280  C40：295 C45：315 C50：335 C55：360 C60：385 润泵280；从2016年8月1日上调20元；C30 285 砂浆300 从2016年12月12日起上调40元；C30 325 从2017年2月15日起下调20元；C30 305</v>
      </c>
      <c r="E126" s="1595">
        <f>VLOOKUP(N126,'小新塘 主体'!A$7:M$73,4)</f>
        <v>55428</v>
      </c>
      <c r="F126" s="1595">
        <f>VLOOKUP(N126,'小新塘 主体'!A$7:M$73,5)</f>
        <v>15794270</v>
      </c>
      <c r="G126" s="1595" t="s">
        <v>5149</v>
      </c>
      <c r="H126" s="1596">
        <f t="shared" si="5"/>
        <v>0.90773047260226136</v>
      </c>
      <c r="I126" s="1595">
        <f>VLOOKUP(N126,'小新塘 主体'!A$7:M$73,11,TRUE)</f>
        <v>1419813.4999999981</v>
      </c>
      <c r="J126" s="1595">
        <f>VLOOKUP(N126,'小新塘 主体'!A$7:M$100,10,TRUE)</f>
        <v>13967861.5</v>
      </c>
      <c r="K126" s="1595">
        <f>VLOOKUP(N126,'小新塘 主体'!A$7:M$100,8,TRUE)</f>
        <v>300500</v>
      </c>
      <c r="L126" s="1595">
        <v>2017.3</v>
      </c>
      <c r="M126" s="1594"/>
      <c r="N126" s="1597">
        <v>43000</v>
      </c>
    </row>
    <row r="127" spans="1:14" ht="42.75">
      <c r="A127" s="1595" t="str">
        <f>碧讯幼儿园!B$2</f>
        <v>广东电白建设集团有限公司</v>
      </c>
      <c r="B127" s="1595" t="s">
        <v>155</v>
      </c>
      <c r="C127" s="1595" t="s">
        <v>5150</v>
      </c>
      <c r="D127" s="1595" t="str">
        <f>碧讯幼儿园!J$1</f>
        <v>C10: 225  C15：235 C20：245 C25：255 C30：265 C35：280  C40：295 C45：315 C50：335 C55：360 C60：385 润泵280</v>
      </c>
      <c r="E127" s="1595">
        <f>VLOOKUP(N127,碧讯幼儿园!A$7:M$73,4)</f>
        <v>6563.5</v>
      </c>
      <c r="F127" s="1595">
        <f>VLOOKUP(N127,碧讯幼儿园!A$7:M$73,5)</f>
        <v>1749621</v>
      </c>
      <c r="G127" s="1595" t="s">
        <v>5149</v>
      </c>
      <c r="H127" s="1596">
        <f t="shared" si="5"/>
        <v>0.99991678835880848</v>
      </c>
      <c r="I127" s="1595">
        <f>VLOOKUP(N127,碧讯幼儿园!A$7:M$73,11,TRUE)</f>
        <v>113.60000000009313</v>
      </c>
      <c r="J127" s="1595">
        <f>VLOOKUP(N127,碧讯幼儿园!A$7:M$100,10,TRUE)</f>
        <v>1365080</v>
      </c>
      <c r="K127" s="1595">
        <f>VLOOKUP(N127,碧讯幼儿园!A$7:M$100,8,TRUE)</f>
        <v>0</v>
      </c>
      <c r="L127" s="1595">
        <v>20116.8</v>
      </c>
      <c r="M127" s="1594"/>
      <c r="N127" s="1597">
        <v>43000</v>
      </c>
    </row>
    <row r="128" spans="1:14" ht="57">
      <c r="A128" s="1595" t="str">
        <f>中慧睿元!B$3</f>
        <v>中国十九冶集团有限公司</v>
      </c>
      <c r="B128" s="1595" t="s">
        <v>156</v>
      </c>
      <c r="C128" s="1595" t="s">
        <v>4992</v>
      </c>
      <c r="D128" s="1595" t="str">
        <f>中慧睿元!J$1</f>
        <v>C15：260 C20：270 C25：280 C30：290 C35：305  C40：320 C45：340 C50：365 C55：395 C60：405 润泵360；从2016年12月12日起上调50元 C30 340从2017年3月1日起下调30元/方；C30 310（3月1日起执行此固定单价）</v>
      </c>
      <c r="E128" s="1595">
        <f>VLOOKUP(N128,中慧睿元!A$7:M$73,4)</f>
        <v>16707.5</v>
      </c>
      <c r="F128" s="1595">
        <f>VLOOKUP(N128,中慧睿元!A$7:M$73,5)</f>
        <v>5049132.5</v>
      </c>
      <c r="G128" s="1595" t="s">
        <v>5151</v>
      </c>
      <c r="H128" s="1596">
        <f t="shared" si="5"/>
        <v>0.85715618662717386</v>
      </c>
      <c r="I128" s="1595">
        <f>VLOOKUP(N128,中慧睿元!A$7:M$73,11,TRUE)</f>
        <v>694696.95999999996</v>
      </c>
      <c r="J128" s="1595">
        <f>VLOOKUP(N128,中慧睿元!A$7:M$100,10,TRUE)</f>
        <v>4168635.54</v>
      </c>
      <c r="K128" s="1595">
        <f>VLOOKUP(N128,中慧睿元!A$7:M$100,8,TRUE)</f>
        <v>33270</v>
      </c>
      <c r="L128" s="1595">
        <v>2017.3</v>
      </c>
      <c r="M128" s="1594"/>
      <c r="N128" s="1597">
        <v>43000</v>
      </c>
    </row>
    <row r="129" spans="1:14" ht="42.75">
      <c r="A129" s="1595" t="str">
        <f>笔村项目!B$2</f>
        <v>广州市天力建筑工程有限公司</v>
      </c>
      <c r="B129" s="1595" t="s">
        <v>157</v>
      </c>
      <c r="C129" s="1595" t="s">
        <v>5152</v>
      </c>
      <c r="D129" s="1595" t="str">
        <f>笔村项目!J$1</f>
        <v>C10 240 C15 250 C20 260 C25 270 C30 280 C35 290 C40 305 C45 320 C50 335 C55 355 C60 380 通泵砂浆 267 从2016年8月16日起上调20元；C30 300 ；砂浆287</v>
      </c>
      <c r="E129" s="1595">
        <f>VLOOKUP(N129,笔村项目!A$7:M$73,4)</f>
        <v>15627.5</v>
      </c>
      <c r="F129" s="1595">
        <f>VLOOKUP(N129,笔村项目!A$7:M$73,5)</f>
        <v>4572557.5</v>
      </c>
      <c r="G129" s="1595" t="s">
        <v>4974</v>
      </c>
      <c r="H129" s="1596">
        <f t="shared" si="5"/>
        <v>1.0691804070017465</v>
      </c>
      <c r="I129" s="1595">
        <f>VLOOKUP(N129,笔村项目!A$7:M$73,11,TRUE)</f>
        <v>-284698.25</v>
      </c>
      <c r="J129" s="1595">
        <f>VLOOKUP(N129,笔村项目!A$7:M$100,10,TRUE)</f>
        <v>4400000</v>
      </c>
      <c r="K129" s="1595">
        <f>VLOOKUP(N129,笔村项目!A$7:M$100,8,TRUE)</f>
        <v>16425</v>
      </c>
      <c r="L129" s="1595">
        <v>2017.1</v>
      </c>
      <c r="M129" s="1594"/>
      <c r="N129" s="1597">
        <v>43000</v>
      </c>
    </row>
    <row r="130" spans="1:14" ht="57">
      <c r="A130" s="1595" t="str">
        <f>解放军深圳旭生!B$2</f>
        <v>深圳市旭生骏鹏建筑工程公司</v>
      </c>
      <c r="B130" s="1595" t="s">
        <v>158</v>
      </c>
      <c r="C130" s="1595" t="s">
        <v>5153</v>
      </c>
      <c r="D130" s="1595" t="str">
        <f>解放军深圳旭生!J$1</f>
        <v>C15 255 C20 265 C25 275 C30 285 C35 295 砂浆320从2016年12月12日上调40元；C30 325；从2017年3月1日起下调15元；C30 310</v>
      </c>
      <c r="E130" s="1595">
        <f>VLOOKUP(N130,解放军深圳旭生!A$7:M$73,4)</f>
        <v>3450</v>
      </c>
      <c r="F130" s="1595">
        <f>VLOOKUP(N130,解放军深圳旭生!A$7:M$73,5)</f>
        <v>1067342.5</v>
      </c>
      <c r="G130" s="1595" t="s">
        <v>5154</v>
      </c>
      <c r="H130" s="1596">
        <f t="shared" si="5"/>
        <v>0.93840338056655792</v>
      </c>
      <c r="I130" s="1595">
        <f>VLOOKUP(N130,解放军深圳旭生!A$7:M$73,11,TRUE)</f>
        <v>63955</v>
      </c>
      <c r="J130" s="1595">
        <f>VLOOKUP(N130,解放军深圳旭生!A$7:M$100,10,TRUE)</f>
        <v>974332.5</v>
      </c>
      <c r="K130" s="1595">
        <f>VLOOKUP(N130,解放军深圳旭生!A$7:M$100,8,TRUE)</f>
        <v>45350</v>
      </c>
      <c r="L130" s="1595">
        <v>2017.2</v>
      </c>
      <c r="M130" s="1594"/>
      <c r="N130" s="1597">
        <v>43000</v>
      </c>
    </row>
    <row r="131" spans="1:14" ht="28.5">
      <c r="A131" s="1595" t="str">
        <f>大学城足球训练基地!B$2</f>
        <v>广州市天力建筑工程有限公司</v>
      </c>
      <c r="B131" s="1595" t="s">
        <v>159</v>
      </c>
      <c r="C131" s="1595" t="s">
        <v>5090</v>
      </c>
      <c r="D131" s="1595" t="str">
        <f>大学城足球训练基地!J$1</f>
        <v xml:space="preserve"> C10 305 C15 315 C20 325 C25 335 C30 345 C35 355 C40 370 C45 385 C50 400 C55 420 C60 445 砂浆32</v>
      </c>
      <c r="E131" s="1595">
        <f>VLOOKUP(N131,大学城足球训练基地!A$7:M$73,4)</f>
        <v>885</v>
      </c>
      <c r="F131" s="1595">
        <f>VLOOKUP(N131,大学城足球训练基地!A$7:M$73,5)</f>
        <v>297395</v>
      </c>
      <c r="G131" s="1595" t="s">
        <v>1816</v>
      </c>
      <c r="H131" s="1596">
        <f t="shared" si="5"/>
        <v>0</v>
      </c>
      <c r="I131" s="1595">
        <f>VLOOKUP(N131,大学城足球训练基地!A$7:M$73,11,TRUE)</f>
        <v>290245</v>
      </c>
      <c r="J131" s="1595">
        <f>VLOOKUP(N131,大学城足球训练基地!A$7:M$100,10,TRUE)</f>
        <v>0</v>
      </c>
      <c r="K131" s="1595">
        <f>VLOOKUP(N131,大学城足球训练基地!A$7:M$100,8,TRUE)</f>
        <v>0</v>
      </c>
      <c r="L131" s="1595"/>
      <c r="M131" s="1594"/>
      <c r="N131" s="1597">
        <v>43000</v>
      </c>
    </row>
    <row r="132" spans="1:14">
      <c r="A132" s="1595"/>
      <c r="B132" s="1595"/>
      <c r="C132" s="1595"/>
      <c r="D132" s="1595"/>
      <c r="E132" s="1595"/>
      <c r="F132" s="1595"/>
      <c r="G132" s="1595"/>
      <c r="H132" s="1596"/>
      <c r="I132" s="1595"/>
      <c r="J132" s="1595"/>
      <c r="K132" s="1595"/>
      <c r="L132" s="1595"/>
      <c r="M132" s="1594"/>
      <c r="N132" s="1594"/>
    </row>
    <row r="133" spans="1:14">
      <c r="A133" s="1594" t="s">
        <v>5155</v>
      </c>
      <c r="B133" s="1594"/>
      <c r="C133" s="1594"/>
      <c r="D133" s="1594"/>
      <c r="E133" s="1594"/>
      <c r="F133" s="1594"/>
      <c r="G133" s="1594"/>
      <c r="H133" s="1594"/>
      <c r="I133" s="1594"/>
      <c r="J133" s="1594"/>
      <c r="K133" s="1594"/>
      <c r="L133" s="1595"/>
      <c r="M133" s="1594"/>
      <c r="N133" s="1594"/>
    </row>
    <row r="134" spans="1:14" ht="28.5">
      <c r="A134" s="1595" t="s">
        <v>240</v>
      </c>
      <c r="B134" s="1595" t="s">
        <v>4960</v>
      </c>
      <c r="C134" s="1595" t="s">
        <v>4961</v>
      </c>
      <c r="D134" s="1595" t="s">
        <v>4962</v>
      </c>
      <c r="E134" s="1595" t="s">
        <v>4963</v>
      </c>
      <c r="F134" s="1595" t="s">
        <v>4964</v>
      </c>
      <c r="G134" s="1595" t="s">
        <v>4965</v>
      </c>
      <c r="H134" s="1596" t="s">
        <v>4966</v>
      </c>
      <c r="I134" s="1595" t="s">
        <v>4967</v>
      </c>
      <c r="J134" s="1595" t="s">
        <v>4968</v>
      </c>
      <c r="K134" s="1595" t="s">
        <v>4969</v>
      </c>
      <c r="L134" s="1595" t="s">
        <v>4970</v>
      </c>
      <c r="M134" s="1594" t="s">
        <v>278</v>
      </c>
      <c r="N134" s="1597" t="s">
        <v>4755</v>
      </c>
    </row>
    <row r="135" spans="1:14" ht="42.75">
      <c r="A135" s="1595" t="str">
        <f>大洲车辆段施工2标!B$3</f>
        <v>中铁十一局集团有限公司广州轨道交通七号线大洲车辆段施工Ⅱ标项目经理部</v>
      </c>
      <c r="B135" s="1595" t="s">
        <v>168</v>
      </c>
      <c r="C135" s="1595" t="s">
        <v>5156</v>
      </c>
      <c r="D135" s="1595" t="str">
        <f>大洲车辆段施工2标!J$1</f>
        <v>C15：325 C20：335 C25：345 C30：355 C35：370 C40：385 C45：405 C50：425 C55：450 C60：475   C30自密实单价：420</v>
      </c>
      <c r="E135" s="1595">
        <f>VLOOKUP(N135,大洲车辆段施工2标!A$7:M$73,4)</f>
        <v>62892</v>
      </c>
      <c r="F135" s="1595">
        <f>VLOOKUP(N135,大洲车辆段施工2标!A$7:M$73,5)</f>
        <v>16965488.5</v>
      </c>
      <c r="G135" s="1595" t="s">
        <v>5157</v>
      </c>
      <c r="H135" s="1596">
        <f t="shared" ref="H135:H142" si="6">J135/(I135+J135)</f>
        <v>0.95156026298308438</v>
      </c>
      <c r="I135" s="1595">
        <f>VLOOKUP(N135,大洲车辆段施工2标!A$7:M$73,11,TRUE)</f>
        <v>826884.5</v>
      </c>
      <c r="J135" s="1595">
        <f>VLOOKUP(N135,大洲车辆段施工2标!A$7:M$100,10,TRUE)</f>
        <v>16243491</v>
      </c>
      <c r="K135" s="1595">
        <f>VLOOKUP(N135,大洲车辆段施工2标!A$7:M$100,8,TRUE)</f>
        <v>864078.02500000002</v>
      </c>
      <c r="L135" s="1595">
        <v>2017.1</v>
      </c>
      <c r="M135" s="1594"/>
      <c r="N135" s="1597">
        <v>43000</v>
      </c>
    </row>
    <row r="136" spans="1:14" ht="42.75">
      <c r="A136" s="1595" t="str">
        <f>南方航空!B$3</f>
        <v>中国南方航空大厦项目基坑支护设计</v>
      </c>
      <c r="B136" s="1595" t="s">
        <v>165</v>
      </c>
      <c r="C136" s="1595" t="s">
        <v>5127</v>
      </c>
      <c r="D136" s="1595" t="str">
        <f>南方航空!J$1</f>
        <v>C15:235  C20:245  C25:255  C30:265  C35:275  C40:290  C45:305  C50:325  C55:345  C60:375  2012年12月1日上调10元，C30：275元</v>
      </c>
      <c r="E136" s="1595">
        <f>VLOOKUP(N136,南方航空!A$7:M$73,4)</f>
        <v>145238</v>
      </c>
      <c r="F136" s="1595">
        <f>VLOOKUP(N136,南方航空!A$7:M$73,5)</f>
        <v>49009935.239999995</v>
      </c>
      <c r="G136" s="1595" t="s">
        <v>5158</v>
      </c>
      <c r="H136" s="1596">
        <f t="shared" si="6"/>
        <v>0.97710903334453647</v>
      </c>
      <c r="I136" s="1595">
        <f>VLOOKUP(N136,南方航空!A$7:M$87,11,TRUE)</f>
        <v>1157594.6400000006</v>
      </c>
      <c r="J136" s="1595">
        <f>VLOOKUP(N136,南方航空!A$7:M$100,10,TRUE)</f>
        <v>49412337.920000002</v>
      </c>
      <c r="K136" s="1595">
        <f>VLOOKUP(N136,南方航空!A$7:M$100,8,TRUE)</f>
        <v>1400</v>
      </c>
      <c r="L136" s="1595">
        <v>2017.1</v>
      </c>
      <c r="M136" s="1594"/>
      <c r="N136" s="1597">
        <v>43000</v>
      </c>
    </row>
    <row r="137" spans="1:14" ht="42.75">
      <c r="A137" s="1595" t="str">
        <f>'保利M1S2 '!B$3</f>
        <v>广东省电白建筑工程总公司</v>
      </c>
      <c r="B137" s="1611" t="s">
        <v>166</v>
      </c>
      <c r="C137" s="1595" t="s">
        <v>5159</v>
      </c>
      <c r="D137" s="1595" t="str">
        <f>'保利M1S2 '!J$1</f>
        <v>C10:269  C15:276  C20:288  C25:299  C30:314  C35:330  C40:345  C45:360  C50:375  C55:398 C60:423从2016年12月12日至2017年1月27日起上调30元；C30 344</v>
      </c>
      <c r="E137" s="1595">
        <f>VLOOKUP(N137,'保利M1S2 '!A$7:M$73,4)</f>
        <v>68543</v>
      </c>
      <c r="F137" s="1595">
        <f>VLOOKUP(N137,'保利M1S2 '!A$7:M$73,5)</f>
        <v>21586828.5</v>
      </c>
      <c r="G137" s="1595" t="s">
        <v>4984</v>
      </c>
      <c r="H137" s="1596">
        <f t="shared" si="6"/>
        <v>0.90030617512896816</v>
      </c>
      <c r="I137" s="1595">
        <f>VLOOKUP(N137,'保利M1S2 '!A$7:M$73,11,TRUE)</f>
        <v>2152073.5</v>
      </c>
      <c r="J137" s="1595">
        <f>VLOOKUP(N137,'保利M1S2 '!A$7:M$100,10,TRUE)</f>
        <v>19434755</v>
      </c>
      <c r="K137" s="1595">
        <f>VLOOKUP(N137,'保利M1S2 '!A$7:M$100,8,TRUE)</f>
        <v>5099.5</v>
      </c>
      <c r="L137" s="1595">
        <v>2017.3</v>
      </c>
      <c r="M137" s="1594"/>
      <c r="N137" s="1597">
        <v>43000</v>
      </c>
    </row>
    <row r="138" spans="1:14" ht="71.25">
      <c r="A138" s="1595" t="str">
        <f>兴业国际仓储!B$2</f>
        <v>深圳建宏达建设实业有限公司(盖项目章)</v>
      </c>
      <c r="B138" s="1595" t="s">
        <v>170</v>
      </c>
      <c r="C138" s="1595" t="s">
        <v>5160</v>
      </c>
      <c r="D138" s="1595" t="str">
        <f>兴业国际仓储!J$1</f>
        <v>C15:205  C20:215  C25:225  C30:235  C35:245  C40:260  C45:275  C50:295  2010年12月20日上调30元,2011年3月1日下调5元，2011年5月1日上调10元，2011年9月12日上调5元，2012年10月10日上调10元，2013年10月1日上调40元，C30:325元</v>
      </c>
      <c r="E138" s="1595">
        <f>VLOOKUP(N138,兴业国际仓储!A$7:M$73,4)</f>
        <v>34680.5</v>
      </c>
      <c r="F138" s="1595">
        <f>VLOOKUP(N138,兴业国际仓储!A$7:M$73,5)</f>
        <v>9656752</v>
      </c>
      <c r="G138" s="1595" t="s">
        <v>4957</v>
      </c>
      <c r="H138" s="1596">
        <f t="shared" si="6"/>
        <v>0.93199038351611385</v>
      </c>
      <c r="I138" s="1595">
        <f>VLOOKUP(N138,兴业国际仓储!A$7:M$73,11,TRUE)</f>
        <v>656752</v>
      </c>
      <c r="J138" s="1595">
        <f>VLOOKUP(N138,兴业国际仓储!A$7:M$100,10,TRUE)</f>
        <v>9000000</v>
      </c>
      <c r="K138" s="1595">
        <f>VLOOKUP(N138,兴业国际仓储!A$7:M$100,8,TRUE)</f>
        <v>17480</v>
      </c>
      <c r="L138" s="1595">
        <v>2017.1</v>
      </c>
      <c r="M138" s="1594" t="s">
        <v>5161</v>
      </c>
      <c r="N138" s="1597">
        <v>43000</v>
      </c>
    </row>
    <row r="139" spans="1:14" ht="57">
      <c r="A139" s="1595" t="str">
        <f>中山大学球场!B$2</f>
        <v>广州市黄埔建筑工程总公司</v>
      </c>
      <c r="B139" s="1595" t="s">
        <v>171</v>
      </c>
      <c r="C139" s="1595" t="s">
        <v>4975</v>
      </c>
      <c r="D139" s="1595" t="str">
        <f>中山大学球场!J$1</f>
        <v>C15 225 C20 235 C25 245 C30 255 C35 270 C40 285 C45 305 C50 325 C55 350 C60 375 润泵砂浆按同批次混凝土从2016年12月15日上调45元；C30 300 ；从2017年4月15日起下调10元；C30 290</v>
      </c>
      <c r="E139" s="1595">
        <f>VLOOKUP(N139,中山大学球场!A$7:M$73,4)</f>
        <v>33325.5</v>
      </c>
      <c r="F139" s="1595">
        <f>VLOOKUP(N139,中山大学球场!A$7:M$73,5)</f>
        <v>10363343.050000001</v>
      </c>
      <c r="G139" s="1595" t="s">
        <v>4957</v>
      </c>
      <c r="H139" s="1596">
        <f t="shared" si="6"/>
        <v>0.86390008563124354</v>
      </c>
      <c r="I139" s="1595">
        <f>VLOOKUP(N139,中山大学球场!A$7:M$73,11,TRUE)</f>
        <v>1403582.5</v>
      </c>
      <c r="J139" s="1595">
        <f>VLOOKUP(N139,中山大学球场!A$7:M$100,10,TRUE)</f>
        <v>8909300.5500000007</v>
      </c>
      <c r="K139" s="1595">
        <f>VLOOKUP(N139,中山大学球场!A$7:M$100,8,TRUE)</f>
        <v>400375</v>
      </c>
      <c r="L139" s="1595">
        <v>2017.4</v>
      </c>
      <c r="M139" s="1594"/>
      <c r="N139" s="1597">
        <v>43000</v>
      </c>
    </row>
    <row r="140" spans="1:14" ht="57">
      <c r="A140" s="1595" t="str">
        <f>农垦科技中心!B$2</f>
        <v>广东省第一建筑工程有限公司</v>
      </c>
      <c r="B140" s="1595" t="s">
        <v>172</v>
      </c>
      <c r="C140" s="1595" t="s">
        <v>5083</v>
      </c>
      <c r="D140" s="1595" t="str">
        <f>农垦科技中心!J$1</f>
        <v>C15 232 C20 242 C25 252 C30 262 C35 272 C40 287 C45 307 C50 327 C55 352 C60 382 砂浆按同批次混凝土单价从2016年7月15日付上调15元 C30 277；2016年12月10日起上调30元/方；C30 307</v>
      </c>
      <c r="E140" s="1595">
        <f>VLOOKUP(N140,农垦科技中心!A$7:M$73,4)</f>
        <v>8462</v>
      </c>
      <c r="F140" s="1595">
        <f>VLOOKUP(N140,农垦科技中心!A$7:M$73,5)</f>
        <v>2207622.5</v>
      </c>
      <c r="G140" s="1595" t="s">
        <v>4989</v>
      </c>
      <c r="H140" s="1596">
        <f t="shared" si="6"/>
        <v>0.56621999458693684</v>
      </c>
      <c r="I140" s="1595">
        <f>VLOOKUP(N140,农垦科技中心!A$7:M$73,11,TRUE)</f>
        <v>766098</v>
      </c>
      <c r="J140" s="1595">
        <f>VLOOKUP(N140,农垦科技中心!A$7:M$100,10,TRUE)</f>
        <v>1000000</v>
      </c>
      <c r="K140" s="1595">
        <f>VLOOKUP(N140,农垦科技中心!A$7:M$100,8,TRUE)</f>
        <v>48348</v>
      </c>
      <c r="L140" s="1595">
        <v>2017.4</v>
      </c>
      <c r="M140" s="1594" t="s">
        <v>5162</v>
      </c>
      <c r="N140" s="1597">
        <v>43000</v>
      </c>
    </row>
    <row r="141" spans="1:14" ht="28.5">
      <c r="A141" s="1595" t="str">
        <f>佛教文化!B$3</f>
        <v>广州市无着庵佛教文化综合楼工程</v>
      </c>
      <c r="B141" s="1595" t="s">
        <v>173</v>
      </c>
      <c r="C141" s="1595" t="s">
        <v>5090</v>
      </c>
      <c r="D141" s="1595" t="str">
        <f>佛教文化!J$1</f>
        <v>C15 287 C20 297 C25 307 C30 317 C35 332 C40 347 C45 367 C50 392 C55 422 C60 457 砂浆 420</v>
      </c>
      <c r="E141" s="1595">
        <f>VLOOKUP(N141,佛教文化!A$7:M$73,4)</f>
        <v>835</v>
      </c>
      <c r="F141" s="1595">
        <f>VLOOKUP(N141,佛教文化!A$7:M$73,5)</f>
        <v>285895</v>
      </c>
      <c r="G141" s="1595" t="s">
        <v>4957</v>
      </c>
      <c r="H141" s="1596">
        <f t="shared" si="6"/>
        <v>0.72277759317231849</v>
      </c>
      <c r="I141" s="1595">
        <f>VLOOKUP(N141,佛教文化!A$7:M$73,11,TRUE)</f>
        <v>79256.5</v>
      </c>
      <c r="J141" s="1595">
        <f>VLOOKUP(N141,佛教文化!A$7:M$100,10,TRUE)</f>
        <v>206638.5</v>
      </c>
      <c r="K141" s="1595">
        <f>VLOOKUP(N141,佛教文化!A$7:M$100,8,TRUE)</f>
        <v>79256.5</v>
      </c>
      <c r="L141" s="1595" t="s">
        <v>5092</v>
      </c>
      <c r="M141" s="1594"/>
      <c r="N141" s="1597">
        <v>43000</v>
      </c>
    </row>
    <row r="142" spans="1:14" ht="57">
      <c r="A142" s="1595" t="str">
        <f>南洲路!B$3</f>
        <v xml:space="preserve">220建安工程施工总承包 </v>
      </c>
      <c r="B142" s="1595" t="s">
        <v>174</v>
      </c>
      <c r="C142" s="1595" t="s">
        <v>5090</v>
      </c>
      <c r="D142" s="1595" t="str">
        <f>南洲路!J$1</f>
        <v>C15 270.58 C20 280.54 C25 288.84 C30 296.31 C35 307.10 C40 319.55 C45 331.17 C50 342.79 C30抗渗P6 301.31 C35抗渗P6 312.10 C40抗渗P6 324.55 C30水下 311.31</v>
      </c>
      <c r="E142" s="1595">
        <f>VLOOKUP(N142,南洲路!A$7:M$73,4)</f>
        <v>15366</v>
      </c>
      <c r="F142" s="1595">
        <f>VLOOKUP(N142,南洲路!A$7:M$73,5)</f>
        <v>4501608.26</v>
      </c>
      <c r="G142" s="1595" t="s">
        <v>5163</v>
      </c>
      <c r="H142" s="1596">
        <f t="shared" si="6"/>
        <v>1.3434367743550881</v>
      </c>
      <c r="I142" s="1595">
        <f>VLOOKUP(N142,南洲路!A$7:M$73,11,TRUE)</f>
        <v>-1457442.2995</v>
      </c>
      <c r="J142" s="1595">
        <f>VLOOKUP(N142,南洲路!A$7:M$100,10,TRUE)</f>
        <v>5701141.3100000005</v>
      </c>
      <c r="K142" s="1595">
        <f>VLOOKUP(N142,南洲路!A$7:M$100,8,TRUE)</f>
        <v>-209275.576</v>
      </c>
      <c r="L142" s="1595"/>
      <c r="M142" s="1594"/>
      <c r="N142" s="1597">
        <v>43000</v>
      </c>
    </row>
    <row r="143" spans="1:14">
      <c r="A143" s="1595"/>
      <c r="B143" s="1595"/>
      <c r="C143" s="1595"/>
      <c r="D143" s="1595"/>
      <c r="E143" s="1595"/>
      <c r="F143" s="1595"/>
      <c r="G143" s="1595"/>
      <c r="H143" s="1596"/>
      <c r="I143" s="1595"/>
      <c r="J143" s="1595"/>
      <c r="K143" s="1595"/>
      <c r="L143" s="1595"/>
      <c r="M143" s="1594"/>
      <c r="N143" s="1594"/>
    </row>
    <row r="144" spans="1:14">
      <c r="A144" s="1632" t="s">
        <v>5164</v>
      </c>
      <c r="B144" s="1632"/>
      <c r="C144" s="1632"/>
      <c r="D144" s="1632"/>
      <c r="E144" s="1632"/>
      <c r="F144" s="1632"/>
      <c r="G144" s="1632"/>
      <c r="H144" s="1632"/>
      <c r="I144" s="1632"/>
      <c r="J144" s="1632"/>
      <c r="K144" s="1632"/>
      <c r="L144" s="1632"/>
      <c r="M144" s="1632"/>
      <c r="N144" s="1632"/>
    </row>
    <row r="145" spans="1:14" ht="28.5">
      <c r="A145" s="1595" t="s">
        <v>240</v>
      </c>
      <c r="B145" s="1595" t="s">
        <v>4960</v>
      </c>
      <c r="C145" s="1595" t="s">
        <v>4961</v>
      </c>
      <c r="D145" s="1595" t="s">
        <v>4962</v>
      </c>
      <c r="E145" s="1595" t="s">
        <v>4963</v>
      </c>
      <c r="F145" s="1595" t="s">
        <v>4964</v>
      </c>
      <c r="G145" s="1595" t="s">
        <v>4965</v>
      </c>
      <c r="H145" s="1596" t="s">
        <v>4966</v>
      </c>
      <c r="I145" s="1595" t="s">
        <v>4967</v>
      </c>
      <c r="J145" s="1595" t="s">
        <v>4968</v>
      </c>
      <c r="K145" s="1595" t="s">
        <v>4969</v>
      </c>
      <c r="L145" s="1595" t="s">
        <v>4970</v>
      </c>
      <c r="M145" s="1594" t="s">
        <v>278</v>
      </c>
      <c r="N145" s="1597" t="s">
        <v>4755</v>
      </c>
    </row>
    <row r="146" spans="1:14">
      <c r="A146" s="1595"/>
      <c r="B146" s="1595"/>
      <c r="C146" s="1595"/>
      <c r="D146" s="1595"/>
      <c r="E146" s="1595"/>
      <c r="F146" s="1595"/>
      <c r="G146" s="1595"/>
      <c r="H146" s="1596"/>
      <c r="I146" s="1595" t="e">
        <f>SUM(#REF!)</f>
        <v>#REF!</v>
      </c>
      <c r="J146" s="1595"/>
      <c r="K146" s="1595"/>
      <c r="L146" s="1595"/>
      <c r="M146" s="1594"/>
      <c r="N146" s="1594"/>
    </row>
    <row r="147" spans="1:14">
      <c r="A147" s="1632" t="s">
        <v>5165</v>
      </c>
      <c r="B147" s="1632"/>
      <c r="C147" s="1632"/>
      <c r="D147" s="1632"/>
      <c r="E147" s="1632"/>
      <c r="F147" s="1632"/>
      <c r="G147" s="1632"/>
      <c r="H147" s="1632"/>
      <c r="I147" s="1632"/>
      <c r="J147" s="1632"/>
      <c r="K147" s="1632"/>
      <c r="L147" s="1632"/>
      <c r="M147" s="1632"/>
      <c r="N147" s="1632"/>
    </row>
    <row r="148" spans="1:14" ht="28.5">
      <c r="A148" s="1595" t="s">
        <v>240</v>
      </c>
      <c r="B148" s="1595" t="s">
        <v>4960</v>
      </c>
      <c r="C148" s="1595" t="s">
        <v>4961</v>
      </c>
      <c r="D148" s="1595" t="s">
        <v>4962</v>
      </c>
      <c r="E148" s="1595" t="s">
        <v>4963</v>
      </c>
      <c r="F148" s="1595" t="s">
        <v>4964</v>
      </c>
      <c r="G148" s="1595" t="s">
        <v>4965</v>
      </c>
      <c r="H148" s="1596" t="s">
        <v>4966</v>
      </c>
      <c r="I148" s="1595" t="s">
        <v>4967</v>
      </c>
      <c r="J148" s="1595" t="s">
        <v>4968</v>
      </c>
      <c r="K148" s="1595" t="s">
        <v>4969</v>
      </c>
      <c r="L148" s="1595" t="s">
        <v>4970</v>
      </c>
      <c r="M148" s="1594" t="s">
        <v>278</v>
      </c>
      <c r="N148" s="1597" t="s">
        <v>4755</v>
      </c>
    </row>
    <row r="149" spans="1:14">
      <c r="A149" s="1595"/>
      <c r="B149" s="1595"/>
      <c r="C149" s="1595"/>
      <c r="D149" s="1595"/>
      <c r="E149" s="1595"/>
      <c r="F149" s="1595"/>
      <c r="G149" s="1595"/>
      <c r="H149" s="1596"/>
      <c r="I149" s="1595"/>
      <c r="J149" s="1595"/>
      <c r="K149" s="1595"/>
      <c r="L149" s="1595"/>
      <c r="M149" s="1594"/>
      <c r="N149" s="1594"/>
    </row>
    <row r="150" spans="1:14">
      <c r="A150" s="1632" t="s">
        <v>5166</v>
      </c>
      <c r="B150" s="1632"/>
      <c r="C150" s="1632"/>
      <c r="D150" s="1632"/>
      <c r="E150" s="1632"/>
      <c r="F150" s="1632"/>
      <c r="G150" s="1632"/>
      <c r="H150" s="1632"/>
      <c r="I150" s="1632"/>
      <c r="J150" s="1632"/>
      <c r="K150" s="1632"/>
      <c r="L150" s="1632"/>
      <c r="M150" s="1632"/>
      <c r="N150" s="1632"/>
    </row>
    <row r="151" spans="1:14" ht="28.5">
      <c r="A151" s="1595" t="s">
        <v>240</v>
      </c>
      <c r="B151" s="1595" t="s">
        <v>4960</v>
      </c>
      <c r="C151" s="1595" t="s">
        <v>4961</v>
      </c>
      <c r="D151" s="1595" t="s">
        <v>4962</v>
      </c>
      <c r="E151" s="1595" t="s">
        <v>4963</v>
      </c>
      <c r="F151" s="1595" t="s">
        <v>4964</v>
      </c>
      <c r="G151" s="1595" t="s">
        <v>4965</v>
      </c>
      <c r="H151" s="1596" t="s">
        <v>4966</v>
      </c>
      <c r="I151" s="1595" t="s">
        <v>4967</v>
      </c>
      <c r="J151" s="1595" t="s">
        <v>4968</v>
      </c>
      <c r="K151" s="1595" t="s">
        <v>4969</v>
      </c>
      <c r="L151" s="1595" t="s">
        <v>4970</v>
      </c>
      <c r="M151" s="1594" t="s">
        <v>278</v>
      </c>
      <c r="N151" s="1597"/>
    </row>
    <row r="152" spans="1:14" ht="71.25">
      <c r="A152" s="1595" t="str">
        <f>广州大桥!B$2</f>
        <v>中铁大桥局第九工程有限公司广州大桥扩宽工程项目经理部</v>
      </c>
      <c r="B152" s="1598" t="s">
        <v>190</v>
      </c>
      <c r="C152" s="1595" t="s">
        <v>5144</v>
      </c>
      <c r="D152" s="1595" t="str">
        <f>广州大桥!J$1</f>
        <v>合同价：C15：295  C20：305 C25：315 C30：325 C35：340 C40：355 C45：370 C50：390 C55：410 C60：440 砂浆：420 5%水泥稳定层：215；C40钢纤维收加工费5元/方；</v>
      </c>
      <c r="E152" s="1595">
        <f>VLOOKUP(N152,广州大桥!A$7:M$73,4)</f>
        <v>44011.5</v>
      </c>
      <c r="F152" s="1595">
        <f>VLOOKUP(N152,广州大桥!A$7:M$73,5)</f>
        <v>15684565</v>
      </c>
      <c r="G152" s="1595" t="s">
        <v>5167</v>
      </c>
      <c r="H152" s="1596">
        <f>J152/(I152+J152)</f>
        <v>0.97030007984627342</v>
      </c>
      <c r="I152" s="1595">
        <f>VLOOKUP(N152,广州大桥!A$7:M$73,11,TRUE)</f>
        <v>439256.65499999991</v>
      </c>
      <c r="J152" s="1595">
        <f>VLOOKUP(N152,广州大桥!A$7:M$100,10,TRUE)</f>
        <v>14350569.469999999</v>
      </c>
      <c r="K152" s="1595">
        <f>VLOOKUP(N152,广州大桥!A$7:M$100,8,TRUE)</f>
        <v>129501.5</v>
      </c>
      <c r="L152" s="1595">
        <v>2017.4</v>
      </c>
      <c r="M152" s="1594"/>
      <c r="N152" s="1597">
        <v>43000</v>
      </c>
    </row>
    <row r="153" spans="1:14" ht="71.25">
      <c r="A153" s="1595" t="str">
        <f>正升东圃项目!B$2</f>
        <v>广东正升建筑公司</v>
      </c>
      <c r="B153" s="1595" t="s">
        <v>5168</v>
      </c>
      <c r="C153" s="1595" t="s">
        <v>5044</v>
      </c>
      <c r="D153" s="1595" t="str">
        <f>正升东圃项目!J$1</f>
        <v>C10：270  C15：280  C20：290  C25：300  C30：310  C35：325  C40：340  C45：355  C50：375  C55：395  C60：420  润泵砂浆：300   2015年4月1日至4月30日上调15元/M3;2015年5月1日起恢复原单价C30 310 ；从2016年6月1日起C30 275；从2016年12月10日起上调45元；C30 320</v>
      </c>
      <c r="E153" s="1595">
        <f>VLOOKUP(N153,正升东圃项目!A$7:M$73,4)</f>
        <v>223374.5</v>
      </c>
      <c r="F153" s="1595">
        <f>VLOOKUP(N153,正升东圃项目!A$7:M$73,5)</f>
        <v>71793202</v>
      </c>
      <c r="G153" s="1595" t="s">
        <v>5169</v>
      </c>
      <c r="H153" s="1596">
        <f>J153/(I153+J153)</f>
        <v>0.98095163674750485</v>
      </c>
      <c r="I153" s="1595">
        <f>VLOOKUP(N153,正升东圃项目!A$7:M$73,11,TRUE)</f>
        <v>1079524.5</v>
      </c>
      <c r="J153" s="1595">
        <f>VLOOKUP(N153,正升东圃项目!A$7:M$100,10,TRUE)</f>
        <v>55593297.5</v>
      </c>
      <c r="K153" s="1595">
        <f>VLOOKUP(N153,正升东圃项目!A$7:M$100,8,TRUE)</f>
        <v>1012315</v>
      </c>
      <c r="L153" s="1595">
        <v>2017.4</v>
      </c>
      <c r="M153" s="1594" t="s">
        <v>4179</v>
      </c>
      <c r="N153" s="1597">
        <v>43000</v>
      </c>
    </row>
    <row r="154" spans="1:14" ht="71.25">
      <c r="A154" s="1595" t="str">
        <f>'正升东圃项目 (三期)'!B$2</f>
        <v>广东正升建筑公司</v>
      </c>
      <c r="B154" s="1595" t="s">
        <v>5170</v>
      </c>
      <c r="C154" s="1595" t="s">
        <v>5171</v>
      </c>
      <c r="D154" s="1595" t="str">
        <f>'正升东圃项目 (三期)'!J$1</f>
        <v>C10：270  C15：280  C20：290  C25：300  C30：310  C35：325  C40：340  C45：355  C50：375  C55：395  C60：420  润泵砂浆：300   2015年4月1日至4月30日上调15元/M3;2015年5月1日起恢复原单价C30 310 ；从2016年6月1日起C30 275；从2016年12月10日起上调45元；C30 320</v>
      </c>
      <c r="E154" s="1595">
        <f>VLOOKUP(N154,'正升东圃项目 (三期)'!A$7:M$73,4)</f>
        <v>46663.5</v>
      </c>
      <c r="F154" s="1595">
        <f>VLOOKUP(N154,'正升东圃项目 (三期)'!A$7:M$73,5)</f>
        <v>15587440</v>
      </c>
      <c r="G154" s="1595" t="s">
        <v>5169</v>
      </c>
      <c r="H154" s="1596">
        <f>J154/(I154+J154)</f>
        <v>0.8271585339757862</v>
      </c>
      <c r="I154" s="1595">
        <f>VLOOKUP(N154,正升东圃项目!A$7:M$73,11,TRUE)</f>
        <v>1079524.5</v>
      </c>
      <c r="J154" s="1595">
        <f>VLOOKUP(N154,'正升东圃项目 (三期)'!A$7:M$100,10,TRUE)</f>
        <v>5166225</v>
      </c>
      <c r="K154" s="1595">
        <f>VLOOKUP(N154,'正升东圃项目 (三期)'!A$7:M$100,8,TRUE)</f>
        <v>597195</v>
      </c>
      <c r="L154" s="1595">
        <v>2017.4</v>
      </c>
      <c r="M154" s="1594"/>
      <c r="N154" s="1597">
        <v>43000</v>
      </c>
    </row>
    <row r="155" spans="1:14" ht="71.25">
      <c r="A155" s="1595" t="str">
        <f>华发广钢新城!B$2</f>
        <v>广东建星建造集团有限公司</v>
      </c>
      <c r="B155" s="1598" t="s">
        <v>193</v>
      </c>
      <c r="C155" s="1595" t="s">
        <v>5172</v>
      </c>
      <c r="D155" s="1595" t="str">
        <f>华发广钢新城!J$1</f>
        <v>C15 246 C26 256 C25 266 C30 276 C35 291 C40 306 C45 321 C50 336 C55 351 5 润泵砂浆 300 从2016年7月15日至2016年9月15日上调10元C30 280 2016年9月15日恢复原单价。从2016年10月20日起上调10元 C30 286；2016年12月10日起上调40元；C30 326 润管砂浆310</v>
      </c>
      <c r="E155" s="1595">
        <f>VLOOKUP(N155,华发广钢新城!A$7:M$73,4)</f>
        <v>66209.5</v>
      </c>
      <c r="F155" s="1595">
        <f>VLOOKUP(N155,华发广钢新城!A$7:M$73,5)</f>
        <v>20083968.25</v>
      </c>
      <c r="G155" s="1595" t="s">
        <v>5173</v>
      </c>
      <c r="H155" s="1596">
        <f>J155/(I155+J155)</f>
        <v>0.77276313724057843</v>
      </c>
      <c r="I155" s="1595">
        <f>VLOOKUP(N155,华发广钢新城!A$7:M$73,11,TRUE)</f>
        <v>4488739.8999999994</v>
      </c>
      <c r="J155" s="1595">
        <f>VLOOKUP(N155,华发广钢新城!A$7:M$100,10,TRUE)</f>
        <v>15264832.85</v>
      </c>
      <c r="K155" s="1595">
        <f>VLOOKUP(N155,华发广钢新城!A$7:M$100,8,TRUE)</f>
        <v>5794586.1500000004</v>
      </c>
      <c r="L155" s="1595">
        <v>2017.1</v>
      </c>
      <c r="M155" s="1594"/>
      <c r="N155" s="1597">
        <v>43000</v>
      </c>
    </row>
    <row r="156" spans="1:14">
      <c r="A156" s="1595"/>
      <c r="B156" s="1595"/>
      <c r="C156" s="1595"/>
      <c r="D156" s="1595"/>
      <c r="E156" s="1595"/>
      <c r="F156" s="1595"/>
      <c r="G156" s="1595"/>
      <c r="H156" s="1596"/>
      <c r="I156" s="1595"/>
      <c r="J156" s="1595"/>
      <c r="K156" s="1595"/>
      <c r="L156" s="1595"/>
      <c r="M156" s="1594"/>
      <c r="N156" s="1594"/>
    </row>
    <row r="157" spans="1:14">
      <c r="A157" s="1632" t="s">
        <v>5174</v>
      </c>
      <c r="B157" s="1632"/>
      <c r="C157" s="1632"/>
      <c r="D157" s="1632"/>
      <c r="E157" s="1632"/>
      <c r="F157" s="1632"/>
      <c r="G157" s="1632"/>
      <c r="H157" s="1632"/>
      <c r="I157" s="1632"/>
      <c r="J157" s="1632"/>
      <c r="K157" s="1632"/>
      <c r="L157" s="1632"/>
      <c r="M157" s="1632"/>
      <c r="N157" s="1632"/>
    </row>
    <row r="158" spans="1:14" ht="28.5">
      <c r="A158" s="1595" t="s">
        <v>240</v>
      </c>
      <c r="B158" s="1595" t="s">
        <v>4960</v>
      </c>
      <c r="C158" s="1595" t="s">
        <v>4961</v>
      </c>
      <c r="D158" s="1595" t="s">
        <v>4962</v>
      </c>
      <c r="E158" s="1595" t="s">
        <v>4963</v>
      </c>
      <c r="F158" s="1595" t="s">
        <v>4964</v>
      </c>
      <c r="G158" s="1595" t="s">
        <v>4965</v>
      </c>
      <c r="H158" s="1596" t="s">
        <v>4966</v>
      </c>
      <c r="I158" s="1595" t="s">
        <v>4967</v>
      </c>
      <c r="J158" s="1595" t="s">
        <v>4968</v>
      </c>
      <c r="K158" s="1595" t="s">
        <v>4969</v>
      </c>
      <c r="L158" s="1595" t="s">
        <v>4970</v>
      </c>
      <c r="M158" s="1594" t="s">
        <v>278</v>
      </c>
      <c r="N158" s="1597" t="s">
        <v>4755</v>
      </c>
    </row>
    <row r="159" spans="1:14">
      <c r="A159" s="1595" t="str">
        <f>金沙洲地块!B$2</f>
        <v>广东敦庆建筑工程有限公司</v>
      </c>
      <c r="B159" s="1595" t="s">
        <v>201</v>
      </c>
      <c r="C159" s="1595" t="s">
        <v>5175</v>
      </c>
      <c r="D159" s="1595">
        <f>金沙洲地块!J$2</f>
        <v>0</v>
      </c>
      <c r="E159" s="1595">
        <f>VLOOKUP(N159,金沙洲地块!A$7:M$73,4)</f>
        <v>8</v>
      </c>
      <c r="F159" s="1595">
        <f>VLOOKUP(N159,金沙洲地块!A$7:M$73,5)</f>
        <v>2080</v>
      </c>
      <c r="G159" s="1595" t="s">
        <v>1816</v>
      </c>
      <c r="H159" s="1596">
        <f>J159/(I159+J159)</f>
        <v>0</v>
      </c>
      <c r="I159" s="1595">
        <f>VLOOKUP(N159,金沙洲地块!A$7:M$73,11,TRUE)</f>
        <v>2080</v>
      </c>
      <c r="J159" s="1595">
        <f>VLOOKUP(N159,金沙洲地块!A$7:M$100,10,TRUE)</f>
        <v>0</v>
      </c>
      <c r="K159" s="1595">
        <f>VLOOKUP(N159,金沙洲地块!A$7:M$100,8,TRUE)</f>
        <v>0</v>
      </c>
      <c r="L159" s="1595"/>
      <c r="M159" s="1595" t="s">
        <v>5051</v>
      </c>
      <c r="N159" s="1597">
        <v>43000</v>
      </c>
    </row>
    <row r="160" spans="1:14" ht="71.25">
      <c r="A160" s="1595" t="str">
        <f>侨建大厦!B$2</f>
        <v xml:space="preserve"> 湛江市粤西建筑工程公司</v>
      </c>
      <c r="B160" s="1595" t="s">
        <v>5176</v>
      </c>
      <c r="C160" s="1595" t="s">
        <v>5177</v>
      </c>
      <c r="D160" s="1595" t="str">
        <f>侨建大厦!J$1</f>
        <v>C10：270 C15：280 C20：290 C25：300 C30：310 C35：325 C40：340；从2014年10月30上调30元/m3从2015年4月1日执行 C10 300 C15 310 C20 320 C25 330 C30 340 C35 355 C40 370 ；从2015年10月1日起下调40元；C30 300 元；</v>
      </c>
      <c r="E160" s="1595">
        <f>VLOOKUP(N160,侨建大厦!A$7:M$73,4)</f>
        <v>11699</v>
      </c>
      <c r="F160" s="1595">
        <f>VLOOKUP(N160,侨建大厦!A$7:M$73,5)</f>
        <v>3898635</v>
      </c>
      <c r="G160" s="1595" t="s">
        <v>5178</v>
      </c>
      <c r="H160" s="1596">
        <f>J160/(I160+J160)</f>
        <v>1.1111111111111112</v>
      </c>
      <c r="I160" s="1595">
        <f>VLOOKUP(N160,侨建大厦!A$7:M$73,11,TRUE)</f>
        <v>-389863.5</v>
      </c>
      <c r="J160" s="1595">
        <f>VLOOKUP(N160,侨建大厦!A$7:M$100,10,TRUE)</f>
        <v>3898635</v>
      </c>
      <c r="K160" s="1595">
        <f>VLOOKUP(N160,侨建大厦!A$7:M$100,8,TRUE)</f>
        <v>57622.5</v>
      </c>
      <c r="L160" s="1595">
        <v>2016.9</v>
      </c>
      <c r="M160" s="1594"/>
      <c r="N160" s="1597">
        <v>43000</v>
      </c>
    </row>
    <row r="161" spans="1:14" ht="42.75">
      <c r="A161" s="1595" t="str">
        <f>联合交易园!B$2</f>
        <v>广州市意达建设有限公司</v>
      </c>
      <c r="B161" s="1595" t="s">
        <v>200</v>
      </c>
      <c r="C161" s="1595" t="s">
        <v>5175</v>
      </c>
      <c r="D161" s="1595" t="str">
        <f>联合交易园!J$1</f>
        <v>C30:250，2013年8月份开始加价10元</v>
      </c>
      <c r="E161" s="1595">
        <f>VLOOKUP(N161,联合交易园!A$7:M$73,4)</f>
        <v>28537.5</v>
      </c>
      <c r="F161" s="1595">
        <f>VLOOKUP(N161,联合交易园!A$7:M$73,5)</f>
        <v>9406266</v>
      </c>
      <c r="G161" s="1595" t="s">
        <v>4974</v>
      </c>
      <c r="H161" s="1596">
        <f>J161/(I161+J161)</f>
        <v>1</v>
      </c>
      <c r="I161" s="1595">
        <f>VLOOKUP(N161,联合交易园!A$7:M$73,11,TRUE)</f>
        <v>0</v>
      </c>
      <c r="J161" s="1595">
        <f>VLOOKUP(N161,联合交易园!A$7:M$100,10,TRUE)</f>
        <v>9406265</v>
      </c>
      <c r="K161" s="1595">
        <f>VLOOKUP(N161,联合交易园!A$7:M$100,8,TRUE)</f>
        <v>0</v>
      </c>
      <c r="L161" s="1595">
        <v>2017.1</v>
      </c>
      <c r="M161" s="1594"/>
      <c r="N161" s="1597">
        <v>43000</v>
      </c>
    </row>
    <row r="162" spans="1:14">
      <c r="A162" s="1595"/>
      <c r="B162" s="1595"/>
      <c r="C162" s="1595"/>
      <c r="D162" s="1595"/>
      <c r="E162" s="1595"/>
      <c r="F162" s="1595"/>
      <c r="G162" s="1595"/>
      <c r="H162" s="1596"/>
      <c r="I162" s="1595"/>
      <c r="J162" s="1595"/>
      <c r="K162" s="1595"/>
      <c r="L162" s="1595"/>
      <c r="M162" s="1594"/>
      <c r="N162" s="1594"/>
    </row>
    <row r="163" spans="1:14">
      <c r="A163" s="1595"/>
      <c r="B163" s="1595"/>
      <c r="C163" s="1595"/>
      <c r="D163" s="1595"/>
      <c r="E163" s="1595"/>
      <c r="F163" s="1595"/>
      <c r="G163" s="1595"/>
      <c r="H163" s="1596"/>
      <c r="I163" s="1595"/>
      <c r="J163" s="1595"/>
      <c r="K163" s="1595"/>
      <c r="L163" s="1595"/>
      <c r="M163" s="1594"/>
      <c r="N163" s="1594"/>
    </row>
    <row r="164" spans="1:14">
      <c r="A164" s="1632" t="s">
        <v>5179</v>
      </c>
      <c r="B164" s="1632"/>
      <c r="C164" s="1632"/>
      <c r="D164" s="1632"/>
      <c r="E164" s="1632"/>
      <c r="F164" s="1632"/>
      <c r="G164" s="1632"/>
      <c r="H164" s="1632"/>
      <c r="I164" s="1632"/>
      <c r="J164" s="1632"/>
      <c r="K164" s="1632"/>
      <c r="L164" s="1632"/>
      <c r="M164" s="1632"/>
      <c r="N164" s="1632"/>
    </row>
    <row r="165" spans="1:14" ht="42.75">
      <c r="A165" s="1595" t="s">
        <v>240</v>
      </c>
      <c r="B165" s="1595" t="s">
        <v>4960</v>
      </c>
      <c r="C165" s="1595" t="s">
        <v>4961</v>
      </c>
      <c r="D165" s="1595" t="s">
        <v>4962</v>
      </c>
      <c r="E165" s="1595" t="s">
        <v>5180</v>
      </c>
      <c r="F165" s="1595" t="s">
        <v>4964</v>
      </c>
      <c r="G165" s="1595" t="s">
        <v>4965</v>
      </c>
      <c r="H165" s="1596" t="s">
        <v>4966</v>
      </c>
      <c r="I165" s="1595" t="s">
        <v>4967</v>
      </c>
      <c r="J165" s="1595" t="s">
        <v>4968</v>
      </c>
      <c r="K165" s="1595" t="s">
        <v>4969</v>
      </c>
      <c r="L165" s="1595" t="s">
        <v>4970</v>
      </c>
      <c r="M165" s="1594" t="s">
        <v>278</v>
      </c>
      <c r="N165" s="1597" t="s">
        <v>4755</v>
      </c>
    </row>
    <row r="166" spans="1:14" ht="42.75">
      <c r="A166" s="1595" t="str">
        <f>新墟村复建!B$2</f>
        <v>广州鼎胜建筑基础工程有限公司</v>
      </c>
      <c r="B166" s="1595" t="s">
        <v>204</v>
      </c>
      <c r="C166" s="1595" t="s">
        <v>5181</v>
      </c>
      <c r="D166" s="1595" t="str">
        <f>新墟村复建!J$1</f>
        <v>C15：273  C20：283  C25：293  C30：303  C35：318  C40：333  C45：353  C50：378   C55：408  C60：443  砂浆 420 从2015年8月20日起下调7元/方（C30 296)</v>
      </c>
      <c r="E166" s="1595">
        <f>VLOOKUP(N166,新墟村复建!A$7:M$73,4)</f>
        <v>11554.5</v>
      </c>
      <c r="F166" s="1595">
        <f>VLOOKUP(N166,新墟村复建!A$7:M$73,5)</f>
        <v>3557222.5</v>
      </c>
      <c r="G166" s="1595" t="s">
        <v>5182</v>
      </c>
      <c r="H166" s="1596">
        <f t="shared" ref="H166:H177" si="7">J166/(I166+J166)</f>
        <v>0.96052859909475818</v>
      </c>
      <c r="I166" s="1595">
        <f>VLOOKUP(N166,新墟村复建!A$7:M$73,11,TRUE)</f>
        <v>140373.50499999968</v>
      </c>
      <c r="J166" s="1595">
        <f>VLOOKUP(N166,新墟村复建!A$7:M$100,10,TRUE)</f>
        <v>3415961</v>
      </c>
      <c r="K166" s="1595">
        <f>VLOOKUP(N166,新墟村复建!A$7:M$100,8,TRUE)</f>
        <v>177816.73</v>
      </c>
      <c r="L166" s="1595">
        <v>2016.8</v>
      </c>
      <c r="M166" s="1594" t="s">
        <v>5183</v>
      </c>
      <c r="N166" s="1597">
        <v>43000</v>
      </c>
    </row>
    <row r="167" spans="1:14" ht="57">
      <c r="A167" s="1595" t="str">
        <f>东圃公交改造工程!B$2</f>
        <v>广州市公路工程公司</v>
      </c>
      <c r="B167" s="1595" t="s">
        <v>5184</v>
      </c>
      <c r="C167" s="1595" t="s">
        <v>5185</v>
      </c>
      <c r="D167" s="1595" t="str">
        <f>东圃公交改造工程!J$1</f>
        <v>C15：305  C20：315  C25：325 C30:335   C35：350  C40：365  C45：385  C50：405  C55：430  C60：460  从2017年1月1日起上调20元；C30 255</v>
      </c>
      <c r="E167" s="1595">
        <f>VLOOKUP(N167,东圃公交改造工程!A$7:M$73,4)</f>
        <v>108515.5</v>
      </c>
      <c r="F167" s="1595">
        <f>VLOOKUP(N167,东圃公交改造工程!A$7:M$73,5)</f>
        <v>38120732.5</v>
      </c>
      <c r="G167" s="1595" t="s">
        <v>5186</v>
      </c>
      <c r="H167" s="1596">
        <f t="shared" si="7"/>
        <v>0.99722598457414213</v>
      </c>
      <c r="I167" s="1595">
        <f>VLOOKUP(N167,东圃公交改造工程!A$7:M$73,11,TRUE)</f>
        <v>105747.5</v>
      </c>
      <c r="J167" s="1595">
        <f>VLOOKUP(N167,东圃公交改造工程!A$7:M$100,10,TRUE)</f>
        <v>38014985</v>
      </c>
      <c r="K167" s="1595">
        <f>VLOOKUP(N167,东圃公交改造工程!A$7:M$100,8,TRUE)</f>
        <v>0</v>
      </c>
      <c r="L167" s="1595">
        <v>2017.4</v>
      </c>
      <c r="M167" s="1594"/>
      <c r="N167" s="1597">
        <v>43000</v>
      </c>
    </row>
    <row r="168" spans="1:14" ht="42.75">
      <c r="A168" s="1595" t="str">
        <f>名车博览会!B$2</f>
        <v>广东鸿建建筑工程有限公司</v>
      </c>
      <c r="B168" s="1595" t="s">
        <v>206</v>
      </c>
      <c r="C168" s="1595" t="s">
        <v>5187</v>
      </c>
      <c r="D168" s="1595" t="str">
        <f>名车博览会!J$1</f>
        <v>C15：260  C20：270  C25：280  C30：290  C35：305  C40：320  C45：340  C50：365   C55：395  C60：430 砂浆 420</v>
      </c>
      <c r="E168" s="1595">
        <f>VLOOKUP(N168,名车博览会!A$7:M$73,4)</f>
        <v>12079.5</v>
      </c>
      <c r="F168" s="1595">
        <f>VLOOKUP(N168,名车博览会!A$7:M$73,5)</f>
        <v>3503630</v>
      </c>
      <c r="G168" s="1595" t="s">
        <v>4957</v>
      </c>
      <c r="H168" s="1596">
        <f t="shared" si="7"/>
        <v>1</v>
      </c>
      <c r="I168" s="1595">
        <f>VLOOKUP(N168,名车博览会!A$7:M$73,11,TRUE)</f>
        <v>0</v>
      </c>
      <c r="J168" s="1595">
        <f>VLOOKUP(N168,名车博览会!A$7:M$100,10,TRUE)</f>
        <v>3503630</v>
      </c>
      <c r="K168" s="1595">
        <f>VLOOKUP(N168,名车博览会!A$7:M$100,8,TRUE)</f>
        <v>462195</v>
      </c>
      <c r="L168" s="1595">
        <v>2015.11</v>
      </c>
      <c r="M168" s="1594" t="s">
        <v>5188</v>
      </c>
      <c r="N168" s="1597">
        <v>43000</v>
      </c>
    </row>
    <row r="169" spans="1:14" ht="71.25">
      <c r="A169" s="1595" t="str">
        <f>中三保利广钢新城!B$3</f>
        <v>中建三局集团有限公司佛山分公司</v>
      </c>
      <c r="B169" s="1598" t="s">
        <v>5189</v>
      </c>
      <c r="C169" s="1595" t="s">
        <v>5111</v>
      </c>
      <c r="D169" s="1595" t="str">
        <f>中三保利广钢新城!J$1</f>
        <v>C15：235  C20：245  C25：255  C30：265 C35：280  C40：295  C45：315  C50：340   C55：360  C60：380 从2016年12月10日至2016年12月31日增加25元；从2017年1月1日开始增加15元；C30 280</v>
      </c>
      <c r="E169" s="1595">
        <f>VLOOKUP(N169,中三保利广钢新城!A$7:M$73,4)</f>
        <v>67597.100000000006</v>
      </c>
      <c r="F169" s="1595">
        <f>VLOOKUP(N169,中三保利广钢新城!A$7:M$73,5)</f>
        <v>18304541</v>
      </c>
      <c r="G169" s="1595" t="s">
        <v>5190</v>
      </c>
      <c r="H169" s="1596">
        <f t="shared" si="7"/>
        <v>0.74981941445633338</v>
      </c>
      <c r="I169" s="1595">
        <f>VLOOKUP(N169,中三保利广钢新城!A$7:M$73,11,TRUE)</f>
        <v>4351047.1950000003</v>
      </c>
      <c r="J169" s="1595">
        <f>VLOOKUP(N169,中三保利广钢新城!A$7:M$100,10,TRUE)</f>
        <v>13040578.879999999</v>
      </c>
      <c r="K169" s="1595">
        <f>VLOOKUP(N169,中三保利广钢新城!A$7:M$100,8,TRUE)</f>
        <v>275120</v>
      </c>
      <c r="L169" s="1595">
        <v>2017.3</v>
      </c>
      <c r="M169" s="1594"/>
      <c r="N169" s="1597">
        <v>43000</v>
      </c>
    </row>
    <row r="170" spans="1:14" ht="71.25">
      <c r="A170" s="1612" t="str">
        <f>中建三中海广钢!B$2</f>
        <v>中建三局集团有限公司</v>
      </c>
      <c r="B170" s="1613" t="s">
        <v>5191</v>
      </c>
      <c r="C170" s="1612" t="s">
        <v>4982</v>
      </c>
      <c r="D170" s="1612" t="str">
        <f>中建三中海广钢!J$1</f>
        <v>C10 218 C15 228 C20 238 C25 248 C30 258 C35 273 C40 288 C45 308 C50 333 C55 355 C60 375 砂浆 与同标号混凝土同价从2016年12月10日至2016年12月31日增加32元；从2017年1月1日开始增加22元；C30 280</v>
      </c>
      <c r="E170" s="1612">
        <f>VLOOKUP(N170,中建三中海广钢!A$7:M$73,4)</f>
        <v>68539.100000000006</v>
      </c>
      <c r="F170" s="1612">
        <f>VLOOKUP(N170,中建三中海广钢!A$7:M$73,5)</f>
        <v>20448851.699999999</v>
      </c>
      <c r="G170" s="1612" t="s">
        <v>5190</v>
      </c>
      <c r="H170" s="1614">
        <f t="shared" si="7"/>
        <v>0.99174168510986749</v>
      </c>
      <c r="I170" s="1612">
        <f>VLOOKUP(N170,中建三中海广钢!A$7:M$73,11,TRUE)</f>
        <v>121094.54999999981</v>
      </c>
      <c r="J170" s="1612">
        <f>VLOOKUP(N170,中建三中海广钢!A$7:M$100,10,TRUE)</f>
        <v>14542254.039999999</v>
      </c>
      <c r="K170" s="1612">
        <f>VLOOKUP(N170,中建三中海广钢!A$7:M$100,8,TRUE)</f>
        <v>1121094.5499999998</v>
      </c>
      <c r="L170" s="1612">
        <v>2017.3</v>
      </c>
      <c r="M170" s="1615"/>
      <c r="N170" s="1597">
        <v>43000</v>
      </c>
    </row>
    <row r="171" spans="1:14" ht="57">
      <c r="A171" s="1595" t="str">
        <f>中交集团南方总部!B$3</f>
        <v>中建三局集团有限公司</v>
      </c>
      <c r="B171" s="1598" t="s">
        <v>209</v>
      </c>
      <c r="C171" s="1595" t="s">
        <v>5041</v>
      </c>
      <c r="D171" s="1595" t="str">
        <f>中交集团南方总部!J$1</f>
        <v>C10 210 C15 220 C20 215 C25 240 C30 250 C35 260 C40 273 C45 295 C50 320 C55 345 C60 353 从2016年12月10日至2016年12月31日增加40元；从2017年1月1日开始增加30元；C30 280</v>
      </c>
      <c r="E171" s="1595">
        <f>VLOOKUP(N171,中交集团南方总部!A$7:M$73,4)</f>
        <v>69878</v>
      </c>
      <c r="F171" s="1595">
        <f>VLOOKUP(N171,中交集团南方总部!A$7:M$73,5)</f>
        <v>21395734.5</v>
      </c>
      <c r="G171" s="1595" t="s">
        <v>5192</v>
      </c>
      <c r="H171" s="1596">
        <f t="shared" si="7"/>
        <v>0.79509135482496462</v>
      </c>
      <c r="I171" s="1595">
        <f>VLOOKUP(N171,中交集团南方总部!A$7:M$73,11,TRUE)</f>
        <v>2746674.3799999985</v>
      </c>
      <c r="J171" s="1595">
        <f>VLOOKUP(N171,中交集团南方总部!A$7:M$100,10,TRUE)</f>
        <v>10657710.67</v>
      </c>
      <c r="K171" s="1595">
        <f>VLOOKUP(N171,中交集团南方总部!A$7:M$100,8,TRUE)</f>
        <v>873560.1</v>
      </c>
      <c r="L171" s="1595">
        <v>2017.1</v>
      </c>
      <c r="M171" s="1594"/>
      <c r="N171" s="1597">
        <v>43000</v>
      </c>
    </row>
    <row r="172" spans="1:14" ht="85.5">
      <c r="A172" s="1595" t="str">
        <f>国际港航!B$2</f>
        <v>广州协安建设工程有限公司</v>
      </c>
      <c r="B172" s="1595" t="s">
        <v>210</v>
      </c>
      <c r="C172" s="1595" t="s">
        <v>5041</v>
      </c>
      <c r="D172" s="1595" t="str">
        <f>国际港航!J$1</f>
        <v>C10 222 C15 222 C20 232 C25 242 C30 252 C35 267 C40 282 C45 302从2016年12.12至12.31上调30元；2017.1.1起上调21元。从2017年6月1日长兴合同执行以下单价：C15 243 C20 253 C25 263 C30 273 C35 288 C40 303 C45 323 C50 343 C55 368 C60 393 C65 423 C70 513 高抛砼单价 C40 403 C45 413 C50 438 C55 453 C60 473 C65 493 C70 573</v>
      </c>
      <c r="E172" s="1595">
        <f>VLOOKUP(N172,国际港航!A$7:M$73,4)</f>
        <v>2389.5</v>
      </c>
      <c r="F172" s="1595">
        <f>VLOOKUP(N172,国际港航!A$7:M$73,5)</f>
        <v>606259</v>
      </c>
      <c r="G172" s="1595" t="s">
        <v>5193</v>
      </c>
      <c r="H172" s="1596">
        <f t="shared" si="7"/>
        <v>0</v>
      </c>
      <c r="I172" s="1595">
        <f>VLOOKUP(N172,国际港航!A$7:M$73,11,TRUE)</f>
        <v>485007.20000000007</v>
      </c>
      <c r="J172" s="1595">
        <f>VLOOKUP(N172,国际港航!A$7:M$100,10,TRUE)</f>
        <v>0</v>
      </c>
      <c r="K172" s="1595">
        <f>VLOOKUP(N172,国际港航!A$7:M$100,8,TRUE)</f>
        <v>167340.80000000002</v>
      </c>
      <c r="L172" s="1595">
        <v>2017.3</v>
      </c>
      <c r="M172" s="1594"/>
      <c r="N172" s="1597">
        <v>43000</v>
      </c>
    </row>
    <row r="173" spans="1:14" ht="99.75">
      <c r="A173" s="1595" t="str">
        <f>出入境边防!B$2</f>
        <v>广州市恒盛建设工程有限公司</v>
      </c>
      <c r="B173" s="1595" t="s">
        <v>211</v>
      </c>
      <c r="C173" s="1595" t="s">
        <v>5041</v>
      </c>
      <c r="D173" s="1595" t="str">
        <f>出入境边防!J$1</f>
        <v xml:space="preserve">C15 225 C20 235 C25 245 C30 255 C35 270 C40 285 C45 305 C50 325 C55 350 C60 375 从2016年7月15日至2016年9月30日起上调20元 C30 275 从2016年10月15日上调10元；2016年10月25日上调15元；C30 280 从2016年12月12日起上调40元 C30 320；从2017年6月1日起长兴合同单价：C15 260 C20 270 C25 280 C30 290 C35 305 C40 320 C45 340 C50 360 C55 385 C60 410 砂浆320 </v>
      </c>
      <c r="E173" s="1595">
        <f>VLOOKUP(N173,出入境边防!A$7:M$73,4)</f>
        <v>3998.5</v>
      </c>
      <c r="F173" s="1595">
        <f>VLOOKUP(N173,出入境边防!A$7:M$73,5)</f>
        <v>1269735</v>
      </c>
      <c r="G173" s="1595" t="s">
        <v>5012</v>
      </c>
      <c r="H173" s="1596">
        <f t="shared" si="7"/>
        <v>0</v>
      </c>
      <c r="I173" s="1595">
        <f>VLOOKUP(N173,出入境边防!A$7:M$73,11,TRUE)</f>
        <v>986930</v>
      </c>
      <c r="J173" s="1595">
        <f>VLOOKUP(N173,出入境边防!A$7:M$100,10,TRUE)</f>
        <v>0</v>
      </c>
      <c r="K173" s="1595">
        <f>VLOOKUP(N173,出入境边防!A$7:M$100,8,TRUE)</f>
        <v>956245</v>
      </c>
      <c r="L173" s="1595">
        <v>2016.11</v>
      </c>
      <c r="M173" s="1594"/>
      <c r="N173" s="1597">
        <v>43000</v>
      </c>
    </row>
    <row r="174" spans="1:14" ht="85.5">
      <c r="A174" s="1595" t="str">
        <f>花都都湖!B$2</f>
        <v>中建三局集团有限公司</v>
      </c>
      <c r="B174" s="1598" t="s">
        <v>212</v>
      </c>
      <c r="C174" s="1595" t="s">
        <v>5194</v>
      </c>
      <c r="D174" s="1595" t="str">
        <f>花都都湖!J$1</f>
        <v>C10 220 C15 230 C20 240 C25 250 C30 260 C35 270 C40 285 C45 305 C50 330 C55 355 C60 380 从2016年12月10日至2016年12月31日增加50元；从2017年1月1日开始增加20元；C30 280</v>
      </c>
      <c r="E174" s="1595">
        <f>VLOOKUP(N174,花都都湖!A$7:M$73,4)</f>
        <v>104338.5</v>
      </c>
      <c r="F174" s="1595">
        <f>VLOOKUP(N174,花都都湖!A$7:M$73,5)</f>
        <v>29300037.5</v>
      </c>
      <c r="G174" s="1595" t="s">
        <v>5195</v>
      </c>
      <c r="H174" s="1596">
        <f t="shared" si="7"/>
        <v>0.7526662487131085</v>
      </c>
      <c r="I174" s="1595">
        <f>VLOOKUP(N174,花都都湖!A$7:M$73,11,TRUE)</f>
        <v>3135116.25</v>
      </c>
      <c r="J174" s="1595">
        <f>VLOOKUP(N174,花都都湖!A$7:M$100,10,TRUE)</f>
        <v>9540534.5</v>
      </c>
      <c r="K174" s="1595">
        <f>VLOOKUP(N174,花都都湖!A$7:M$100,8,TRUE)</f>
        <v>2419642.75</v>
      </c>
      <c r="L174" s="1595">
        <v>2017.3</v>
      </c>
      <c r="M174" s="1594"/>
      <c r="N174" s="1597">
        <v>43000</v>
      </c>
    </row>
    <row r="175" spans="1:14" ht="28.5">
      <c r="A175" s="1595" t="str">
        <f>小米科技!B$2</f>
        <v xml:space="preserve">中建三局集团有限公司  </v>
      </c>
      <c r="B175" s="1595" t="s">
        <v>213</v>
      </c>
      <c r="C175" s="1595" t="s">
        <v>5049</v>
      </c>
      <c r="D175" s="1595" t="str">
        <f>小米科技!J$1</f>
        <v>C10 260 C15 260 C20 265 C25 275 C30 285 C35 300 C40 315 C45 335 C50 355 C55 380 C60 410 C65 470</v>
      </c>
      <c r="E175" s="1595">
        <f>VLOOKUP(N175,小米科技!A$7:M$73,4)</f>
        <v>15706.5</v>
      </c>
      <c r="F175" s="1595">
        <f>VLOOKUP(N175,小米科技!A$7:M$73,5)</f>
        <v>4630275.3500000006</v>
      </c>
      <c r="G175" s="1595" t="s">
        <v>1816</v>
      </c>
      <c r="H175" s="1596">
        <f t="shared" si="7"/>
        <v>0.63979395824530061</v>
      </c>
      <c r="I175" s="1595">
        <f>VLOOKUP(N175,小米科技!A$7:M$73,11,TRUE)</f>
        <v>978444.56199999992</v>
      </c>
      <c r="J175" s="1595">
        <f>VLOOKUP(N175,小米科技!A$7:M$100,10,TRUE)</f>
        <v>1737902.33</v>
      </c>
      <c r="K175" s="1595">
        <f>VLOOKUP(N175,小米科技!A$7:M$100,8,TRUE)</f>
        <v>978444.56499999994</v>
      </c>
      <c r="L175" s="1595">
        <v>2016.7</v>
      </c>
      <c r="M175" s="1595" t="s">
        <v>5196</v>
      </c>
      <c r="N175" s="1597">
        <v>43000</v>
      </c>
    </row>
    <row r="176" spans="1:14" ht="28.5">
      <c r="A176" s="1595" t="str">
        <f>泰康商住楼!B$2</f>
        <v>广州市机施建设有限公司</v>
      </c>
      <c r="B176" s="1595" t="s">
        <v>4703</v>
      </c>
      <c r="C176" s="1595" t="s">
        <v>5197</v>
      </c>
      <c r="D176" s="1595">
        <f>泰康商住楼!J$1</f>
        <v>0</v>
      </c>
      <c r="E176" s="1595">
        <f>VLOOKUP(N176,泰康商住楼!A$7:M$73,4)</f>
        <v>5573</v>
      </c>
      <c r="F176" s="1595">
        <f>VLOOKUP(N176,泰康商住楼!A$7:M$73,5)</f>
        <v>1577887.5</v>
      </c>
      <c r="G176" s="1595" t="s">
        <v>1816</v>
      </c>
      <c r="H176" s="1596">
        <f t="shared" si="7"/>
        <v>0</v>
      </c>
      <c r="I176" s="1595">
        <f>VLOOKUP(N176,泰康商住楼!A$7:M$73,11,TRUE)</f>
        <v>1577887.5</v>
      </c>
      <c r="J176" s="1595">
        <f>VLOOKUP(N176,泰康商住楼!A$7:M$100,10,TRUE)</f>
        <v>0</v>
      </c>
      <c r="K176" s="1595">
        <f>VLOOKUP(N176,泰康商住楼!A$7:M$100,8,TRUE)</f>
        <v>0</v>
      </c>
      <c r="L176" s="1595"/>
      <c r="M176" s="1595" t="s">
        <v>5198</v>
      </c>
      <c r="N176" s="1597">
        <v>43000</v>
      </c>
    </row>
    <row r="177" spans="1:14" ht="28.5">
      <c r="A177" s="1595" t="str">
        <f>恒基中心!B$2</f>
        <v>中建三局集团有限公司</v>
      </c>
      <c r="B177" s="1595" t="s">
        <v>214</v>
      </c>
      <c r="C177" s="1595" t="s">
        <v>5052</v>
      </c>
      <c r="D177" s="1595" t="str">
        <f>恒基中心!J$1</f>
        <v xml:space="preserve">C10 254 C15 260 C20 265 C25 275 C30 285 C35 300 C40 315 C45 335 C50 355 C55 380 C60 410 C65 470 </v>
      </c>
      <c r="E177" s="1595">
        <f>VLOOKUP(N177,恒基中心!A$7:M$73,4)</f>
        <v>34717</v>
      </c>
      <c r="F177" s="1595">
        <f>VLOOKUP(N177,恒基中心!A$7:M$73,5)</f>
        <v>11749125.729999999</v>
      </c>
      <c r="G177" s="1595" t="s">
        <v>1816</v>
      </c>
      <c r="H177" s="1596">
        <f t="shared" si="7"/>
        <v>0.72037847371038422</v>
      </c>
      <c r="I177" s="1595">
        <f>VLOOKUP(N177,恒基中心!A$7:M$73,11,TRUE)</f>
        <v>1746716.3639999991</v>
      </c>
      <c r="J177" s="1595">
        <f>VLOOKUP(N177,恒基中心!A$7:M$100,10,TRUE)</f>
        <v>4500000</v>
      </c>
      <c r="K177" s="1595">
        <f>VLOOKUP(N177,恒基中心!A$7:M$100,8,TRUE)</f>
        <v>1177061.8299999998</v>
      </c>
      <c r="L177" s="1595"/>
      <c r="M177" s="1595" t="s">
        <v>5051</v>
      </c>
      <c r="N177" s="1597">
        <v>43000</v>
      </c>
    </row>
    <row r="178" spans="1:14">
      <c r="A178" s="1595"/>
      <c r="B178" s="1595"/>
      <c r="C178" s="1595"/>
      <c r="D178" s="1595"/>
      <c r="E178" s="1595"/>
      <c r="F178" s="1595"/>
      <c r="G178" s="1595"/>
      <c r="H178" s="1596"/>
      <c r="I178" s="1595"/>
      <c r="J178" s="1595"/>
      <c r="K178" s="1595"/>
      <c r="L178" s="1595"/>
      <c r="M178" s="1594"/>
      <c r="N178" s="1594"/>
    </row>
    <row r="179" spans="1:14">
      <c r="A179" s="1594" t="s">
        <v>5199</v>
      </c>
      <c r="B179" s="1594"/>
      <c r="C179" s="1594"/>
      <c r="D179" s="1594"/>
      <c r="E179" s="1594"/>
      <c r="F179" s="1594"/>
      <c r="G179" s="1594"/>
      <c r="H179" s="1594"/>
      <c r="I179" s="1594"/>
      <c r="J179" s="1594"/>
      <c r="K179" s="1594"/>
      <c r="L179" s="1594"/>
      <c r="M179" s="1594"/>
      <c r="N179" s="1594"/>
    </row>
    <row r="180" spans="1:14" ht="28.5">
      <c r="A180" s="1595" t="s">
        <v>240</v>
      </c>
      <c r="B180" s="1595" t="s">
        <v>4960</v>
      </c>
      <c r="C180" s="1595" t="s">
        <v>4961</v>
      </c>
      <c r="D180" s="1595" t="s">
        <v>4962</v>
      </c>
      <c r="E180" s="1595" t="s">
        <v>4963</v>
      </c>
      <c r="F180" s="1595" t="s">
        <v>4964</v>
      </c>
      <c r="G180" s="1595" t="s">
        <v>4965</v>
      </c>
      <c r="H180" s="1596" t="s">
        <v>4966</v>
      </c>
      <c r="I180" s="1595" t="s">
        <v>4967</v>
      </c>
      <c r="J180" s="1595" t="s">
        <v>4968</v>
      </c>
      <c r="K180" s="1595" t="s">
        <v>4969</v>
      </c>
      <c r="L180" s="1595" t="s">
        <v>4970</v>
      </c>
      <c r="M180" s="1594" t="s">
        <v>278</v>
      </c>
      <c r="N180" s="1597" t="s">
        <v>4755</v>
      </c>
    </row>
    <row r="181" spans="1:14" ht="71.25">
      <c r="A181" s="1595" t="str">
        <f>大塘小区!B$2</f>
        <v>广州市房屋开发建设有限公司</v>
      </c>
      <c r="B181" s="1595" t="s">
        <v>221</v>
      </c>
      <c r="C181" s="1595" t="s">
        <v>5200</v>
      </c>
      <c r="D181" s="1595" t="str">
        <f>大塘小区!J$1</f>
        <v>C10:235  C15:245  C20:255  C25:265  C30:275 C35:285  C40:300  C45:315  M5：380元，M7.5:390元,M10:405元,M15:410元,M20:420元,(防水加20元),2011年9月12日上调10元，2012年2月1日下调10元，2月20日上调8元，C30：283元</v>
      </c>
      <c r="E181" s="1595">
        <f>VLOOKUP(N181,大塘小区!A$7:M$73,4)</f>
        <v>27902</v>
      </c>
      <c r="F181" s="1595">
        <f>VLOOKUP(N181,大塘小区!A$7:M$73,5)</f>
        <v>8065509.0199999996</v>
      </c>
      <c r="G181" s="1595" t="s">
        <v>4957</v>
      </c>
      <c r="H181" s="1596">
        <f t="shared" ref="H181:H186" si="8">J181/(I181+J181)</f>
        <v>0.99803213536050328</v>
      </c>
      <c r="I181" s="1595">
        <f>VLOOKUP(N181,大塘小区!A$7:M$73,11,TRUE)</f>
        <v>15871.830000000045</v>
      </c>
      <c r="J181" s="1595">
        <f>VLOOKUP(N181,大塘小区!A$7:M$100,10,TRUE)</f>
        <v>8049637.1899999995</v>
      </c>
      <c r="K181" s="1595">
        <f>VLOOKUP(N181,大塘小区!A$7:M$100,8,TRUE)</f>
        <v>0</v>
      </c>
      <c r="L181" s="1595">
        <v>2016.2</v>
      </c>
      <c r="M181" s="1595"/>
      <c r="N181" s="1597">
        <v>43000</v>
      </c>
    </row>
    <row r="182" spans="1:14">
      <c r="A182" s="1595"/>
      <c r="B182" s="1595"/>
      <c r="C182" s="1595"/>
      <c r="D182" s="1595"/>
      <c r="E182" s="1595"/>
      <c r="F182" s="1595"/>
      <c r="G182" s="1595"/>
      <c r="H182" s="1596"/>
      <c r="I182" s="1595"/>
      <c r="J182" s="1595"/>
      <c r="K182" s="1595"/>
      <c r="L182" s="1595"/>
      <c r="M182" s="1594"/>
      <c r="N182" s="1594"/>
    </row>
    <row r="183" spans="1:14">
      <c r="A183" s="1594" t="s">
        <v>5201</v>
      </c>
      <c r="B183" s="1594"/>
      <c r="C183" s="1594"/>
      <c r="D183" s="1594"/>
      <c r="E183" s="1594"/>
      <c r="F183" s="1594"/>
      <c r="G183" s="1594"/>
      <c r="H183" s="1594"/>
      <c r="I183" s="1594"/>
      <c r="J183" s="1594"/>
      <c r="K183" s="1594"/>
      <c r="L183" s="1594"/>
      <c r="M183" s="1594"/>
      <c r="N183" s="1594"/>
    </row>
    <row r="184" spans="1:14" ht="28.5">
      <c r="A184" s="1595" t="s">
        <v>240</v>
      </c>
      <c r="B184" s="1595" t="s">
        <v>4960</v>
      </c>
      <c r="C184" s="1595" t="s">
        <v>4961</v>
      </c>
      <c r="D184" s="1595" t="s">
        <v>4962</v>
      </c>
      <c r="E184" s="1595" t="s">
        <v>4963</v>
      </c>
      <c r="F184" s="1595" t="s">
        <v>4964</v>
      </c>
      <c r="G184" s="1595" t="s">
        <v>4965</v>
      </c>
      <c r="H184" s="1596" t="s">
        <v>4966</v>
      </c>
      <c r="I184" s="1595" t="s">
        <v>4967</v>
      </c>
      <c r="J184" s="1595" t="s">
        <v>4968</v>
      </c>
      <c r="K184" s="1595" t="s">
        <v>4969</v>
      </c>
      <c r="L184" s="1595" t="s">
        <v>4970</v>
      </c>
      <c r="M184" s="1594" t="s">
        <v>278</v>
      </c>
      <c r="N184" s="1597" t="s">
        <v>4755</v>
      </c>
    </row>
    <row r="185" spans="1:14" ht="57">
      <c r="A185" s="1595" t="str">
        <f>国光智能电子!B$2</f>
        <v xml:space="preserve">江苏南通二建集团有限公司  </v>
      </c>
      <c r="B185" s="1595" t="s">
        <v>226</v>
      </c>
      <c r="C185" s="1595" t="s">
        <v>4983</v>
      </c>
      <c r="D185" s="1595" t="str">
        <f>国光智能电子!J$1</f>
        <v xml:space="preserve"> 在“广州市花都区住房和城乡建设局”发布的“广州市花都区工程造价信息—-预拌混凝土税前指导价格表（营改增版）”混凝土价格的基础上（下浮23%）</v>
      </c>
      <c r="E185" s="1595">
        <f>VLOOKUP(N185,国光智能电子!A$7:M$73,4)</f>
        <v>145011.52000000002</v>
      </c>
      <c r="F185" s="1595">
        <f>VLOOKUP(N185,国光智能电子!A$7:M$73,5)</f>
        <v>42643506.869999997</v>
      </c>
      <c r="G185" s="1595" t="s">
        <v>5202</v>
      </c>
      <c r="H185" s="1596">
        <f t="shared" si="8"/>
        <v>0.88741132058439987</v>
      </c>
      <c r="I185" s="1595">
        <f>VLOOKUP(N185,国光智能电子!A$7:M$73,11,TRUE)</f>
        <v>4204576.5580000021</v>
      </c>
      <c r="J185" s="1595">
        <f>VLOOKUP(N185,国光智能电子!A$7:M$100,10,TRUE)</f>
        <v>33140000</v>
      </c>
      <c r="K185" s="1595">
        <f>VLOOKUP(N185,国光智能电子!A$7:M$100,8,TRUE)</f>
        <v>3987148.5900000003</v>
      </c>
      <c r="L185" s="1595">
        <v>2017.3</v>
      </c>
      <c r="M185" s="1594" t="s">
        <v>5203</v>
      </c>
      <c r="N185" s="1597">
        <v>43000</v>
      </c>
    </row>
    <row r="186" spans="1:14">
      <c r="A186" s="1595" t="str">
        <f>山河广钢!B$2</f>
        <v>山河建设集团有限公司</v>
      </c>
      <c r="B186" s="1595" t="s">
        <v>227</v>
      </c>
      <c r="C186" s="1595">
        <v>2016.5</v>
      </c>
      <c r="D186" s="1595" t="str">
        <f>山河广钢!J$1</f>
        <v>C30 235元</v>
      </c>
      <c r="E186" s="1595">
        <f>VLOOKUP(N186,山河广钢!A$7:M$73,4)</f>
        <v>747.5</v>
      </c>
      <c r="F186" s="1595">
        <f>VLOOKUP(N186,山河广钢!A$7:M$73,5)</f>
        <v>171712.5</v>
      </c>
      <c r="G186" s="1595"/>
      <c r="H186" s="1596">
        <f t="shared" si="8"/>
        <v>1</v>
      </c>
      <c r="I186" s="1595">
        <f>VLOOKUP(N186,山河广钢!A$7:M$73,11,TRUE)</f>
        <v>0</v>
      </c>
      <c r="J186" s="1595">
        <f>VLOOKUP(N186,山河广钢!A$7:M$100,10,TRUE)</f>
        <v>171712.5</v>
      </c>
      <c r="K186" s="1595">
        <f>VLOOKUP(N186,山河广钢!A$7:M$100,8,TRUE)</f>
        <v>171712.5</v>
      </c>
      <c r="L186" s="1595">
        <v>2016.11</v>
      </c>
      <c r="M186" s="1594" t="s">
        <v>5204</v>
      </c>
      <c r="N186" s="1597">
        <v>43000</v>
      </c>
    </row>
  </sheetData>
  <mergeCells count="11">
    <mergeCell ref="A112:N112"/>
    <mergeCell ref="A144:N144"/>
    <mergeCell ref="A147:N147"/>
    <mergeCell ref="A150:N150"/>
    <mergeCell ref="A157:N157"/>
    <mergeCell ref="A164:N164"/>
    <mergeCell ref="A1:N1"/>
    <mergeCell ref="A19:N19"/>
    <mergeCell ref="A37:N37"/>
    <mergeCell ref="A71:N71"/>
    <mergeCell ref="A95:N95"/>
  </mergeCells>
  <phoneticPr fontId="84" type="noConversion"/>
  <hyperlinks>
    <hyperlink ref="B15" location="'广钢新城 (2期)'!A1" display="广钢新城 (2期)"/>
    <hyperlink ref="B11" location="荔港南湾!A1" display="荔港南湾"/>
    <hyperlink ref="B9" location="'商业楼 (主体)'!A1" display="商业楼 (主体)"/>
    <hyperlink ref="B8" location="商业楼!A1" display="商业楼"/>
    <hyperlink ref="B17" location="复星南方总部!A1" display="复星南方总部"/>
    <hyperlink ref="B35" location="云产业园!A1" display="云产业园"/>
    <hyperlink ref="B73" location="保利琶洲!A1" display="保利琶洲"/>
    <hyperlink ref="B83" location="红云涂料厂!A1" display="红云涂料厂"/>
    <hyperlink ref="B86" location="广铝、远大总部经济大厦!A1" display="广铝、远大总部经济大厦"/>
    <hyperlink ref="B87" location="广纸地块项目!A1" display="广纸地块项目"/>
    <hyperlink ref="B88" location="中诚广钢!A1" display="中诚广钢"/>
    <hyperlink ref="B89" location="芳村唯品会主体!A1" display="芳村唯品会主体"/>
    <hyperlink ref="B90" location="唯品会!A1" display="唯品会"/>
    <hyperlink ref="B91" location="星河湾!A1" display="星河湾"/>
    <hyperlink ref="B126" location="'小新塘 主体'!A1" display="小新塘主体"/>
    <hyperlink ref="B137" location="'保利M1S2 '!A1" display="保利M1S2"/>
    <hyperlink ref="B152" location="广州大桥!A1" display="广州大桥"/>
    <hyperlink ref="B155" location="华发广钢新城!A1" display="华发广钢新城"/>
    <hyperlink ref="B169" location="中三保利广钢新城!A1" display="中三保利 广钢新城"/>
    <hyperlink ref="B170" location="中建三中海广钢!A1" display="中建三中海广钢"/>
    <hyperlink ref="B171" location="中交集团南方总部!A1" display="中交集团南方总部"/>
    <hyperlink ref="B174" location="花都都湖!A1" display="花都都湖"/>
    <hyperlink ref="B61" location="小东景!A1" display="小东景"/>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7" zoomScaleSheetLayoutView="100" workbookViewId="0">
      <selection activeCell="B11" sqref="B11:M11"/>
    </sheetView>
  </sheetViews>
  <sheetFormatPr defaultColWidth="9" defaultRowHeight="14.25"/>
  <cols>
    <col min="1" max="1" width="17.125" customWidth="1"/>
    <col min="2" max="2" width="14.5" customWidth="1"/>
    <col min="3" max="3" width="14.75" customWidth="1"/>
    <col min="4" max="4" width="12" customWidth="1"/>
    <col min="5" max="5" width="13.125" customWidth="1"/>
    <col min="6" max="6" width="12.375" customWidth="1"/>
    <col min="7" max="7" width="13.75" customWidth="1"/>
    <col min="8" max="8" width="11.5" customWidth="1"/>
    <col min="9" max="9" width="15.5" customWidth="1"/>
    <col min="10" max="10" width="14.75" customWidth="1"/>
    <col min="11" max="11" width="13" customWidth="1"/>
    <col min="12" max="12" width="15.125" customWidth="1"/>
    <col min="13" max="13" width="38.375" customWidth="1"/>
  </cols>
  <sheetData>
    <row r="1" spans="1:13" ht="98.1" customHeight="1">
      <c r="A1" s="1709" t="s">
        <v>556</v>
      </c>
      <c r="B1" s="1711"/>
      <c r="C1" s="1743" t="s">
        <v>723</v>
      </c>
      <c r="D1" s="1715" t="s">
        <v>236</v>
      </c>
      <c r="E1" s="1718" t="s">
        <v>692</v>
      </c>
      <c r="F1" s="1719"/>
      <c r="G1" s="1738" t="s">
        <v>693</v>
      </c>
      <c r="H1" s="1739"/>
      <c r="I1" s="223" t="s">
        <v>694</v>
      </c>
      <c r="J1" s="1730" t="s">
        <v>724</v>
      </c>
      <c r="K1" s="1701"/>
      <c r="L1" s="1701"/>
      <c r="M1" s="221" t="s">
        <v>696</v>
      </c>
    </row>
    <row r="2" spans="1:13" ht="98.1" customHeight="1">
      <c r="A2" s="1710"/>
      <c r="B2" s="1712"/>
      <c r="C2" s="1714"/>
      <c r="D2" s="1716"/>
      <c r="E2" s="1720"/>
      <c r="F2" s="1721"/>
      <c r="G2" s="1740"/>
      <c r="H2" s="1741"/>
      <c r="I2" s="416" t="s">
        <v>425</v>
      </c>
      <c r="J2" s="1742" t="s">
        <v>725</v>
      </c>
      <c r="K2" s="1731"/>
      <c r="L2" s="1731"/>
      <c r="M2" s="1732"/>
    </row>
    <row r="3" spans="1:13" ht="53.1" customHeight="1">
      <c r="A3" s="133" t="s">
        <v>240</v>
      </c>
      <c r="B3" s="1682" t="s">
        <v>698</v>
      </c>
      <c r="C3" s="1682"/>
      <c r="D3" s="134" t="s">
        <v>242</v>
      </c>
      <c r="E3" s="1706"/>
      <c r="F3" s="1706"/>
      <c r="G3" s="1706"/>
      <c r="H3" s="1706"/>
      <c r="I3" s="397" t="s">
        <v>243</v>
      </c>
      <c r="J3" s="1733">
        <v>0.03</v>
      </c>
      <c r="K3" s="1708"/>
      <c r="L3" s="166" t="s">
        <v>245</v>
      </c>
      <c r="M3" s="205" t="s">
        <v>699</v>
      </c>
    </row>
    <row r="4" spans="1:13" ht="48" customHeight="1">
      <c r="A4" s="133" t="s">
        <v>247</v>
      </c>
      <c r="B4" s="1682" t="s">
        <v>700</v>
      </c>
      <c r="C4" s="1682"/>
      <c r="D4" s="134" t="s">
        <v>249</v>
      </c>
      <c r="E4" s="136">
        <v>180400</v>
      </c>
      <c r="F4" s="134" t="s">
        <v>251</v>
      </c>
      <c r="G4" s="135"/>
      <c r="H4" s="134" t="s">
        <v>252</v>
      </c>
      <c r="I4" s="206"/>
      <c r="J4" s="41" t="s">
        <v>565</v>
      </c>
      <c r="K4" s="15"/>
      <c r="L4" s="15" t="s">
        <v>255</v>
      </c>
      <c r="M4" s="207" t="s">
        <v>701</v>
      </c>
    </row>
    <row r="5" spans="1:13" ht="108.95" customHeight="1">
      <c r="A5" s="133" t="s">
        <v>260</v>
      </c>
      <c r="B5" s="1726" t="s">
        <v>726</v>
      </c>
      <c r="C5" s="1726"/>
      <c r="D5" s="1726"/>
      <c r="E5" s="1726"/>
      <c r="F5" s="416"/>
      <c r="G5" s="1734" t="s">
        <v>703</v>
      </c>
      <c r="H5" s="1735"/>
      <c r="I5" s="1735"/>
      <c r="J5" s="1736"/>
      <c r="K5" s="420"/>
      <c r="L5" s="420"/>
      <c r="M5" s="170"/>
    </row>
    <row r="6" spans="1:13" ht="57" customHeight="1">
      <c r="A6" s="1688" t="s">
        <v>660</v>
      </c>
      <c r="B6" s="1689"/>
      <c r="C6" s="1689"/>
      <c r="D6" s="1737"/>
      <c r="E6" s="1737"/>
      <c r="F6" s="1737"/>
      <c r="G6" s="1690"/>
      <c r="H6" s="1690"/>
      <c r="I6" s="1690"/>
      <c r="J6" s="1698"/>
      <c r="K6" s="1699"/>
      <c r="L6" s="1700"/>
      <c r="M6" s="264"/>
    </row>
    <row r="7" spans="1:13" ht="51"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27.95" customHeight="1">
      <c r="A8" s="275" t="s">
        <v>727</v>
      </c>
      <c r="B8" s="262">
        <v>2094</v>
      </c>
      <c r="C8" s="262">
        <v>645906</v>
      </c>
      <c r="D8" s="181">
        <f>B8</f>
        <v>2094</v>
      </c>
      <c r="E8" s="181">
        <f>C8</f>
        <v>645906</v>
      </c>
      <c r="F8" s="259">
        <f>180400-D8</f>
        <v>178306</v>
      </c>
      <c r="G8" s="877">
        <f>C8</f>
        <v>645906</v>
      </c>
      <c r="H8" s="181"/>
      <c r="I8" s="262"/>
      <c r="J8" s="262">
        <f>I8</f>
        <v>0</v>
      </c>
      <c r="K8" s="294"/>
      <c r="L8" s="226">
        <f>E8-J8</f>
        <v>645906</v>
      </c>
      <c r="M8" s="262"/>
    </row>
    <row r="9" spans="1:13" ht="27.95" customHeight="1">
      <c r="A9" s="275" t="s">
        <v>728</v>
      </c>
      <c r="B9" s="262">
        <v>181</v>
      </c>
      <c r="C9" s="262">
        <v>47784</v>
      </c>
      <c r="D9" s="181">
        <f>D8+B9</f>
        <v>2275</v>
      </c>
      <c r="E9" s="181">
        <f>E8+C9</f>
        <v>693690</v>
      </c>
      <c r="F9" s="259">
        <f>180400-D9</f>
        <v>178125</v>
      </c>
      <c r="G9" s="877">
        <f>C9+E8*0.3</f>
        <v>241555.8</v>
      </c>
      <c r="H9" s="181"/>
      <c r="I9" s="262"/>
      <c r="J9" s="262">
        <f>I9+J8</f>
        <v>0</v>
      </c>
      <c r="K9" s="294">
        <f>K8+H9-I9</f>
        <v>0</v>
      </c>
      <c r="L9" s="226">
        <f>E9-J9</f>
        <v>693690</v>
      </c>
      <c r="M9" s="262"/>
    </row>
    <row r="10" spans="1:13" ht="27.95" customHeight="1">
      <c r="A10" s="275"/>
      <c r="B10" s="262"/>
      <c r="C10" s="262"/>
      <c r="D10" s="181"/>
      <c r="E10" s="181"/>
      <c r="F10" s="259"/>
      <c r="G10" s="877"/>
      <c r="H10" s="181">
        <f>C8*0.7</f>
        <v>452134.19999999995</v>
      </c>
      <c r="I10" s="262"/>
      <c r="J10" s="262"/>
      <c r="K10" s="294">
        <f>K9+H10-I10</f>
        <v>452134.19999999995</v>
      </c>
      <c r="L10" s="226"/>
      <c r="M10" s="262"/>
    </row>
    <row r="11" spans="1:13" ht="27.95" customHeight="1">
      <c r="A11" s="275">
        <v>42979</v>
      </c>
      <c r="B11" s="262">
        <v>181</v>
      </c>
      <c r="C11" s="262">
        <v>47784</v>
      </c>
      <c r="D11" s="181">
        <v>2275</v>
      </c>
      <c r="E11" s="181">
        <v>693690</v>
      </c>
      <c r="F11" s="262">
        <v>178125</v>
      </c>
      <c r="G11" s="260">
        <v>241555.8</v>
      </c>
      <c r="H11" s="181"/>
      <c r="I11" s="262"/>
      <c r="J11" s="262">
        <v>0</v>
      </c>
      <c r="K11" s="294">
        <v>0</v>
      </c>
      <c r="L11" s="200">
        <v>693690</v>
      </c>
      <c r="M11" s="262"/>
    </row>
    <row r="12" spans="1:13" ht="27.95" customHeight="1">
      <c r="A12" s="275"/>
      <c r="B12" s="262"/>
      <c r="C12" s="262"/>
      <c r="D12" s="181"/>
      <c r="E12" s="181"/>
      <c r="F12" s="262"/>
      <c r="G12" s="260"/>
      <c r="H12" s="181"/>
      <c r="I12" s="262"/>
      <c r="J12" s="262"/>
      <c r="K12" s="294"/>
      <c r="L12" s="200"/>
      <c r="M12" s="262"/>
    </row>
    <row r="13" spans="1:13" ht="27.95" customHeight="1">
      <c r="A13" s="275"/>
      <c r="B13" s="262"/>
      <c r="C13" s="262"/>
      <c r="D13" s="181"/>
      <c r="E13" s="181"/>
      <c r="F13" s="262"/>
      <c r="G13" s="260"/>
      <c r="H13" s="181"/>
      <c r="I13" s="262"/>
      <c r="J13" s="262"/>
      <c r="K13" s="294"/>
      <c r="L13" s="200"/>
      <c r="M13" s="262"/>
    </row>
    <row r="14" spans="1:13" ht="27.95" customHeight="1">
      <c r="A14" s="258"/>
      <c r="B14" s="262"/>
      <c r="C14" s="262"/>
      <c r="D14" s="181"/>
      <c r="E14" s="181"/>
      <c r="F14" s="262"/>
      <c r="G14" s="260"/>
      <c r="H14" s="181"/>
      <c r="I14" s="262"/>
      <c r="J14" s="262"/>
      <c r="K14" s="181"/>
      <c r="L14" s="200"/>
      <c r="M14" s="262"/>
    </row>
    <row r="15" spans="1:13" ht="27.95" customHeight="1">
      <c r="A15" s="258"/>
      <c r="B15" s="262"/>
      <c r="C15" s="262"/>
      <c r="D15" s="181"/>
      <c r="E15" s="181"/>
      <c r="F15" s="262"/>
      <c r="G15" s="260"/>
      <c r="H15" s="181"/>
      <c r="I15" s="262"/>
      <c r="J15" s="262"/>
      <c r="K15" s="181"/>
      <c r="L15" s="200"/>
      <c r="M15" s="262"/>
    </row>
  </sheetData>
  <mergeCells count="18">
    <mergeCell ref="A1:A2"/>
    <mergeCell ref="B1:B2"/>
    <mergeCell ref="C1:C2"/>
    <mergeCell ref="D1:D2"/>
    <mergeCell ref="E1:F2"/>
    <mergeCell ref="G1:H2"/>
    <mergeCell ref="B5:E5"/>
    <mergeCell ref="G5:J5"/>
    <mergeCell ref="A6:C6"/>
    <mergeCell ref="D6:F6"/>
    <mergeCell ref="G6:I6"/>
    <mergeCell ref="J6:L6"/>
    <mergeCell ref="J1:L1"/>
    <mergeCell ref="J2:M2"/>
    <mergeCell ref="B3:C3"/>
    <mergeCell ref="E3:H3"/>
    <mergeCell ref="J3:K3"/>
    <mergeCell ref="B4:C4"/>
  </mergeCells>
  <phoneticPr fontId="84" type="noConversion"/>
  <pageMargins left="0.75" right="0.75" top="1" bottom="1" header="0.51" footer="0.51"/>
  <pageSetup paperSize="9" orientation="portrait" horizontalDpi="200" verticalDpi="200"/>
  <headerFooter scaleWithDoc="0" alignWithMargins="0"/>
</worksheet>
</file>

<file path=xl/worksheets/sheet2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topLeftCell="A25" zoomScaleSheetLayoutView="100" workbookViewId="0">
      <selection activeCell="G29" sqref="G29"/>
    </sheetView>
  </sheetViews>
  <sheetFormatPr defaultColWidth="9" defaultRowHeight="14.25"/>
  <cols>
    <col min="1" max="1" width="17.125" customWidth="1"/>
    <col min="2" max="2" width="14.5" customWidth="1"/>
    <col min="3" max="3" width="14.75" customWidth="1"/>
    <col min="4" max="4" width="12" customWidth="1"/>
    <col min="5" max="5" width="13.125" customWidth="1"/>
    <col min="6" max="6" width="12.375" customWidth="1"/>
    <col min="7" max="8" width="11.5" customWidth="1"/>
    <col min="9" max="9" width="13.25" customWidth="1"/>
    <col min="10" max="10" width="14.75" customWidth="1"/>
    <col min="11" max="11" width="11.5" customWidth="1"/>
    <col min="12" max="12" width="15.125" customWidth="1"/>
    <col min="13" max="13" width="38.375" customWidth="1"/>
  </cols>
  <sheetData>
    <row r="1" spans="1:13" ht="117" customHeight="1">
      <c r="A1" s="130" t="s">
        <v>556</v>
      </c>
      <c r="B1" s="256"/>
      <c r="C1" s="257" t="s">
        <v>4551</v>
      </c>
      <c r="D1" s="131" t="s">
        <v>236</v>
      </c>
      <c r="E1" s="2095">
        <v>42644</v>
      </c>
      <c r="F1" s="2095"/>
      <c r="G1" s="2251" t="s">
        <v>4552</v>
      </c>
      <c r="H1" s="2116"/>
      <c r="I1" s="164" t="s">
        <v>237</v>
      </c>
      <c r="J1" s="1701" t="s">
        <v>4553</v>
      </c>
      <c r="K1" s="1701"/>
      <c r="L1" s="1701"/>
      <c r="M1" s="221" t="s">
        <v>4554</v>
      </c>
    </row>
    <row r="2" spans="1:13" ht="68.099999999999994" customHeight="1">
      <c r="A2" s="133" t="s">
        <v>240</v>
      </c>
      <c r="B2" s="1682" t="s">
        <v>4555</v>
      </c>
      <c r="C2" s="1682"/>
      <c r="D2" s="134" t="s">
        <v>242</v>
      </c>
      <c r="E2" s="1706"/>
      <c r="F2" s="1706"/>
      <c r="G2" s="1706"/>
      <c r="H2" s="1706"/>
      <c r="I2" s="166" t="s">
        <v>425</v>
      </c>
      <c r="J2" s="2252" t="s">
        <v>4556</v>
      </c>
      <c r="K2" s="2253"/>
      <c r="L2" s="2253"/>
      <c r="M2" s="2254"/>
    </row>
    <row r="3" spans="1:13" ht="53.1" customHeight="1">
      <c r="A3" s="133" t="s">
        <v>247</v>
      </c>
      <c r="B3" s="1682" t="s">
        <v>4557</v>
      </c>
      <c r="C3" s="1682"/>
      <c r="D3" s="134" t="s">
        <v>249</v>
      </c>
      <c r="E3" s="268">
        <v>80000</v>
      </c>
      <c r="F3" s="134" t="s">
        <v>251</v>
      </c>
      <c r="G3" s="269" t="s">
        <v>1635</v>
      </c>
      <c r="H3" s="134" t="s">
        <v>252</v>
      </c>
      <c r="I3" s="271">
        <v>15919329338</v>
      </c>
      <c r="J3" s="41" t="s">
        <v>243</v>
      </c>
      <c r="K3" s="15" t="s">
        <v>421</v>
      </c>
      <c r="L3" s="15" t="s">
        <v>4558</v>
      </c>
      <c r="M3" s="268" t="s">
        <v>4559</v>
      </c>
    </row>
    <row r="4" spans="1:13" ht="108.95" customHeight="1">
      <c r="A4" s="133" t="s">
        <v>260</v>
      </c>
      <c r="B4" s="1726" t="s">
        <v>4560</v>
      </c>
      <c r="C4" s="1726"/>
      <c r="D4" s="1726"/>
      <c r="E4" s="1726"/>
      <c r="F4" s="2108" t="s">
        <v>4561</v>
      </c>
      <c r="G4" s="2109"/>
      <c r="H4" s="2110"/>
      <c r="I4" s="166" t="s">
        <v>565</v>
      </c>
      <c r="J4" s="1707" t="s">
        <v>4562</v>
      </c>
      <c r="K4" s="1708"/>
      <c r="L4" s="166" t="s">
        <v>255</v>
      </c>
      <c r="M4" s="205" t="s">
        <v>4563</v>
      </c>
    </row>
    <row r="5" spans="1:13" ht="57" customHeight="1">
      <c r="A5" s="1688" t="s">
        <v>660</v>
      </c>
      <c r="B5" s="1689"/>
      <c r="C5" s="1689"/>
      <c r="D5" s="1690"/>
      <c r="E5" s="1690"/>
      <c r="F5" s="1690"/>
      <c r="G5" s="1690"/>
      <c r="H5" s="1690"/>
      <c r="I5" s="1690"/>
      <c r="J5" s="41"/>
      <c r="K5" s="15"/>
      <c r="L5" s="15"/>
      <c r="M5" s="207"/>
    </row>
    <row r="6" spans="1:13" ht="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4" customHeight="1">
      <c r="A7" s="270" t="s">
        <v>4564</v>
      </c>
      <c r="B7" s="259">
        <v>2787</v>
      </c>
      <c r="C7" s="181">
        <v>701339</v>
      </c>
      <c r="D7" s="259">
        <f>B7</f>
        <v>2787</v>
      </c>
      <c r="E7" s="259">
        <f>C7</f>
        <v>701339</v>
      </c>
      <c r="F7" s="259"/>
      <c r="G7" s="260">
        <f>E7*0.2</f>
        <v>140267.80000000002</v>
      </c>
      <c r="H7" s="261"/>
      <c r="I7" s="259"/>
      <c r="J7" s="259"/>
      <c r="K7" s="259"/>
      <c r="L7" s="200">
        <f>E7-J7</f>
        <v>701339</v>
      </c>
      <c r="M7" s="265"/>
    </row>
    <row r="8" spans="1:13" ht="27.95" customHeight="1">
      <c r="A8" s="270">
        <v>42675</v>
      </c>
      <c r="B8" s="181">
        <v>3533</v>
      </c>
      <c r="C8" s="181">
        <v>959896</v>
      </c>
      <c r="D8" s="259">
        <f t="shared" ref="D8:D16" si="0">B8+D7</f>
        <v>6320</v>
      </c>
      <c r="E8" s="259">
        <f t="shared" ref="E8:E16" si="1">C8+E7</f>
        <v>1661235</v>
      </c>
      <c r="F8" s="181"/>
      <c r="G8" s="260">
        <f>E8*0.2</f>
        <v>332247</v>
      </c>
      <c r="H8" s="181">
        <f t="shared" ref="H8:H17" si="2">C7*0.8</f>
        <v>561071.20000000007</v>
      </c>
      <c r="I8" s="181"/>
      <c r="J8" s="181"/>
      <c r="K8" s="181">
        <f>K7+H8-I8</f>
        <v>561071.20000000007</v>
      </c>
      <c r="L8" s="200">
        <f>E8-J8</f>
        <v>1661235</v>
      </c>
      <c r="M8" s="266"/>
    </row>
    <row r="9" spans="1:13" ht="27.95" customHeight="1">
      <c r="A9" s="258">
        <v>42705</v>
      </c>
      <c r="B9" s="259">
        <v>4120.5</v>
      </c>
      <c r="C9" s="181">
        <v>1112366</v>
      </c>
      <c r="D9" s="259">
        <f t="shared" si="0"/>
        <v>10440.5</v>
      </c>
      <c r="E9" s="259">
        <f t="shared" si="1"/>
        <v>2773601</v>
      </c>
      <c r="F9" s="262"/>
      <c r="G9" s="260">
        <f>E9*0.2</f>
        <v>554720.20000000007</v>
      </c>
      <c r="H9" s="181">
        <f t="shared" si="2"/>
        <v>767916.8</v>
      </c>
      <c r="I9" s="262">
        <v>600000</v>
      </c>
      <c r="J9" s="262">
        <f t="shared" ref="J9:J17" si="3">I9+J8</f>
        <v>600000</v>
      </c>
      <c r="K9" s="181">
        <f>K8+H9-I9</f>
        <v>728988</v>
      </c>
      <c r="L9" s="200">
        <f>E9-J9</f>
        <v>2173601</v>
      </c>
      <c r="M9" s="262" t="s">
        <v>4565</v>
      </c>
    </row>
    <row r="10" spans="1:13" ht="27.95" customHeight="1">
      <c r="A10" s="258" t="s">
        <v>4566</v>
      </c>
      <c r="B10" s="259"/>
      <c r="C10" s="181">
        <v>71970</v>
      </c>
      <c r="D10" s="259">
        <f t="shared" si="0"/>
        <v>10440.5</v>
      </c>
      <c r="E10" s="259">
        <f t="shared" si="1"/>
        <v>2845571</v>
      </c>
      <c r="F10" s="262"/>
      <c r="G10" s="260"/>
      <c r="H10" s="181">
        <f>C10</f>
        <v>71970</v>
      </c>
      <c r="I10" s="262"/>
      <c r="J10" s="262">
        <f t="shared" si="3"/>
        <v>600000</v>
      </c>
      <c r="K10" s="181">
        <f t="shared" ref="K10:K17" si="4">K9+H10-I10</f>
        <v>800958</v>
      </c>
      <c r="L10" s="200"/>
      <c r="M10" s="262"/>
    </row>
    <row r="11" spans="1:13" ht="27.95" customHeight="1">
      <c r="A11" s="258">
        <v>42736</v>
      </c>
      <c r="B11" s="262">
        <v>3010.5</v>
      </c>
      <c r="C11" s="262">
        <v>770741</v>
      </c>
      <c r="D11" s="259">
        <f t="shared" si="0"/>
        <v>13451</v>
      </c>
      <c r="E11" s="259">
        <f t="shared" si="1"/>
        <v>3616312</v>
      </c>
      <c r="F11" s="262"/>
      <c r="G11" s="260">
        <f>E11*0.2</f>
        <v>723262.4</v>
      </c>
      <c r="H11" s="181">
        <f>C9*0.8</f>
        <v>889892.8</v>
      </c>
      <c r="I11" s="262">
        <v>1800000</v>
      </c>
      <c r="J11" s="262">
        <f t="shared" si="3"/>
        <v>2400000</v>
      </c>
      <c r="K11" s="181">
        <f t="shared" si="4"/>
        <v>-109149.19999999995</v>
      </c>
      <c r="L11" s="200">
        <f t="shared" ref="L11:L16" si="5">E11-J11</f>
        <v>1216312</v>
      </c>
      <c r="M11" s="262" t="s">
        <v>4567</v>
      </c>
    </row>
    <row r="12" spans="1:13" ht="27.95" customHeight="1">
      <c r="A12" s="258">
        <v>42767</v>
      </c>
      <c r="B12" s="262">
        <v>233</v>
      </c>
      <c r="C12" s="262">
        <v>58946</v>
      </c>
      <c r="D12" s="259">
        <f t="shared" si="0"/>
        <v>13684</v>
      </c>
      <c r="E12" s="259">
        <f t="shared" si="1"/>
        <v>3675258</v>
      </c>
      <c r="F12" s="262"/>
      <c r="G12" s="260">
        <f>E12*0.2</f>
        <v>735051.60000000009</v>
      </c>
      <c r="H12" s="181">
        <f t="shared" si="2"/>
        <v>616592.80000000005</v>
      </c>
      <c r="I12" s="262"/>
      <c r="J12" s="262">
        <f t="shared" si="3"/>
        <v>2400000</v>
      </c>
      <c r="K12" s="181">
        <f t="shared" si="4"/>
        <v>507443.60000000009</v>
      </c>
      <c r="L12" s="200">
        <f t="shared" si="5"/>
        <v>1275258</v>
      </c>
      <c r="M12" s="262" t="s">
        <v>4568</v>
      </c>
    </row>
    <row r="13" spans="1:13" ht="27.95" customHeight="1">
      <c r="A13" s="258">
        <v>42795</v>
      </c>
      <c r="B13" s="262">
        <f>1530</f>
        <v>1530</v>
      </c>
      <c r="C13" s="262">
        <v>388460</v>
      </c>
      <c r="D13" s="259">
        <f t="shared" si="0"/>
        <v>15214</v>
      </c>
      <c r="E13" s="259">
        <f t="shared" si="1"/>
        <v>4063718</v>
      </c>
      <c r="F13" s="262"/>
      <c r="G13" s="260">
        <f>E13*0.2</f>
        <v>812743.60000000009</v>
      </c>
      <c r="H13" s="181">
        <f t="shared" si="2"/>
        <v>47156.800000000003</v>
      </c>
      <c r="I13" s="262">
        <v>600000</v>
      </c>
      <c r="J13" s="262">
        <f t="shared" si="3"/>
        <v>3000000</v>
      </c>
      <c r="K13" s="181">
        <f t="shared" si="4"/>
        <v>-45399.59999999986</v>
      </c>
      <c r="L13" s="200">
        <f t="shared" si="5"/>
        <v>1063718</v>
      </c>
      <c r="M13" s="262"/>
    </row>
    <row r="14" spans="1:13" ht="27.95" customHeight="1">
      <c r="A14" s="258">
        <v>42826</v>
      </c>
      <c r="B14" s="262">
        <f>1455.5+60</f>
        <v>1515.5</v>
      </c>
      <c r="C14" s="262">
        <f>375401+16230</f>
        <v>391631</v>
      </c>
      <c r="D14" s="259">
        <f t="shared" si="0"/>
        <v>16729.5</v>
      </c>
      <c r="E14" s="259">
        <f t="shared" si="1"/>
        <v>4455349</v>
      </c>
      <c r="F14" s="262"/>
      <c r="G14" s="260">
        <f>E9*0.2+C11*0.2+C12*0.2+C13*0.2+C14*0.2</f>
        <v>876675.8</v>
      </c>
      <c r="H14" s="181">
        <f t="shared" si="2"/>
        <v>310768</v>
      </c>
      <c r="I14" s="262"/>
      <c r="J14" s="262">
        <f t="shared" si="3"/>
        <v>3000000</v>
      </c>
      <c r="K14" s="181">
        <f t="shared" si="4"/>
        <v>265368.40000000014</v>
      </c>
      <c r="L14" s="200">
        <f t="shared" si="5"/>
        <v>1455349</v>
      </c>
      <c r="M14" s="262"/>
    </row>
    <row r="15" spans="1:13" ht="27.95" customHeight="1">
      <c r="A15" s="258">
        <v>42856</v>
      </c>
      <c r="B15" s="262">
        <v>7</v>
      </c>
      <c r="C15" s="262">
        <v>1904</v>
      </c>
      <c r="D15" s="259">
        <f t="shared" si="0"/>
        <v>16736.5</v>
      </c>
      <c r="E15" s="259">
        <f t="shared" si="1"/>
        <v>4457253</v>
      </c>
      <c r="F15" s="262"/>
      <c r="G15" s="260">
        <f>E9*0.2+C12*0.2+C13*0.2+C14*0.2+C15*0.2+C11*0.2</f>
        <v>877056.60000000009</v>
      </c>
      <c r="H15" s="181">
        <f t="shared" si="2"/>
        <v>313304.8</v>
      </c>
      <c r="I15" s="262">
        <v>660000</v>
      </c>
      <c r="J15" s="262">
        <f t="shared" si="3"/>
        <v>3660000</v>
      </c>
      <c r="K15" s="181">
        <f t="shared" si="4"/>
        <v>-81326.799999999814</v>
      </c>
      <c r="L15" s="200">
        <f t="shared" si="5"/>
        <v>797253</v>
      </c>
      <c r="M15" s="262" t="s">
        <v>4569</v>
      </c>
    </row>
    <row r="16" spans="1:13" ht="27.95" customHeight="1">
      <c r="A16" s="258" t="s">
        <v>4570</v>
      </c>
      <c r="B16" s="262"/>
      <c r="C16" s="262">
        <f>6296*21</f>
        <v>132216</v>
      </c>
      <c r="D16" s="259">
        <f t="shared" si="0"/>
        <v>16736.5</v>
      </c>
      <c r="E16" s="259">
        <f t="shared" si="1"/>
        <v>4589469</v>
      </c>
      <c r="F16" s="262"/>
      <c r="G16" s="260">
        <f>E9*0.2+C12*0.2+C13*0.2+C14*0.2+C15*0.2+C11*0.2+C16*0.2</f>
        <v>903499.8</v>
      </c>
      <c r="H16" s="181">
        <f t="shared" si="2"/>
        <v>1523.2</v>
      </c>
      <c r="I16" s="262">
        <v>929469</v>
      </c>
      <c r="J16" s="262">
        <f t="shared" si="3"/>
        <v>4589469</v>
      </c>
      <c r="K16" s="181">
        <f t="shared" si="4"/>
        <v>-1009272.5999999999</v>
      </c>
      <c r="L16" s="200">
        <f t="shared" si="5"/>
        <v>0</v>
      </c>
      <c r="M16" s="262" t="s">
        <v>4571</v>
      </c>
    </row>
    <row r="17" spans="1:13" ht="27.95" customHeight="1">
      <c r="A17" s="258"/>
      <c r="B17" s="262"/>
      <c r="C17" s="262"/>
      <c r="D17" s="259"/>
      <c r="E17" s="259"/>
      <c r="F17" s="262"/>
      <c r="G17" s="260"/>
      <c r="H17" s="181">
        <f t="shared" si="2"/>
        <v>105772.8</v>
      </c>
      <c r="I17" s="262"/>
      <c r="J17" s="262">
        <f t="shared" si="3"/>
        <v>4589469</v>
      </c>
      <c r="K17" s="181">
        <f t="shared" si="4"/>
        <v>-903499.79999999981</v>
      </c>
      <c r="L17" s="200"/>
      <c r="M17" s="262"/>
    </row>
    <row r="18" spans="1:13" ht="27.95" customHeight="1">
      <c r="A18" s="258"/>
      <c r="B18" s="262"/>
      <c r="C18" s="262"/>
      <c r="D18" s="181"/>
      <c r="E18" s="181"/>
      <c r="F18" s="262"/>
      <c r="G18" s="260"/>
      <c r="H18" s="181"/>
      <c r="I18" s="262"/>
      <c r="J18" s="262"/>
      <c r="K18" s="181"/>
      <c r="L18" s="200"/>
      <c r="M18" s="262"/>
    </row>
    <row r="19" spans="1:13" ht="117" customHeight="1">
      <c r="A19" s="130" t="s">
        <v>556</v>
      </c>
      <c r="B19" s="256"/>
      <c r="C19" s="263" t="s">
        <v>4572</v>
      </c>
      <c r="D19" s="131" t="s">
        <v>236</v>
      </c>
      <c r="E19" s="2095">
        <v>42644</v>
      </c>
      <c r="F19" s="2095"/>
      <c r="G19" s="2251" t="s">
        <v>4552</v>
      </c>
      <c r="H19" s="2116"/>
      <c r="I19" s="164" t="s">
        <v>237</v>
      </c>
      <c r="J19" s="2255" t="s">
        <v>4573</v>
      </c>
      <c r="K19" s="1701"/>
      <c r="L19" s="1701"/>
      <c r="M19" s="221" t="s">
        <v>4554</v>
      </c>
    </row>
    <row r="20" spans="1:13" ht="68.099999999999994" customHeight="1">
      <c r="A20" s="133" t="s">
        <v>240</v>
      </c>
      <c r="B20" s="1682" t="s">
        <v>4555</v>
      </c>
      <c r="C20" s="1682"/>
      <c r="D20" s="134" t="s">
        <v>242</v>
      </c>
      <c r="E20" s="1706"/>
      <c r="F20" s="1706"/>
      <c r="G20" s="1706"/>
      <c r="H20" s="1706"/>
      <c r="I20" s="166" t="s">
        <v>425</v>
      </c>
      <c r="J20" s="2252" t="s">
        <v>4556</v>
      </c>
      <c r="K20" s="2253"/>
      <c r="L20" s="2253"/>
      <c r="M20" s="2254"/>
    </row>
    <row r="21" spans="1:13" ht="53.1" customHeight="1">
      <c r="A21" s="133" t="s">
        <v>247</v>
      </c>
      <c r="B21" s="1682" t="s">
        <v>4557</v>
      </c>
      <c r="C21" s="1682"/>
      <c r="D21" s="134" t="s">
        <v>249</v>
      </c>
      <c r="E21" s="268">
        <v>80000</v>
      </c>
      <c r="F21" s="134" t="s">
        <v>251</v>
      </c>
      <c r="G21" s="269" t="s">
        <v>1635</v>
      </c>
      <c r="H21" s="134" t="s">
        <v>252</v>
      </c>
      <c r="I21" s="271">
        <v>15919329338</v>
      </c>
      <c r="J21" s="41" t="s">
        <v>243</v>
      </c>
      <c r="K21" s="15" t="s">
        <v>421</v>
      </c>
      <c r="L21" s="15" t="s">
        <v>4558</v>
      </c>
      <c r="M21" s="268" t="s">
        <v>4559</v>
      </c>
    </row>
    <row r="22" spans="1:13" ht="108.95" customHeight="1">
      <c r="A22" s="133" t="s">
        <v>260</v>
      </c>
      <c r="B22" s="1726" t="s">
        <v>4560</v>
      </c>
      <c r="C22" s="1726"/>
      <c r="D22" s="1726"/>
      <c r="E22" s="1726"/>
      <c r="F22" s="2108" t="s">
        <v>4561</v>
      </c>
      <c r="G22" s="2109"/>
      <c r="H22" s="2110"/>
      <c r="I22" s="166" t="s">
        <v>565</v>
      </c>
      <c r="J22" s="1707" t="s">
        <v>4562</v>
      </c>
      <c r="K22" s="1708"/>
      <c r="L22" s="166" t="s">
        <v>255</v>
      </c>
      <c r="M22" s="205" t="s">
        <v>4563</v>
      </c>
    </row>
    <row r="23" spans="1:13" ht="57" customHeight="1">
      <c r="A23" s="1688" t="s">
        <v>660</v>
      </c>
      <c r="B23" s="1689"/>
      <c r="C23" s="1689"/>
      <c r="D23" s="1690"/>
      <c r="E23" s="1690"/>
      <c r="F23" s="1690"/>
      <c r="G23" s="1690"/>
      <c r="H23" s="1690"/>
      <c r="I23" s="1690"/>
      <c r="J23" s="41"/>
      <c r="K23" s="15"/>
      <c r="L23" s="15"/>
      <c r="M23" s="207"/>
    </row>
    <row r="24" spans="1:13" ht="51" customHeight="1">
      <c r="A24" s="19" t="s">
        <v>266</v>
      </c>
      <c r="B24" s="20" t="s">
        <v>267</v>
      </c>
      <c r="C24" s="20" t="s">
        <v>268</v>
      </c>
      <c r="D24" s="20" t="s">
        <v>269</v>
      </c>
      <c r="E24" s="20" t="s">
        <v>270</v>
      </c>
      <c r="F24" s="20" t="s">
        <v>271</v>
      </c>
      <c r="G24" s="21" t="s">
        <v>272</v>
      </c>
      <c r="H24" s="22" t="s">
        <v>273</v>
      </c>
      <c r="I24" s="20" t="s">
        <v>274</v>
      </c>
      <c r="J24" s="70" t="s">
        <v>275</v>
      </c>
      <c r="K24" s="70" t="s">
        <v>276</v>
      </c>
      <c r="L24" s="20" t="s">
        <v>277</v>
      </c>
      <c r="M24" s="71" t="s">
        <v>278</v>
      </c>
    </row>
    <row r="25" spans="1:13" ht="39" customHeight="1">
      <c r="A25" s="258">
        <v>42887</v>
      </c>
      <c r="B25" s="262">
        <f>40+258</f>
        <v>298</v>
      </c>
      <c r="C25" s="262">
        <f>10880+66346</f>
        <v>77226</v>
      </c>
      <c r="D25" s="259">
        <f>B25</f>
        <v>298</v>
      </c>
      <c r="E25" s="259">
        <f>C25</f>
        <v>77226</v>
      </c>
      <c r="F25" s="262"/>
      <c r="G25" s="260">
        <f>E25*0.2</f>
        <v>15445.2</v>
      </c>
      <c r="H25" s="181"/>
      <c r="I25" s="262"/>
      <c r="J25" s="262"/>
      <c r="K25" s="181">
        <f>+H25-I25</f>
        <v>0</v>
      </c>
      <c r="L25" s="200">
        <f>E25-J25</f>
        <v>77226</v>
      </c>
      <c r="M25" s="262"/>
    </row>
    <row r="26" spans="1:13" ht="39" customHeight="1">
      <c r="A26" s="258">
        <v>42917</v>
      </c>
      <c r="B26" s="262">
        <f>49+1203</f>
        <v>1252</v>
      </c>
      <c r="C26" s="262">
        <f>13328+306529</f>
        <v>319857</v>
      </c>
      <c r="D26" s="259">
        <f t="shared" ref="D26:E28" si="6">B26+D25</f>
        <v>1550</v>
      </c>
      <c r="E26" s="259">
        <f t="shared" si="6"/>
        <v>397083</v>
      </c>
      <c r="F26" s="262"/>
      <c r="G26" s="260">
        <f>E26*0.2</f>
        <v>79416.600000000006</v>
      </c>
      <c r="H26" s="181">
        <f>C25*0.8</f>
        <v>61780.800000000003</v>
      </c>
      <c r="I26" s="262"/>
      <c r="J26" s="262"/>
      <c r="K26" s="181">
        <f>K25+H26-I26</f>
        <v>61780.800000000003</v>
      </c>
      <c r="L26" s="200">
        <f>E26-J26</f>
        <v>397083</v>
      </c>
      <c r="M26" s="262"/>
    </row>
    <row r="27" spans="1:13" ht="39" customHeight="1">
      <c r="A27" s="258">
        <v>42948</v>
      </c>
      <c r="B27" s="262">
        <f>13+826.5</f>
        <v>839.5</v>
      </c>
      <c r="C27" s="262">
        <f>3874+205302</f>
        <v>209176</v>
      </c>
      <c r="D27" s="259">
        <f t="shared" si="6"/>
        <v>2389.5</v>
      </c>
      <c r="E27" s="259">
        <f t="shared" si="6"/>
        <v>606259</v>
      </c>
      <c r="F27" s="262"/>
      <c r="G27" s="260">
        <f>E27*0.2</f>
        <v>121251.8</v>
      </c>
      <c r="H27" s="181">
        <f>C26*0.8</f>
        <v>255885.6</v>
      </c>
      <c r="I27" s="262"/>
      <c r="J27" s="262"/>
      <c r="K27" s="181">
        <f>K26+H27-I27</f>
        <v>317666.40000000002</v>
      </c>
      <c r="L27" s="200">
        <f>E27-J27</f>
        <v>606259</v>
      </c>
      <c r="M27" s="262"/>
    </row>
    <row r="28" spans="1:13" ht="39" customHeight="1">
      <c r="A28" s="258">
        <v>42979</v>
      </c>
      <c r="B28" s="262"/>
      <c r="C28" s="262"/>
      <c r="D28" s="259">
        <f t="shared" si="6"/>
        <v>2389.5</v>
      </c>
      <c r="E28" s="259">
        <f t="shared" si="6"/>
        <v>606259</v>
      </c>
      <c r="F28" s="262"/>
      <c r="G28" s="260">
        <f>E28*0.2</f>
        <v>121251.8</v>
      </c>
      <c r="H28" s="181">
        <f>C27*0.8</f>
        <v>167340.80000000002</v>
      </c>
      <c r="I28" s="262"/>
      <c r="J28" s="262"/>
      <c r="K28" s="181">
        <f>K27+H28-I28</f>
        <v>485007.20000000007</v>
      </c>
      <c r="L28" s="200">
        <f>E28-J28</f>
        <v>606259</v>
      </c>
      <c r="M28" s="262"/>
    </row>
    <row r="29" spans="1:13" ht="39" customHeight="1">
      <c r="A29" s="258"/>
      <c r="B29" s="262"/>
      <c r="C29" s="262"/>
      <c r="D29" s="181"/>
      <c r="E29" s="181"/>
      <c r="F29" s="262"/>
      <c r="G29" s="260"/>
      <c r="H29" s="181"/>
      <c r="I29" s="262"/>
      <c r="J29" s="262"/>
      <c r="K29" s="181"/>
      <c r="L29" s="200"/>
      <c r="M29" s="262"/>
    </row>
  </sheetData>
  <mergeCells count="26">
    <mergeCell ref="B21:C21"/>
    <mergeCell ref="B22:E22"/>
    <mergeCell ref="F22:H22"/>
    <mergeCell ref="J22:K22"/>
    <mergeCell ref="A23:C23"/>
    <mergeCell ref="D23:F23"/>
    <mergeCell ref="G23:I23"/>
    <mergeCell ref="E19:F19"/>
    <mergeCell ref="G19:H19"/>
    <mergeCell ref="J19:L19"/>
    <mergeCell ref="B20:C20"/>
    <mergeCell ref="E20:H20"/>
    <mergeCell ref="J20:M20"/>
    <mergeCell ref="B3:C3"/>
    <mergeCell ref="B4:E4"/>
    <mergeCell ref="F4:H4"/>
    <mergeCell ref="J4:K4"/>
    <mergeCell ref="A5:C5"/>
    <mergeCell ref="D5:F5"/>
    <mergeCell ref="G5:I5"/>
    <mergeCell ref="E1:F1"/>
    <mergeCell ref="G1:H1"/>
    <mergeCell ref="J1:L1"/>
    <mergeCell ref="B2:C2"/>
    <mergeCell ref="E2:H2"/>
    <mergeCell ref="J2:M2"/>
  </mergeCells>
  <phoneticPr fontId="84" type="noConversion"/>
  <hyperlinks>
    <hyperlink ref="G1" r:id="rId1"/>
    <hyperlink ref="G19" r:id="rId2"/>
  </hyperlinks>
  <pageMargins left="0.75" right="0.75" top="1" bottom="1" header="0.51" footer="0.51"/>
  <pageSetup paperSize="9" orientation="portrait" horizontalDpi="200" verticalDpi="200"/>
  <headerFooter scaleWithDoc="0" alignWithMargins="0"/>
  <legacyDrawing r:id="rId3"/>
</worksheet>
</file>

<file path=xl/worksheets/sheet2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28" zoomScaleSheetLayoutView="100" workbookViewId="0">
      <selection activeCell="G33" sqref="G33"/>
    </sheetView>
  </sheetViews>
  <sheetFormatPr defaultColWidth="9" defaultRowHeight="14.25"/>
  <cols>
    <col min="1" max="1" width="17.125" customWidth="1"/>
    <col min="2" max="2" width="14.5" customWidth="1"/>
    <col min="3" max="3" width="17.125" customWidth="1"/>
    <col min="4" max="4" width="12" customWidth="1"/>
    <col min="5" max="5" width="13.125" customWidth="1"/>
    <col min="6" max="6" width="12.375" customWidth="1"/>
    <col min="7" max="8" width="11.5" customWidth="1"/>
    <col min="9" max="9" width="15.5" customWidth="1"/>
    <col min="10" max="10" width="11.625" customWidth="1"/>
    <col min="11" max="12" width="15.125" customWidth="1"/>
    <col min="13" max="13" width="38.375" customWidth="1"/>
  </cols>
  <sheetData>
    <row r="1" spans="1:13" ht="132.94999999999999" customHeight="1">
      <c r="A1" s="130" t="s">
        <v>556</v>
      </c>
      <c r="B1" s="256"/>
      <c r="C1" s="257" t="s">
        <v>4574</v>
      </c>
      <c r="D1" s="131" t="s">
        <v>236</v>
      </c>
      <c r="E1" s="2095"/>
      <c r="F1" s="2095"/>
      <c r="G1" s="1738" t="s">
        <v>4575</v>
      </c>
      <c r="H1" s="2238"/>
      <c r="I1" s="164" t="s">
        <v>237</v>
      </c>
      <c r="J1" s="1701" t="s">
        <v>4576</v>
      </c>
      <c r="K1" s="1701"/>
      <c r="L1" s="1701"/>
      <c r="M1" s="221" t="s">
        <v>4577</v>
      </c>
    </row>
    <row r="2" spans="1:13" ht="60" customHeight="1">
      <c r="A2" s="133" t="s">
        <v>240</v>
      </c>
      <c r="B2" s="1682" t="s">
        <v>1723</v>
      </c>
      <c r="C2" s="1682"/>
      <c r="D2" s="134" t="s">
        <v>242</v>
      </c>
      <c r="E2" s="223"/>
      <c r="F2" s="223"/>
      <c r="G2" s="1740"/>
      <c r="H2" s="2239"/>
      <c r="I2" s="166" t="s">
        <v>425</v>
      </c>
      <c r="J2" s="2252" t="s">
        <v>4578</v>
      </c>
      <c r="K2" s="2253"/>
      <c r="L2" s="2253"/>
      <c r="M2" s="2254"/>
    </row>
    <row r="3" spans="1:13" ht="63" customHeight="1">
      <c r="A3" s="133" t="s">
        <v>247</v>
      </c>
      <c r="B3" s="1682" t="s">
        <v>4579</v>
      </c>
      <c r="C3" s="1682"/>
      <c r="D3" s="134" t="s">
        <v>249</v>
      </c>
      <c r="E3" s="136">
        <v>20000</v>
      </c>
      <c r="F3" s="137" t="s">
        <v>1812</v>
      </c>
      <c r="G3" s="134" t="s">
        <v>4580</v>
      </c>
      <c r="H3" s="134">
        <v>13660199729</v>
      </c>
      <c r="I3" s="166" t="s">
        <v>243</v>
      </c>
      <c r="J3" s="1707" t="s">
        <v>421</v>
      </c>
      <c r="K3" s="1708"/>
      <c r="L3" s="166" t="s">
        <v>245</v>
      </c>
      <c r="M3" s="205" t="s">
        <v>4581</v>
      </c>
    </row>
    <row r="4" spans="1:13" ht="108.95" customHeight="1">
      <c r="A4" s="133" t="s">
        <v>260</v>
      </c>
      <c r="B4" s="1726" t="s">
        <v>4582</v>
      </c>
      <c r="C4" s="1726"/>
      <c r="D4" s="1726"/>
      <c r="E4" s="1726"/>
      <c r="F4" s="1727"/>
      <c r="G4" s="1727"/>
      <c r="H4" s="1727"/>
      <c r="I4" s="1727"/>
      <c r="J4" s="41" t="s">
        <v>565</v>
      </c>
      <c r="K4" s="15" t="s">
        <v>4583</v>
      </c>
      <c r="L4" s="15" t="s">
        <v>255</v>
      </c>
      <c r="M4" s="168" t="s">
        <v>4584</v>
      </c>
    </row>
    <row r="5" spans="1:13" ht="57" customHeight="1">
      <c r="A5" s="1688" t="s">
        <v>660</v>
      </c>
      <c r="B5" s="1689"/>
      <c r="C5" s="1689"/>
      <c r="D5" s="1690"/>
      <c r="E5" s="1690"/>
      <c r="F5" s="1690"/>
      <c r="G5" s="1690"/>
      <c r="H5" s="1690"/>
      <c r="I5" s="1690"/>
      <c r="J5" s="1698"/>
      <c r="K5" s="1699"/>
      <c r="L5" s="1700"/>
      <c r="M5" s="264"/>
    </row>
    <row r="6" spans="1:13" ht="5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42.95" customHeight="1">
      <c r="A7" s="258">
        <v>42491</v>
      </c>
      <c r="B7" s="259">
        <v>115</v>
      </c>
      <c r="C7" s="181">
        <v>27025</v>
      </c>
      <c r="D7" s="259">
        <f>B7</f>
        <v>115</v>
      </c>
      <c r="E7" s="259">
        <f>C7</f>
        <v>27025</v>
      </c>
      <c r="F7" s="259"/>
      <c r="G7" s="260">
        <f t="shared" ref="G7:G22" si="0">C7</f>
        <v>27025</v>
      </c>
      <c r="H7" s="261"/>
      <c r="I7" s="259"/>
      <c r="J7" s="259"/>
      <c r="K7" s="259"/>
      <c r="L7" s="200">
        <f t="shared" ref="L7:L22" si="1">E7-J7</f>
        <v>27025</v>
      </c>
      <c r="M7" s="265"/>
    </row>
    <row r="8" spans="1:13" ht="27.95" customHeight="1">
      <c r="A8" s="258">
        <v>42522</v>
      </c>
      <c r="B8" s="259">
        <v>1791</v>
      </c>
      <c r="C8" s="181">
        <v>468045</v>
      </c>
      <c r="D8" s="181">
        <f t="shared" ref="D8:D22" si="2">D7+B8</f>
        <v>1906</v>
      </c>
      <c r="E8" s="181">
        <f t="shared" ref="E8:E22" si="3">E7+C8</f>
        <v>495070</v>
      </c>
      <c r="F8" s="181"/>
      <c r="G8" s="260">
        <f t="shared" si="0"/>
        <v>468045</v>
      </c>
      <c r="H8" s="181"/>
      <c r="I8" s="181"/>
      <c r="J8" s="181"/>
      <c r="K8" s="181">
        <f t="shared" ref="K8:K23" si="4">K7+H8-I8</f>
        <v>0</v>
      </c>
      <c r="L8" s="200">
        <f t="shared" si="1"/>
        <v>495070</v>
      </c>
      <c r="M8" s="266"/>
    </row>
    <row r="9" spans="1:13" ht="27.95" customHeight="1">
      <c r="A9" s="258">
        <v>42552</v>
      </c>
      <c r="B9" s="262">
        <v>3128</v>
      </c>
      <c r="C9" s="262">
        <v>861680</v>
      </c>
      <c r="D9" s="181">
        <f t="shared" si="2"/>
        <v>5034</v>
      </c>
      <c r="E9" s="181">
        <f t="shared" si="3"/>
        <v>1356750</v>
      </c>
      <c r="F9" s="262"/>
      <c r="G9" s="260">
        <f t="shared" si="0"/>
        <v>861680</v>
      </c>
      <c r="H9" s="181">
        <f>C7</f>
        <v>27025</v>
      </c>
      <c r="I9" s="262"/>
      <c r="J9" s="262"/>
      <c r="K9" s="181">
        <f t="shared" si="4"/>
        <v>27025</v>
      </c>
      <c r="L9" s="200">
        <f t="shared" si="1"/>
        <v>1356750</v>
      </c>
      <c r="M9" s="262"/>
    </row>
    <row r="10" spans="1:13" ht="27.95" customHeight="1">
      <c r="A10" s="258">
        <v>42583</v>
      </c>
      <c r="B10" s="259">
        <v>1717</v>
      </c>
      <c r="C10" s="181">
        <v>489345</v>
      </c>
      <c r="D10" s="181">
        <f t="shared" si="2"/>
        <v>6751</v>
      </c>
      <c r="E10" s="181">
        <f t="shared" si="3"/>
        <v>1846095</v>
      </c>
      <c r="F10" s="262"/>
      <c r="G10" s="260">
        <f t="shared" si="0"/>
        <v>489345</v>
      </c>
      <c r="H10" s="181">
        <f t="shared" ref="H10:H23" si="5">C8</f>
        <v>468045</v>
      </c>
      <c r="I10" s="262"/>
      <c r="J10" s="262"/>
      <c r="K10" s="181">
        <f t="shared" si="4"/>
        <v>495070</v>
      </c>
      <c r="L10" s="200">
        <f t="shared" si="1"/>
        <v>1846095</v>
      </c>
      <c r="M10" s="262"/>
    </row>
    <row r="11" spans="1:13" ht="27.95" customHeight="1">
      <c r="A11" s="258">
        <v>42614</v>
      </c>
      <c r="B11" s="259">
        <v>1673</v>
      </c>
      <c r="C11" s="181">
        <v>476805</v>
      </c>
      <c r="D11" s="181">
        <f t="shared" si="2"/>
        <v>8424</v>
      </c>
      <c r="E11" s="181">
        <f t="shared" si="3"/>
        <v>2322900</v>
      </c>
      <c r="F11" s="262"/>
      <c r="G11" s="260">
        <f t="shared" si="0"/>
        <v>476805</v>
      </c>
      <c r="H11" s="181">
        <f t="shared" si="5"/>
        <v>861680</v>
      </c>
      <c r="I11" s="262"/>
      <c r="J11" s="262"/>
      <c r="K11" s="181">
        <f t="shared" si="4"/>
        <v>1356750</v>
      </c>
      <c r="L11" s="200">
        <f t="shared" si="1"/>
        <v>2322900</v>
      </c>
      <c r="M11" s="262"/>
    </row>
    <row r="12" spans="1:13" ht="27.95" customHeight="1">
      <c r="A12" s="258">
        <v>42644</v>
      </c>
      <c r="B12" s="259">
        <v>1651.5</v>
      </c>
      <c r="C12" s="181">
        <v>453492.5</v>
      </c>
      <c r="D12" s="181">
        <f t="shared" si="2"/>
        <v>10075.5</v>
      </c>
      <c r="E12" s="181">
        <f t="shared" si="3"/>
        <v>2776392.5</v>
      </c>
      <c r="F12" s="262"/>
      <c r="G12" s="260">
        <f t="shared" si="0"/>
        <v>453492.5</v>
      </c>
      <c r="H12" s="181">
        <f t="shared" si="5"/>
        <v>489345</v>
      </c>
      <c r="I12" s="262"/>
      <c r="J12" s="262"/>
      <c r="K12" s="181">
        <f t="shared" si="4"/>
        <v>1846095</v>
      </c>
      <c r="L12" s="200">
        <f t="shared" si="1"/>
        <v>2776392.5</v>
      </c>
      <c r="M12" s="262"/>
    </row>
    <row r="13" spans="1:13" ht="27.95" customHeight="1">
      <c r="A13" s="258">
        <v>42675</v>
      </c>
      <c r="B13" s="259">
        <v>303.5</v>
      </c>
      <c r="C13" s="181">
        <v>88015</v>
      </c>
      <c r="D13" s="181">
        <f t="shared" si="2"/>
        <v>10379</v>
      </c>
      <c r="E13" s="181">
        <f t="shared" si="3"/>
        <v>2864407.5</v>
      </c>
      <c r="F13" s="262"/>
      <c r="G13" s="260">
        <f t="shared" si="0"/>
        <v>88015</v>
      </c>
      <c r="H13" s="181">
        <f t="shared" si="5"/>
        <v>476805</v>
      </c>
      <c r="I13" s="262">
        <v>1021400</v>
      </c>
      <c r="J13" s="262">
        <f>I13</f>
        <v>1021400</v>
      </c>
      <c r="K13" s="181">
        <f t="shared" si="4"/>
        <v>1301500</v>
      </c>
      <c r="L13" s="200">
        <f t="shared" si="1"/>
        <v>1843007.5</v>
      </c>
      <c r="M13" s="267" t="s">
        <v>4585</v>
      </c>
    </row>
    <row r="14" spans="1:13" ht="27.95" customHeight="1">
      <c r="A14" s="258">
        <v>42705</v>
      </c>
      <c r="B14" s="259">
        <v>577</v>
      </c>
      <c r="C14" s="181">
        <v>176000</v>
      </c>
      <c r="D14" s="181">
        <f t="shared" si="2"/>
        <v>10956</v>
      </c>
      <c r="E14" s="181">
        <f t="shared" si="3"/>
        <v>3040407.5</v>
      </c>
      <c r="F14" s="262"/>
      <c r="G14" s="260">
        <f t="shared" si="0"/>
        <v>176000</v>
      </c>
      <c r="H14" s="181">
        <f t="shared" si="5"/>
        <v>453492.5</v>
      </c>
      <c r="I14" s="262"/>
      <c r="J14" s="262">
        <f t="shared" ref="J14:J22" si="6">I14+J13</f>
        <v>1021400</v>
      </c>
      <c r="K14" s="181">
        <f t="shared" si="4"/>
        <v>1754992.5</v>
      </c>
      <c r="L14" s="200">
        <f t="shared" si="1"/>
        <v>2019007.5</v>
      </c>
      <c r="M14" s="262"/>
    </row>
    <row r="15" spans="1:13" ht="27.95" customHeight="1">
      <c r="A15" s="258">
        <v>42736</v>
      </c>
      <c r="B15" s="259">
        <v>0</v>
      </c>
      <c r="C15" s="181">
        <v>0</v>
      </c>
      <c r="D15" s="181">
        <f t="shared" si="2"/>
        <v>10956</v>
      </c>
      <c r="E15" s="181">
        <f t="shared" si="3"/>
        <v>3040407.5</v>
      </c>
      <c r="F15" s="262"/>
      <c r="G15" s="260">
        <f t="shared" si="0"/>
        <v>0</v>
      </c>
      <c r="H15" s="181">
        <f t="shared" si="5"/>
        <v>88015</v>
      </c>
      <c r="I15" s="262"/>
      <c r="J15" s="262">
        <f t="shared" si="6"/>
        <v>1021400</v>
      </c>
      <c r="K15" s="181">
        <f t="shared" si="4"/>
        <v>1843007.5</v>
      </c>
      <c r="L15" s="200">
        <f t="shared" si="1"/>
        <v>2019007.5</v>
      </c>
      <c r="M15" s="262"/>
    </row>
    <row r="16" spans="1:13" ht="27.95" customHeight="1">
      <c r="A16" s="258">
        <v>42767</v>
      </c>
      <c r="B16" s="259">
        <v>0</v>
      </c>
      <c r="C16" s="181">
        <v>0</v>
      </c>
      <c r="D16" s="181">
        <f t="shared" si="2"/>
        <v>10956</v>
      </c>
      <c r="E16" s="181">
        <f t="shared" si="3"/>
        <v>3040407.5</v>
      </c>
      <c r="F16" s="262"/>
      <c r="G16" s="260">
        <f t="shared" si="0"/>
        <v>0</v>
      </c>
      <c r="H16" s="181">
        <f t="shared" si="5"/>
        <v>176000</v>
      </c>
      <c r="I16" s="262"/>
      <c r="J16" s="262">
        <f t="shared" si="6"/>
        <v>1021400</v>
      </c>
      <c r="K16" s="181">
        <f t="shared" si="4"/>
        <v>2019007.5</v>
      </c>
      <c r="L16" s="200">
        <f t="shared" si="1"/>
        <v>2019007.5</v>
      </c>
      <c r="M16" s="262"/>
    </row>
    <row r="17" spans="1:13" ht="27.95" customHeight="1">
      <c r="A17" s="258">
        <v>42795</v>
      </c>
      <c r="B17" s="259">
        <v>65.5</v>
      </c>
      <c r="C17" s="181">
        <v>21425</v>
      </c>
      <c r="D17" s="181">
        <f t="shared" si="2"/>
        <v>11021.5</v>
      </c>
      <c r="E17" s="181">
        <f t="shared" si="3"/>
        <v>3061832.5</v>
      </c>
      <c r="F17" s="262"/>
      <c r="G17" s="260">
        <f t="shared" si="0"/>
        <v>21425</v>
      </c>
      <c r="H17" s="181">
        <f t="shared" si="5"/>
        <v>0</v>
      </c>
      <c r="I17" s="262"/>
      <c r="J17" s="262">
        <f t="shared" si="6"/>
        <v>1021400</v>
      </c>
      <c r="K17" s="181">
        <f t="shared" si="4"/>
        <v>2019007.5</v>
      </c>
      <c r="L17" s="200">
        <f t="shared" si="1"/>
        <v>2040432.5</v>
      </c>
      <c r="M17" s="262"/>
    </row>
    <row r="18" spans="1:13" ht="27.95" customHeight="1">
      <c r="A18" s="258">
        <v>42826</v>
      </c>
      <c r="B18" s="259">
        <v>119</v>
      </c>
      <c r="C18" s="181">
        <v>34510</v>
      </c>
      <c r="D18" s="181">
        <f t="shared" si="2"/>
        <v>11140.5</v>
      </c>
      <c r="E18" s="181">
        <f t="shared" si="3"/>
        <v>3096342.5</v>
      </c>
      <c r="F18" s="262"/>
      <c r="G18" s="260">
        <f t="shared" si="0"/>
        <v>34510</v>
      </c>
      <c r="H18" s="181">
        <f t="shared" si="5"/>
        <v>0</v>
      </c>
      <c r="I18" s="262">
        <v>100000</v>
      </c>
      <c r="J18" s="262">
        <f t="shared" si="6"/>
        <v>1121400</v>
      </c>
      <c r="K18" s="181">
        <f t="shared" si="4"/>
        <v>1919007.5</v>
      </c>
      <c r="L18" s="200">
        <f t="shared" si="1"/>
        <v>1974942.5</v>
      </c>
      <c r="M18" s="262" t="s">
        <v>4586</v>
      </c>
    </row>
    <row r="19" spans="1:13" ht="27" customHeight="1">
      <c r="A19" s="258">
        <v>42856</v>
      </c>
      <c r="B19" s="259">
        <v>95</v>
      </c>
      <c r="C19" s="181">
        <v>27550</v>
      </c>
      <c r="D19" s="181">
        <f t="shared" si="2"/>
        <v>11235.5</v>
      </c>
      <c r="E19" s="181">
        <f t="shared" si="3"/>
        <v>3123892.5</v>
      </c>
      <c r="F19" s="262"/>
      <c r="G19" s="260">
        <f t="shared" si="0"/>
        <v>27550</v>
      </c>
      <c r="H19" s="181">
        <f t="shared" si="5"/>
        <v>21425</v>
      </c>
      <c r="I19" s="262">
        <v>1000000</v>
      </c>
      <c r="J19" s="262">
        <f t="shared" si="6"/>
        <v>2121400</v>
      </c>
      <c r="K19" s="181">
        <f t="shared" si="4"/>
        <v>940432.5</v>
      </c>
      <c r="L19" s="200">
        <f t="shared" si="1"/>
        <v>1002492.5</v>
      </c>
      <c r="M19" s="262" t="s">
        <v>720</v>
      </c>
    </row>
    <row r="20" spans="1:13" ht="27.95" customHeight="1">
      <c r="A20" s="258">
        <v>42887</v>
      </c>
      <c r="B20" s="259">
        <v>0</v>
      </c>
      <c r="C20" s="181">
        <v>0</v>
      </c>
      <c r="D20" s="181">
        <f t="shared" si="2"/>
        <v>11235.5</v>
      </c>
      <c r="E20" s="181">
        <f t="shared" si="3"/>
        <v>3123892.5</v>
      </c>
      <c r="F20" s="262"/>
      <c r="G20" s="260">
        <f t="shared" si="0"/>
        <v>0</v>
      </c>
      <c r="H20" s="181">
        <f t="shared" si="5"/>
        <v>34510</v>
      </c>
      <c r="I20" s="262"/>
      <c r="J20" s="262">
        <f t="shared" si="6"/>
        <v>2121400</v>
      </c>
      <c r="K20" s="181">
        <f t="shared" si="4"/>
        <v>974942.5</v>
      </c>
      <c r="L20" s="200">
        <f t="shared" si="1"/>
        <v>1002492.5</v>
      </c>
      <c r="M20" s="262" t="s">
        <v>4587</v>
      </c>
    </row>
    <row r="21" spans="1:13" ht="27.95" customHeight="1">
      <c r="A21" s="258">
        <v>42917</v>
      </c>
      <c r="B21" s="259">
        <v>0</v>
      </c>
      <c r="C21" s="181">
        <v>0</v>
      </c>
      <c r="D21" s="181">
        <f t="shared" si="2"/>
        <v>11235.5</v>
      </c>
      <c r="E21" s="181">
        <f t="shared" si="3"/>
        <v>3123892.5</v>
      </c>
      <c r="F21" s="262"/>
      <c r="G21" s="260">
        <f t="shared" si="0"/>
        <v>0</v>
      </c>
      <c r="H21" s="181">
        <f t="shared" si="5"/>
        <v>27550</v>
      </c>
      <c r="I21" s="262"/>
      <c r="J21" s="262">
        <f t="shared" si="6"/>
        <v>2121400</v>
      </c>
      <c r="K21" s="181">
        <f t="shared" si="4"/>
        <v>1002492.5</v>
      </c>
      <c r="L21" s="200">
        <f t="shared" si="1"/>
        <v>1002492.5</v>
      </c>
      <c r="M21" s="262"/>
    </row>
    <row r="22" spans="1:13" ht="27.95" customHeight="1">
      <c r="A22" s="258">
        <v>42948</v>
      </c>
      <c r="B22" s="259"/>
      <c r="C22" s="181"/>
      <c r="D22" s="181">
        <f t="shared" si="2"/>
        <v>11235.5</v>
      </c>
      <c r="E22" s="181">
        <f t="shared" si="3"/>
        <v>3123892.5</v>
      </c>
      <c r="F22" s="262"/>
      <c r="G22" s="260">
        <f t="shared" si="0"/>
        <v>0</v>
      </c>
      <c r="H22" s="181">
        <f t="shared" si="5"/>
        <v>0</v>
      </c>
      <c r="I22" s="262">
        <v>1002492.5</v>
      </c>
      <c r="J22" s="262">
        <f t="shared" si="6"/>
        <v>3123892.5</v>
      </c>
      <c r="K22" s="181">
        <f t="shared" si="4"/>
        <v>0</v>
      </c>
      <c r="L22" s="200">
        <f t="shared" si="1"/>
        <v>0</v>
      </c>
      <c r="M22" s="262"/>
    </row>
    <row r="23" spans="1:13" ht="27.95" customHeight="1">
      <c r="A23" s="258"/>
      <c r="B23" s="259"/>
      <c r="C23" s="181"/>
      <c r="D23" s="181"/>
      <c r="E23" s="181"/>
      <c r="F23" s="262"/>
      <c r="G23" s="260"/>
      <c r="H23" s="181">
        <f t="shared" si="5"/>
        <v>0</v>
      </c>
      <c r="I23" s="262"/>
      <c r="J23" s="262"/>
      <c r="K23" s="181">
        <f t="shared" si="4"/>
        <v>0</v>
      </c>
      <c r="L23" s="200"/>
      <c r="M23" s="262"/>
    </row>
    <row r="24" spans="1:13" ht="132.94999999999999" customHeight="1">
      <c r="A24" s="130" t="s">
        <v>556</v>
      </c>
      <c r="B24" s="256"/>
      <c r="C24" s="263" t="s">
        <v>4588</v>
      </c>
      <c r="D24" s="131" t="s">
        <v>236</v>
      </c>
      <c r="E24" s="2095"/>
      <c r="F24" s="2095"/>
      <c r="G24" s="1738" t="s">
        <v>4575</v>
      </c>
      <c r="H24" s="2238"/>
      <c r="I24" s="164" t="s">
        <v>237</v>
      </c>
      <c r="J24" s="2255" t="s">
        <v>4589</v>
      </c>
      <c r="K24" s="1701"/>
      <c r="L24" s="1701"/>
      <c r="M24" s="221" t="s">
        <v>4577</v>
      </c>
    </row>
    <row r="25" spans="1:13" ht="60" customHeight="1">
      <c r="A25" s="133" t="s">
        <v>240</v>
      </c>
      <c r="B25" s="1682" t="s">
        <v>1723</v>
      </c>
      <c r="C25" s="1682"/>
      <c r="D25" s="134" t="s">
        <v>242</v>
      </c>
      <c r="E25" s="223"/>
      <c r="F25" s="223"/>
      <c r="G25" s="1740"/>
      <c r="H25" s="2239"/>
      <c r="I25" s="166" t="s">
        <v>425</v>
      </c>
      <c r="J25" s="2252" t="s">
        <v>4578</v>
      </c>
      <c r="K25" s="2253"/>
      <c r="L25" s="2253"/>
      <c r="M25" s="2254"/>
    </row>
    <row r="26" spans="1:13" ht="63" customHeight="1">
      <c r="A26" s="133" t="s">
        <v>247</v>
      </c>
      <c r="B26" s="1682" t="s">
        <v>4579</v>
      </c>
      <c r="C26" s="1682"/>
      <c r="D26" s="134" t="s">
        <v>249</v>
      </c>
      <c r="E26" s="136">
        <v>20000</v>
      </c>
      <c r="F26" s="137" t="s">
        <v>1812</v>
      </c>
      <c r="G26" s="134" t="s">
        <v>4580</v>
      </c>
      <c r="H26" s="134">
        <v>13660199729</v>
      </c>
      <c r="I26" s="166" t="s">
        <v>243</v>
      </c>
      <c r="J26" s="1707" t="s">
        <v>421</v>
      </c>
      <c r="K26" s="1708"/>
      <c r="L26" s="166" t="s">
        <v>245</v>
      </c>
      <c r="M26" s="205" t="s">
        <v>4581</v>
      </c>
    </row>
    <row r="27" spans="1:13" ht="108.95" customHeight="1">
      <c r="A27" s="133" t="s">
        <v>260</v>
      </c>
      <c r="B27" s="1726" t="s">
        <v>4582</v>
      </c>
      <c r="C27" s="1726"/>
      <c r="D27" s="1726"/>
      <c r="E27" s="1726"/>
      <c r="F27" s="1727"/>
      <c r="G27" s="1727"/>
      <c r="H27" s="1727"/>
      <c r="I27" s="1727"/>
      <c r="J27" s="41" t="s">
        <v>565</v>
      </c>
      <c r="K27" s="15" t="s">
        <v>4583</v>
      </c>
      <c r="L27" s="15" t="s">
        <v>255</v>
      </c>
      <c r="M27" s="168" t="s">
        <v>4584</v>
      </c>
    </row>
    <row r="28" spans="1:13" ht="57" customHeight="1">
      <c r="A28" s="1688" t="s">
        <v>660</v>
      </c>
      <c r="B28" s="1689"/>
      <c r="C28" s="1689"/>
      <c r="D28" s="1690"/>
      <c r="E28" s="1690"/>
      <c r="F28" s="1690"/>
      <c r="G28" s="1690"/>
      <c r="H28" s="1690"/>
      <c r="I28" s="1690"/>
      <c r="J28" s="1698"/>
      <c r="K28" s="1699"/>
      <c r="L28" s="1700"/>
      <c r="M28" s="264"/>
    </row>
    <row r="29" spans="1:13" ht="51" customHeight="1">
      <c r="A29" s="19" t="s">
        <v>266</v>
      </c>
      <c r="B29" s="20" t="s">
        <v>267</v>
      </c>
      <c r="C29" s="20" t="s">
        <v>268</v>
      </c>
      <c r="D29" s="20" t="s">
        <v>269</v>
      </c>
      <c r="E29" s="20" t="s">
        <v>270</v>
      </c>
      <c r="F29" s="20" t="s">
        <v>271</v>
      </c>
      <c r="G29" s="21" t="s">
        <v>272</v>
      </c>
      <c r="H29" s="22" t="s">
        <v>273</v>
      </c>
      <c r="I29" s="20" t="s">
        <v>274</v>
      </c>
      <c r="J29" s="70" t="s">
        <v>275</v>
      </c>
      <c r="K29" s="70" t="s">
        <v>276</v>
      </c>
      <c r="L29" s="20" t="s">
        <v>277</v>
      </c>
      <c r="M29" s="71" t="s">
        <v>278</v>
      </c>
    </row>
    <row r="30" spans="1:13" ht="27.95" customHeight="1">
      <c r="A30" s="258">
        <v>42887</v>
      </c>
      <c r="B30" s="259">
        <v>99</v>
      </c>
      <c r="C30" s="181">
        <v>30685</v>
      </c>
      <c r="D30" s="181">
        <f>+B30</f>
        <v>99</v>
      </c>
      <c r="E30" s="181">
        <f>+C30</f>
        <v>30685</v>
      </c>
      <c r="F30" s="262"/>
      <c r="G30" s="260">
        <f>C30</f>
        <v>30685</v>
      </c>
      <c r="H30" s="181"/>
      <c r="I30" s="262"/>
      <c r="J30" s="262"/>
      <c r="K30" s="181"/>
      <c r="L30" s="200">
        <f>E30-J30</f>
        <v>30685</v>
      </c>
      <c r="M30" s="262"/>
    </row>
    <row r="31" spans="1:13" ht="27.95" customHeight="1">
      <c r="A31" s="258">
        <v>42917</v>
      </c>
      <c r="B31" s="259">
        <v>3018.5</v>
      </c>
      <c r="C31" s="181">
        <v>956245</v>
      </c>
      <c r="D31" s="181">
        <f t="shared" ref="D31:E33" si="7">D30+B31</f>
        <v>3117.5</v>
      </c>
      <c r="E31" s="181">
        <f t="shared" si="7"/>
        <v>986930</v>
      </c>
      <c r="F31" s="262"/>
      <c r="G31" s="260">
        <f>C31</f>
        <v>956245</v>
      </c>
      <c r="H31" s="181"/>
      <c r="I31" s="262"/>
      <c r="J31" s="262"/>
      <c r="K31" s="181"/>
      <c r="L31" s="200">
        <f>E31-J31</f>
        <v>986930</v>
      </c>
      <c r="M31" s="262"/>
    </row>
    <row r="32" spans="1:13" ht="27.95" customHeight="1">
      <c r="A32" s="258">
        <v>42948</v>
      </c>
      <c r="B32" s="259">
        <v>881</v>
      </c>
      <c r="C32" s="181">
        <v>282805</v>
      </c>
      <c r="D32" s="181">
        <f t="shared" si="7"/>
        <v>3998.5</v>
      </c>
      <c r="E32" s="181">
        <f t="shared" si="7"/>
        <v>1269735</v>
      </c>
      <c r="F32" s="262"/>
      <c r="G32" s="260">
        <f>C32</f>
        <v>282805</v>
      </c>
      <c r="H32" s="181">
        <f>C30</f>
        <v>30685</v>
      </c>
      <c r="I32" s="262"/>
      <c r="J32" s="262"/>
      <c r="K32" s="181">
        <f>K31+H32-I32</f>
        <v>30685</v>
      </c>
      <c r="L32" s="200">
        <f>E32-J32</f>
        <v>1269735</v>
      </c>
      <c r="M32" s="262"/>
    </row>
    <row r="33" spans="1:13" ht="27.95" customHeight="1">
      <c r="A33" s="258">
        <v>42979</v>
      </c>
      <c r="B33" s="259"/>
      <c r="C33" s="181"/>
      <c r="D33" s="181">
        <f t="shared" si="7"/>
        <v>3998.5</v>
      </c>
      <c r="E33" s="181">
        <f t="shared" si="7"/>
        <v>1269735</v>
      </c>
      <c r="F33" s="262"/>
      <c r="G33" s="260"/>
      <c r="H33" s="181">
        <f>C31</f>
        <v>956245</v>
      </c>
      <c r="I33" s="262"/>
      <c r="J33" s="262"/>
      <c r="K33" s="181">
        <f>K32+H33-I33</f>
        <v>986930</v>
      </c>
      <c r="L33" s="200">
        <f>E33-J33</f>
        <v>1269735</v>
      </c>
      <c r="M33" s="262"/>
    </row>
    <row r="34" spans="1:13" ht="27.95" customHeight="1">
      <c r="A34" s="258"/>
      <c r="B34" s="259"/>
      <c r="C34" s="181"/>
      <c r="D34" s="181"/>
      <c r="E34" s="181"/>
      <c r="F34" s="262"/>
      <c r="G34" s="260"/>
      <c r="H34" s="181"/>
      <c r="I34" s="262"/>
      <c r="J34" s="262"/>
      <c r="K34" s="181"/>
      <c r="L34" s="200"/>
      <c r="M34" s="262"/>
    </row>
    <row r="35" spans="1:13" ht="27.95" customHeight="1">
      <c r="A35" s="258"/>
      <c r="B35" s="259"/>
      <c r="C35" s="181"/>
      <c r="D35" s="181"/>
      <c r="E35" s="181"/>
      <c r="F35" s="262"/>
      <c r="G35" s="260"/>
      <c r="H35" s="181"/>
      <c r="I35" s="262"/>
      <c r="J35" s="262"/>
      <c r="K35" s="181"/>
      <c r="L35" s="200"/>
      <c r="M35" s="262"/>
    </row>
    <row r="36" spans="1:13" ht="27.95" customHeight="1">
      <c r="A36" s="258"/>
      <c r="B36" s="259"/>
      <c r="C36" s="181"/>
      <c r="D36" s="181"/>
      <c r="E36" s="181"/>
      <c r="F36" s="262"/>
      <c r="G36" s="260"/>
      <c r="H36" s="181"/>
      <c r="I36" s="262"/>
      <c r="J36" s="262"/>
      <c r="K36" s="181"/>
      <c r="L36" s="200"/>
      <c r="M36" s="262"/>
    </row>
    <row r="37" spans="1:13" ht="27.95" customHeight="1">
      <c r="A37" s="258"/>
      <c r="B37" s="259"/>
      <c r="C37" s="181"/>
      <c r="D37" s="181"/>
      <c r="E37" s="181"/>
      <c r="F37" s="262"/>
      <c r="G37" s="260"/>
      <c r="H37" s="181"/>
      <c r="I37" s="262"/>
      <c r="J37" s="262"/>
      <c r="K37" s="181"/>
      <c r="L37" s="200"/>
      <c r="M37" s="262"/>
    </row>
    <row r="38" spans="1:13" ht="27.95" customHeight="1">
      <c r="A38" s="258"/>
      <c r="B38" s="259"/>
      <c r="C38" s="181"/>
      <c r="D38" s="181"/>
      <c r="E38" s="181"/>
      <c r="F38" s="262"/>
      <c r="G38" s="260"/>
      <c r="H38" s="181"/>
      <c r="I38" s="262"/>
      <c r="J38" s="262"/>
      <c r="K38" s="181"/>
      <c r="L38" s="200"/>
      <c r="M38" s="262"/>
    </row>
    <row r="39" spans="1:13" ht="27.95" customHeight="1">
      <c r="A39" s="258"/>
      <c r="B39" s="259"/>
      <c r="C39" s="181"/>
      <c r="D39" s="181"/>
      <c r="E39" s="181"/>
      <c r="F39" s="262"/>
      <c r="G39" s="260"/>
      <c r="H39" s="181"/>
      <c r="I39" s="262"/>
      <c r="J39" s="262"/>
      <c r="K39" s="181"/>
      <c r="L39" s="200"/>
      <c r="M39" s="262"/>
    </row>
    <row r="40" spans="1:13" ht="27.95" customHeight="1">
      <c r="A40" s="258"/>
      <c r="B40" s="259"/>
      <c r="C40" s="181"/>
      <c r="D40" s="181"/>
      <c r="E40" s="181"/>
      <c r="F40" s="262"/>
      <c r="G40" s="260"/>
      <c r="H40" s="181"/>
      <c r="I40" s="262"/>
      <c r="J40" s="262"/>
      <c r="K40" s="181"/>
      <c r="L40" s="200"/>
      <c r="M40" s="262"/>
    </row>
    <row r="41" spans="1:13" ht="27.95" customHeight="1">
      <c r="A41" s="258"/>
      <c r="B41" s="259"/>
      <c r="C41" s="181"/>
      <c r="D41" s="181"/>
      <c r="E41" s="181"/>
      <c r="F41" s="262"/>
      <c r="G41" s="260"/>
      <c r="H41" s="181"/>
      <c r="I41" s="262"/>
      <c r="J41" s="262"/>
      <c r="K41" s="181"/>
      <c r="L41" s="200"/>
      <c r="M41" s="262"/>
    </row>
    <row r="42" spans="1:13" ht="27.95" customHeight="1">
      <c r="A42" s="258"/>
      <c r="B42" s="259"/>
      <c r="C42" s="181"/>
      <c r="D42" s="181"/>
      <c r="E42" s="181"/>
      <c r="F42" s="262"/>
      <c r="G42" s="260"/>
      <c r="H42" s="181"/>
      <c r="I42" s="262"/>
      <c r="J42" s="262"/>
      <c r="K42" s="181"/>
      <c r="L42" s="200"/>
      <c r="M42" s="262"/>
    </row>
  </sheetData>
  <mergeCells count="26">
    <mergeCell ref="B27:E27"/>
    <mergeCell ref="F27:I27"/>
    <mergeCell ref="A28:C28"/>
    <mergeCell ref="D28:F28"/>
    <mergeCell ref="G28:I28"/>
    <mergeCell ref="J28:L28"/>
    <mergeCell ref="E24:F24"/>
    <mergeCell ref="J24:L24"/>
    <mergeCell ref="B25:C25"/>
    <mergeCell ref="J25:M25"/>
    <mergeCell ref="B26:C26"/>
    <mergeCell ref="J26:K26"/>
    <mergeCell ref="G24:H25"/>
    <mergeCell ref="B4:E4"/>
    <mergeCell ref="F4:I4"/>
    <mergeCell ref="A5:C5"/>
    <mergeCell ref="D5:F5"/>
    <mergeCell ref="G5:I5"/>
    <mergeCell ref="J5:L5"/>
    <mergeCell ref="E1:F1"/>
    <mergeCell ref="J1:L1"/>
    <mergeCell ref="B2:C2"/>
    <mergeCell ref="J2:M2"/>
    <mergeCell ref="B3:C3"/>
    <mergeCell ref="J3:K3"/>
    <mergeCell ref="G1:H2"/>
  </mergeCells>
  <phoneticPr fontId="84" type="noConversion"/>
  <pageMargins left="0.75" right="0.75" top="1" bottom="1" header="0.51" footer="0.51"/>
  <pageSetup paperSize="9" orientation="portrait" horizontalDpi="200" verticalDpi="200"/>
  <headerFooter scaleWithDoc="0" alignWithMargins="0"/>
</worksheet>
</file>

<file path=xl/worksheets/sheet20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41"/>
  <sheetViews>
    <sheetView topLeftCell="A34" zoomScaleSheetLayoutView="100" workbookViewId="0">
      <selection activeCell="I43" sqref="I43"/>
    </sheetView>
  </sheetViews>
  <sheetFormatPr defaultColWidth="9" defaultRowHeight="14.25"/>
  <cols>
    <col min="1" max="1" width="14.375" customWidth="1"/>
    <col min="2" max="2" width="13.75" customWidth="1"/>
    <col min="3" max="3" width="14.875" customWidth="1"/>
    <col min="4" max="4" width="14.75" customWidth="1"/>
    <col min="5" max="5" width="16.625" customWidth="1"/>
    <col min="6" max="6" width="13.75" customWidth="1"/>
    <col min="7" max="7" width="14.75" customWidth="1"/>
    <col min="8" max="8" width="14.5" customWidth="1"/>
    <col min="9" max="9" width="15.125" customWidth="1"/>
    <col min="10" max="10" width="16.25" customWidth="1"/>
    <col min="11" max="11" width="15.25" customWidth="1"/>
    <col min="12" max="12" width="15.875" customWidth="1"/>
    <col min="13" max="13" width="28.5" customWidth="1"/>
    <col min="15" max="15" width="19.75" customWidth="1"/>
  </cols>
  <sheetData>
    <row r="1" spans="1:15" ht="90" customHeight="1">
      <c r="A1" s="34" t="s">
        <v>4590</v>
      </c>
      <c r="B1" s="35"/>
      <c r="C1" s="2256" t="s">
        <v>4591</v>
      </c>
      <c r="D1" s="2256"/>
      <c r="E1" s="38" t="s">
        <v>236</v>
      </c>
      <c r="F1" s="2257" t="s">
        <v>4592</v>
      </c>
      <c r="G1" s="2257"/>
      <c r="H1" s="2257"/>
      <c r="I1" s="57" t="s">
        <v>237</v>
      </c>
      <c r="J1" s="1636" t="s">
        <v>4593</v>
      </c>
      <c r="K1" s="1636"/>
      <c r="L1" s="1636"/>
      <c r="M1" s="88" t="s">
        <v>4594</v>
      </c>
      <c r="N1" s="4"/>
      <c r="O1" s="4"/>
    </row>
    <row r="2" spans="1:15" ht="36.950000000000003" customHeight="1">
      <c r="A2" s="39" t="s">
        <v>240</v>
      </c>
      <c r="B2" s="1637" t="s">
        <v>529</v>
      </c>
      <c r="C2" s="1637"/>
      <c r="D2" s="41" t="s">
        <v>242</v>
      </c>
      <c r="E2" s="1637" t="s">
        <v>529</v>
      </c>
      <c r="F2" s="1637"/>
      <c r="G2" s="1637"/>
      <c r="H2" s="2258" t="s">
        <v>4595</v>
      </c>
      <c r="I2" s="2258"/>
      <c r="J2" s="41" t="s">
        <v>243</v>
      </c>
      <c r="K2" s="41" t="s">
        <v>321</v>
      </c>
      <c r="L2" s="41" t="s">
        <v>245</v>
      </c>
      <c r="M2" s="89" t="s">
        <v>4596</v>
      </c>
      <c r="N2" s="4"/>
      <c r="O2" s="4"/>
    </row>
    <row r="3" spans="1:15" ht="36" customHeight="1">
      <c r="A3" s="39" t="s">
        <v>247</v>
      </c>
      <c r="B3" s="1637" t="s">
        <v>4597</v>
      </c>
      <c r="C3" s="1637"/>
      <c r="D3" s="41" t="s">
        <v>249</v>
      </c>
      <c r="E3" s="186" t="s">
        <v>4598</v>
      </c>
      <c r="F3" s="41" t="s">
        <v>251</v>
      </c>
      <c r="G3" s="41" t="s">
        <v>4599</v>
      </c>
      <c r="H3" s="41" t="s">
        <v>252</v>
      </c>
      <c r="I3" s="90" t="s">
        <v>4600</v>
      </c>
      <c r="J3" s="91" t="s">
        <v>253</v>
      </c>
      <c r="K3" s="15"/>
      <c r="L3" s="15" t="s">
        <v>255</v>
      </c>
      <c r="M3" s="105" t="s">
        <v>4601</v>
      </c>
      <c r="N3" s="4"/>
      <c r="O3" s="4"/>
    </row>
    <row r="4" spans="1:15" ht="47.1" customHeight="1">
      <c r="A4" s="39" t="s">
        <v>260</v>
      </c>
      <c r="B4" s="2132" t="s">
        <v>4602</v>
      </c>
      <c r="C4" s="2132"/>
      <c r="D4" s="2132"/>
      <c r="E4" s="2132"/>
      <c r="F4" s="2132" t="s">
        <v>4603</v>
      </c>
      <c r="G4" s="2132"/>
      <c r="H4" s="2132"/>
      <c r="I4" s="2132"/>
      <c r="J4" s="2132" t="s">
        <v>4604</v>
      </c>
      <c r="K4" s="2132"/>
      <c r="L4" s="2132"/>
      <c r="M4" s="93"/>
      <c r="N4" s="4"/>
      <c r="O4" s="4"/>
    </row>
    <row r="5" spans="1:15" ht="39.950000000000003" customHeight="1">
      <c r="A5" s="19" t="s">
        <v>266</v>
      </c>
      <c r="B5" s="20" t="s">
        <v>267</v>
      </c>
      <c r="C5" s="20" t="s">
        <v>268</v>
      </c>
      <c r="D5" s="20" t="s">
        <v>269</v>
      </c>
      <c r="E5" s="20" t="s">
        <v>270</v>
      </c>
      <c r="F5" s="20" t="s">
        <v>271</v>
      </c>
      <c r="G5" s="21" t="s">
        <v>272</v>
      </c>
      <c r="H5" s="22" t="s">
        <v>273</v>
      </c>
      <c r="I5" s="20" t="s">
        <v>274</v>
      </c>
      <c r="J5" s="70" t="s">
        <v>275</v>
      </c>
      <c r="K5" s="70" t="s">
        <v>276</v>
      </c>
      <c r="L5" s="20" t="s">
        <v>277</v>
      </c>
      <c r="M5" s="71" t="s">
        <v>278</v>
      </c>
      <c r="N5" s="4"/>
      <c r="O5" s="4"/>
    </row>
    <row r="6" spans="1:15" ht="21" customHeight="1">
      <c r="A6" s="48">
        <v>40544</v>
      </c>
      <c r="B6" s="46">
        <v>1693</v>
      </c>
      <c r="C6" s="46">
        <v>487890</v>
      </c>
      <c r="D6" s="46">
        <f>B6</f>
        <v>1693</v>
      </c>
      <c r="E6" s="46">
        <f>C6</f>
        <v>487890</v>
      </c>
      <c r="F6" s="46">
        <f t="shared" ref="F6:F22" si="0">25000-D6</f>
        <v>23307</v>
      </c>
      <c r="G6" s="47"/>
      <c r="H6" s="47">
        <v>0</v>
      </c>
      <c r="I6" s="47">
        <v>0</v>
      </c>
      <c r="J6" s="47">
        <f>I6</f>
        <v>0</v>
      </c>
      <c r="K6" s="47">
        <v>0</v>
      </c>
      <c r="L6" s="47">
        <f t="shared" ref="L6:L40" si="1">E6-J6</f>
        <v>487890</v>
      </c>
      <c r="M6" s="97" t="s">
        <v>4605</v>
      </c>
      <c r="N6" s="5"/>
      <c r="O6" s="5"/>
    </row>
    <row r="7" spans="1:15" ht="21" customHeight="1">
      <c r="A7" s="48">
        <v>40575</v>
      </c>
      <c r="B7" s="46">
        <v>0</v>
      </c>
      <c r="C7" s="46">
        <v>0</v>
      </c>
      <c r="D7" s="46">
        <f t="shared" ref="D7:D40" si="2">D6+B7</f>
        <v>1693</v>
      </c>
      <c r="E7" s="46">
        <f t="shared" ref="E7:E40" si="3">E6+C7</f>
        <v>487890</v>
      </c>
      <c r="F7" s="46">
        <f t="shared" si="0"/>
        <v>23307</v>
      </c>
      <c r="G7" s="47"/>
      <c r="H7" s="47">
        <f>C6</f>
        <v>487890</v>
      </c>
      <c r="I7" s="47">
        <v>0</v>
      </c>
      <c r="J7" s="47">
        <f>I7</f>
        <v>0</v>
      </c>
      <c r="K7" s="47">
        <f t="shared" ref="K7:K40" si="4">K6+H7-I7</f>
        <v>487890</v>
      </c>
      <c r="L7" s="47">
        <f t="shared" si="1"/>
        <v>487890</v>
      </c>
      <c r="M7" s="97"/>
      <c r="N7" s="5"/>
      <c r="O7" s="5"/>
    </row>
    <row r="8" spans="1:15" ht="21" customHeight="1">
      <c r="A8" s="48">
        <v>40603</v>
      </c>
      <c r="B8" s="46">
        <v>0</v>
      </c>
      <c r="C8" s="46">
        <v>0</v>
      </c>
      <c r="D8" s="46">
        <f t="shared" si="2"/>
        <v>1693</v>
      </c>
      <c r="E8" s="46">
        <f t="shared" si="3"/>
        <v>487890</v>
      </c>
      <c r="F8" s="46">
        <f t="shared" si="0"/>
        <v>23307</v>
      </c>
      <c r="G8" s="47"/>
      <c r="H8" s="47">
        <f>C7</f>
        <v>0</v>
      </c>
      <c r="I8" s="47">
        <v>0</v>
      </c>
      <c r="J8" s="47">
        <f>I8</f>
        <v>0</v>
      </c>
      <c r="K8" s="47">
        <f t="shared" si="4"/>
        <v>487890</v>
      </c>
      <c r="L8" s="47">
        <f t="shared" si="1"/>
        <v>487890</v>
      </c>
      <c r="M8" s="97"/>
      <c r="N8" s="5"/>
      <c r="O8" s="5"/>
    </row>
    <row r="9" spans="1:15" ht="21" customHeight="1">
      <c r="A9" s="48">
        <v>40634</v>
      </c>
      <c r="B9" s="46">
        <v>1224</v>
      </c>
      <c r="C9" s="46">
        <v>352480</v>
      </c>
      <c r="D9" s="46">
        <f t="shared" si="2"/>
        <v>2917</v>
      </c>
      <c r="E9" s="46">
        <f t="shared" si="3"/>
        <v>840370</v>
      </c>
      <c r="F9" s="46">
        <f t="shared" si="0"/>
        <v>22083</v>
      </c>
      <c r="G9" s="47"/>
      <c r="H9" s="47">
        <f>C8</f>
        <v>0</v>
      </c>
      <c r="I9" s="47">
        <v>487890</v>
      </c>
      <c r="J9" s="47">
        <f>I9</f>
        <v>487890</v>
      </c>
      <c r="K9" s="47">
        <f t="shared" si="4"/>
        <v>0</v>
      </c>
      <c r="L9" s="47">
        <f t="shared" si="1"/>
        <v>352480</v>
      </c>
      <c r="M9" s="97"/>
      <c r="N9" s="5"/>
      <c r="O9" s="5"/>
    </row>
    <row r="10" spans="1:15" ht="21" customHeight="1">
      <c r="A10" s="48">
        <v>40664</v>
      </c>
      <c r="B10" s="46">
        <v>1322.5</v>
      </c>
      <c r="C10" s="46">
        <v>385965</v>
      </c>
      <c r="D10" s="46">
        <f t="shared" si="2"/>
        <v>4239.5</v>
      </c>
      <c r="E10" s="46">
        <f t="shared" si="3"/>
        <v>1226335</v>
      </c>
      <c r="F10" s="46">
        <f t="shared" si="0"/>
        <v>20760.5</v>
      </c>
      <c r="G10" s="47"/>
      <c r="H10" s="47">
        <f>C9</f>
        <v>352480</v>
      </c>
      <c r="I10" s="47">
        <v>0</v>
      </c>
      <c r="J10" s="47">
        <f t="shared" ref="J10:J40" si="5">J9+I10</f>
        <v>487890</v>
      </c>
      <c r="K10" s="47">
        <f t="shared" si="4"/>
        <v>352480</v>
      </c>
      <c r="L10" s="47">
        <f t="shared" si="1"/>
        <v>738445</v>
      </c>
      <c r="M10" s="97" t="s">
        <v>4606</v>
      </c>
      <c r="N10" s="5"/>
      <c r="O10" s="5"/>
    </row>
    <row r="11" spans="1:15" ht="21" customHeight="1">
      <c r="A11" s="45" t="s">
        <v>4607</v>
      </c>
      <c r="B11" s="46"/>
      <c r="C11" s="46">
        <v>-10000</v>
      </c>
      <c r="D11" s="46">
        <f t="shared" si="2"/>
        <v>4239.5</v>
      </c>
      <c r="E11" s="46">
        <f t="shared" si="3"/>
        <v>1216335</v>
      </c>
      <c r="F11" s="46">
        <f t="shared" si="0"/>
        <v>20760.5</v>
      </c>
      <c r="G11" s="47"/>
      <c r="H11" s="47">
        <f>C10+C11</f>
        <v>375965</v>
      </c>
      <c r="I11" s="47">
        <v>352480</v>
      </c>
      <c r="J11" s="47">
        <f t="shared" si="5"/>
        <v>840370</v>
      </c>
      <c r="K11" s="47">
        <f t="shared" si="4"/>
        <v>375965</v>
      </c>
      <c r="L11" s="47">
        <f t="shared" si="1"/>
        <v>375965</v>
      </c>
      <c r="M11" s="97"/>
      <c r="N11" s="5"/>
      <c r="O11" s="5"/>
    </row>
    <row r="12" spans="1:15" ht="21" customHeight="1">
      <c r="A12" s="48">
        <v>40695</v>
      </c>
      <c r="B12" s="46">
        <v>199</v>
      </c>
      <c r="C12" s="46">
        <v>49145</v>
      </c>
      <c r="D12" s="46">
        <f t="shared" si="2"/>
        <v>4438.5</v>
      </c>
      <c r="E12" s="46">
        <f t="shared" si="3"/>
        <v>1265480</v>
      </c>
      <c r="F12" s="46">
        <f t="shared" si="0"/>
        <v>20561.5</v>
      </c>
      <c r="G12" s="47"/>
      <c r="H12" s="47"/>
      <c r="I12" s="47">
        <v>0</v>
      </c>
      <c r="J12" s="47">
        <f t="shared" si="5"/>
        <v>840370</v>
      </c>
      <c r="K12" s="47">
        <f t="shared" si="4"/>
        <v>375965</v>
      </c>
      <c r="L12" s="47">
        <f t="shared" si="1"/>
        <v>425110</v>
      </c>
      <c r="M12" s="97" t="s">
        <v>4608</v>
      </c>
      <c r="N12" s="5"/>
      <c r="O12" s="5"/>
    </row>
    <row r="13" spans="1:15" ht="21" customHeight="1">
      <c r="A13" s="48">
        <v>40725</v>
      </c>
      <c r="B13" s="46">
        <v>207</v>
      </c>
      <c r="C13" s="46">
        <v>52100</v>
      </c>
      <c r="D13" s="46">
        <f t="shared" si="2"/>
        <v>4645.5</v>
      </c>
      <c r="E13" s="46">
        <f t="shared" si="3"/>
        <v>1317580</v>
      </c>
      <c r="F13" s="46">
        <f t="shared" si="0"/>
        <v>20354.5</v>
      </c>
      <c r="G13" s="47"/>
      <c r="H13" s="47">
        <f t="shared" ref="H13:H39" si="6">C12</f>
        <v>49145</v>
      </c>
      <c r="I13" s="47">
        <v>383955</v>
      </c>
      <c r="J13" s="47">
        <f t="shared" si="5"/>
        <v>1224325</v>
      </c>
      <c r="K13" s="47">
        <f t="shared" si="4"/>
        <v>41155</v>
      </c>
      <c r="L13" s="47">
        <f t="shared" si="1"/>
        <v>93255</v>
      </c>
      <c r="M13" s="97"/>
      <c r="N13" s="5"/>
      <c r="O13" s="5"/>
    </row>
    <row r="14" spans="1:15" ht="21" customHeight="1">
      <c r="A14" s="48">
        <v>40756</v>
      </c>
      <c r="B14" s="46">
        <v>1998</v>
      </c>
      <c r="C14" s="46">
        <v>562360</v>
      </c>
      <c r="D14" s="46">
        <f t="shared" si="2"/>
        <v>6643.5</v>
      </c>
      <c r="E14" s="46">
        <f t="shared" si="3"/>
        <v>1879940</v>
      </c>
      <c r="F14" s="46">
        <f t="shared" si="0"/>
        <v>18356.5</v>
      </c>
      <c r="G14" s="47"/>
      <c r="H14" s="47">
        <f t="shared" si="6"/>
        <v>52100</v>
      </c>
      <c r="I14" s="47">
        <v>0</v>
      </c>
      <c r="J14" s="47">
        <f t="shared" si="5"/>
        <v>1224325</v>
      </c>
      <c r="K14" s="47">
        <f t="shared" si="4"/>
        <v>93255</v>
      </c>
      <c r="L14" s="47">
        <f t="shared" si="1"/>
        <v>655615</v>
      </c>
      <c r="M14" s="97" t="s">
        <v>4609</v>
      </c>
      <c r="N14" s="5"/>
      <c r="O14" s="5"/>
    </row>
    <row r="15" spans="1:15" ht="21" customHeight="1">
      <c r="A15" s="48">
        <v>40787</v>
      </c>
      <c r="B15" s="46">
        <v>2333.5</v>
      </c>
      <c r="C15" s="46">
        <v>707942.5</v>
      </c>
      <c r="D15" s="46">
        <f t="shared" si="2"/>
        <v>8977</v>
      </c>
      <c r="E15" s="46">
        <f t="shared" si="3"/>
        <v>2587882.5</v>
      </c>
      <c r="F15" s="46">
        <f t="shared" si="0"/>
        <v>16023</v>
      </c>
      <c r="G15" s="47"/>
      <c r="H15" s="47">
        <f t="shared" si="6"/>
        <v>562360</v>
      </c>
      <c r="I15" s="47">
        <v>126431.52</v>
      </c>
      <c r="J15" s="47">
        <f t="shared" si="5"/>
        <v>1350756.52</v>
      </c>
      <c r="K15" s="47">
        <f t="shared" si="4"/>
        <v>529183.48</v>
      </c>
      <c r="L15" s="47">
        <f t="shared" si="1"/>
        <v>1237125.98</v>
      </c>
      <c r="M15" s="97" t="s">
        <v>4610</v>
      </c>
      <c r="N15" s="5"/>
      <c r="O15" s="5"/>
    </row>
    <row r="16" spans="1:15" ht="21" customHeight="1">
      <c r="A16" s="48">
        <v>40817</v>
      </c>
      <c r="B16" s="46">
        <f>2497.5+12</f>
        <v>2509.5</v>
      </c>
      <c r="C16" s="46">
        <f>759762.5+3420</f>
        <v>763182.5</v>
      </c>
      <c r="D16" s="46">
        <f t="shared" si="2"/>
        <v>11486.5</v>
      </c>
      <c r="E16" s="46">
        <f t="shared" si="3"/>
        <v>3351065</v>
      </c>
      <c r="F16" s="46">
        <f t="shared" si="0"/>
        <v>13513.5</v>
      </c>
      <c r="G16" s="47"/>
      <c r="H16" s="47">
        <f t="shared" si="6"/>
        <v>707942.5</v>
      </c>
      <c r="I16" s="47">
        <v>562360</v>
      </c>
      <c r="J16" s="47">
        <f t="shared" si="5"/>
        <v>1913116.52</v>
      </c>
      <c r="K16" s="47">
        <f t="shared" si="4"/>
        <v>674765.98</v>
      </c>
      <c r="L16" s="47">
        <f t="shared" si="1"/>
        <v>1437948.48</v>
      </c>
      <c r="M16" s="97" t="s">
        <v>4611</v>
      </c>
      <c r="N16" s="5"/>
      <c r="O16" s="5"/>
    </row>
    <row r="17" spans="1:15" ht="21" customHeight="1">
      <c r="A17" s="48">
        <v>40848</v>
      </c>
      <c r="B17" s="46">
        <v>2915.5</v>
      </c>
      <c r="C17" s="109">
        <v>895072.5</v>
      </c>
      <c r="D17" s="46">
        <f t="shared" si="2"/>
        <v>14402</v>
      </c>
      <c r="E17" s="46">
        <f t="shared" si="3"/>
        <v>4246137.5</v>
      </c>
      <c r="F17" s="46">
        <f t="shared" si="0"/>
        <v>10598</v>
      </c>
      <c r="G17" s="47"/>
      <c r="H17" s="47">
        <f t="shared" si="6"/>
        <v>763182.5</v>
      </c>
      <c r="I17" s="47">
        <v>706415</v>
      </c>
      <c r="J17" s="47">
        <f t="shared" si="5"/>
        <v>2619531.52</v>
      </c>
      <c r="K17" s="47">
        <f t="shared" si="4"/>
        <v>731533.48</v>
      </c>
      <c r="L17" s="47">
        <f t="shared" si="1"/>
        <v>1626605.98</v>
      </c>
      <c r="M17" s="97" t="s">
        <v>4612</v>
      </c>
      <c r="N17" s="5"/>
      <c r="O17" s="5"/>
    </row>
    <row r="18" spans="1:15" ht="21" customHeight="1">
      <c r="A18" s="48">
        <v>40878</v>
      </c>
      <c r="B18" s="46">
        <v>2687</v>
      </c>
      <c r="C18" s="46">
        <v>782325</v>
      </c>
      <c r="D18" s="46">
        <f t="shared" si="2"/>
        <v>17089</v>
      </c>
      <c r="E18" s="46">
        <f t="shared" si="3"/>
        <v>5028462.5</v>
      </c>
      <c r="F18" s="46">
        <f t="shared" si="0"/>
        <v>7911</v>
      </c>
      <c r="G18" s="47"/>
      <c r="H18" s="47">
        <f t="shared" si="6"/>
        <v>895072.5</v>
      </c>
      <c r="I18" s="47">
        <v>763182.5</v>
      </c>
      <c r="J18" s="47">
        <f t="shared" si="5"/>
        <v>3382714.02</v>
      </c>
      <c r="K18" s="47">
        <f t="shared" si="4"/>
        <v>863423.48</v>
      </c>
      <c r="L18" s="47">
        <f t="shared" si="1"/>
        <v>1645748.48</v>
      </c>
      <c r="M18" s="97" t="s">
        <v>4613</v>
      </c>
      <c r="N18" s="5"/>
      <c r="O18" s="5"/>
    </row>
    <row r="19" spans="1:15" ht="21" customHeight="1">
      <c r="A19" s="48">
        <v>40909</v>
      </c>
      <c r="B19" s="46">
        <v>1095</v>
      </c>
      <c r="C19" s="46">
        <v>321120</v>
      </c>
      <c r="D19" s="46">
        <f t="shared" si="2"/>
        <v>18184</v>
      </c>
      <c r="E19" s="46">
        <f t="shared" si="3"/>
        <v>5349582.5</v>
      </c>
      <c r="F19" s="46">
        <f t="shared" si="0"/>
        <v>6816</v>
      </c>
      <c r="G19" s="47"/>
      <c r="H19" s="47">
        <f t="shared" si="6"/>
        <v>782325</v>
      </c>
      <c r="I19" s="47">
        <v>895072.5</v>
      </c>
      <c r="J19" s="47">
        <f t="shared" si="5"/>
        <v>4277786.5199999996</v>
      </c>
      <c r="K19" s="47">
        <f t="shared" si="4"/>
        <v>750675.98</v>
      </c>
      <c r="L19" s="47">
        <f t="shared" si="1"/>
        <v>1071795.9800000004</v>
      </c>
      <c r="M19" s="97" t="s">
        <v>4614</v>
      </c>
      <c r="N19" s="5"/>
      <c r="O19" s="5"/>
    </row>
    <row r="20" spans="1:15" ht="21" customHeight="1">
      <c r="A20" s="48">
        <v>40940</v>
      </c>
      <c r="B20" s="46">
        <v>1183</v>
      </c>
      <c r="C20" s="46">
        <v>329985</v>
      </c>
      <c r="D20" s="46">
        <f t="shared" si="2"/>
        <v>19367</v>
      </c>
      <c r="E20" s="46">
        <f t="shared" si="3"/>
        <v>5679567.5</v>
      </c>
      <c r="F20" s="46">
        <f t="shared" si="0"/>
        <v>5633</v>
      </c>
      <c r="G20" s="47"/>
      <c r="H20" s="47">
        <f t="shared" si="6"/>
        <v>321120</v>
      </c>
      <c r="I20" s="47">
        <v>781590</v>
      </c>
      <c r="J20" s="47">
        <f t="shared" si="5"/>
        <v>5059376.5199999996</v>
      </c>
      <c r="K20" s="47">
        <f t="shared" si="4"/>
        <v>290205.98</v>
      </c>
      <c r="L20" s="47">
        <f t="shared" si="1"/>
        <v>620190.98000000045</v>
      </c>
      <c r="M20" s="97" t="s">
        <v>4615</v>
      </c>
      <c r="N20" s="5"/>
      <c r="O20" s="5"/>
    </row>
    <row r="21" spans="1:15" ht="21" customHeight="1">
      <c r="A21" s="48">
        <v>40969</v>
      </c>
      <c r="B21" s="46">
        <v>2628</v>
      </c>
      <c r="C21" s="46">
        <v>728624</v>
      </c>
      <c r="D21" s="46">
        <f t="shared" si="2"/>
        <v>21995</v>
      </c>
      <c r="E21" s="46">
        <f t="shared" si="3"/>
        <v>6408191.5</v>
      </c>
      <c r="F21" s="46">
        <f t="shared" si="0"/>
        <v>3005</v>
      </c>
      <c r="G21" s="47"/>
      <c r="H21" s="47">
        <f t="shared" si="6"/>
        <v>329985</v>
      </c>
      <c r="I21" s="47">
        <v>308329.67</v>
      </c>
      <c r="J21" s="47">
        <f t="shared" si="5"/>
        <v>5367706.1899999995</v>
      </c>
      <c r="K21" s="47">
        <f t="shared" si="4"/>
        <v>311861.31</v>
      </c>
      <c r="L21" s="47">
        <f t="shared" si="1"/>
        <v>1040485.3100000005</v>
      </c>
      <c r="M21" s="97" t="s">
        <v>4616</v>
      </c>
      <c r="N21" s="5"/>
      <c r="O21" s="5"/>
    </row>
    <row r="22" spans="1:15" ht="21" customHeight="1">
      <c r="A22" s="48">
        <v>41000</v>
      </c>
      <c r="B22" s="46">
        <v>2096</v>
      </c>
      <c r="C22" s="46">
        <v>573588</v>
      </c>
      <c r="D22" s="46">
        <f t="shared" si="2"/>
        <v>24091</v>
      </c>
      <c r="E22" s="46">
        <f t="shared" si="3"/>
        <v>6981779.5</v>
      </c>
      <c r="F22" s="46">
        <f t="shared" si="0"/>
        <v>909</v>
      </c>
      <c r="G22" s="47"/>
      <c r="H22" s="47">
        <f t="shared" si="6"/>
        <v>728624</v>
      </c>
      <c r="I22" s="47">
        <v>329985</v>
      </c>
      <c r="J22" s="47">
        <f t="shared" si="5"/>
        <v>5697691.1899999995</v>
      </c>
      <c r="K22" s="47">
        <f t="shared" si="4"/>
        <v>710500.31</v>
      </c>
      <c r="L22" s="47">
        <f t="shared" si="1"/>
        <v>1284088.3100000005</v>
      </c>
      <c r="M22" s="97" t="s">
        <v>4617</v>
      </c>
      <c r="N22" s="5"/>
      <c r="O22" s="5"/>
    </row>
    <row r="23" spans="1:15" ht="21" customHeight="1">
      <c r="A23" s="48">
        <v>41030</v>
      </c>
      <c r="B23" s="46">
        <v>2177</v>
      </c>
      <c r="C23" s="46">
        <v>594321</v>
      </c>
      <c r="D23" s="46">
        <f t="shared" si="2"/>
        <v>26268</v>
      </c>
      <c r="E23" s="46">
        <f t="shared" si="3"/>
        <v>7576100.5</v>
      </c>
      <c r="F23" s="46">
        <v>0</v>
      </c>
      <c r="G23" s="47"/>
      <c r="H23" s="47">
        <f t="shared" si="6"/>
        <v>573588</v>
      </c>
      <c r="I23" s="47">
        <v>727805</v>
      </c>
      <c r="J23" s="47">
        <f t="shared" si="5"/>
        <v>6425496.1899999995</v>
      </c>
      <c r="K23" s="47">
        <f t="shared" si="4"/>
        <v>556283.31000000006</v>
      </c>
      <c r="L23" s="47">
        <f t="shared" si="1"/>
        <v>1150604.3100000005</v>
      </c>
      <c r="M23" s="97" t="s">
        <v>4618</v>
      </c>
      <c r="N23" s="5"/>
      <c r="O23" s="5"/>
    </row>
    <row r="24" spans="1:15" ht="21" customHeight="1">
      <c r="A24" s="48">
        <v>41061</v>
      </c>
      <c r="B24" s="46">
        <v>1181.5</v>
      </c>
      <c r="C24" s="46">
        <v>322549.5</v>
      </c>
      <c r="D24" s="46">
        <f t="shared" si="2"/>
        <v>27449.5</v>
      </c>
      <c r="E24" s="46">
        <f t="shared" si="3"/>
        <v>7898650</v>
      </c>
      <c r="F24" s="46">
        <v>0</v>
      </c>
      <c r="G24" s="47"/>
      <c r="H24" s="47">
        <f t="shared" si="6"/>
        <v>594321</v>
      </c>
      <c r="I24" s="47">
        <v>569413</v>
      </c>
      <c r="J24" s="47">
        <f t="shared" si="5"/>
        <v>6994909.1899999995</v>
      </c>
      <c r="K24" s="47">
        <f t="shared" si="4"/>
        <v>581191.31000000006</v>
      </c>
      <c r="L24" s="47">
        <f t="shared" si="1"/>
        <v>903740.81000000052</v>
      </c>
      <c r="M24" s="97" t="s">
        <v>4619</v>
      </c>
      <c r="N24" s="5"/>
      <c r="O24" s="5"/>
    </row>
    <row r="25" spans="1:15" ht="21" customHeight="1">
      <c r="A25" s="48">
        <v>41091</v>
      </c>
      <c r="B25" s="46">
        <v>218.5</v>
      </c>
      <c r="C25" s="46">
        <v>60075.5</v>
      </c>
      <c r="D25" s="46">
        <f t="shared" si="2"/>
        <v>27668</v>
      </c>
      <c r="E25" s="46">
        <f t="shared" si="3"/>
        <v>7958725.5</v>
      </c>
      <c r="F25" s="46">
        <v>0</v>
      </c>
      <c r="G25" s="47"/>
      <c r="H25" s="47">
        <f t="shared" si="6"/>
        <v>322549.5</v>
      </c>
      <c r="I25" s="47">
        <v>0</v>
      </c>
      <c r="J25" s="47">
        <f t="shared" si="5"/>
        <v>6994909.1899999995</v>
      </c>
      <c r="K25" s="47">
        <f t="shared" si="4"/>
        <v>903740.81</v>
      </c>
      <c r="L25" s="47">
        <f t="shared" si="1"/>
        <v>963816.31000000052</v>
      </c>
      <c r="M25" s="97"/>
      <c r="N25" s="5"/>
      <c r="O25" s="5"/>
    </row>
    <row r="26" spans="1:15" ht="21" customHeight="1">
      <c r="A26" s="48">
        <v>41122</v>
      </c>
      <c r="B26" s="46">
        <v>64</v>
      </c>
      <c r="C26" s="46">
        <v>17472</v>
      </c>
      <c r="D26" s="46">
        <f t="shared" si="2"/>
        <v>27732</v>
      </c>
      <c r="E26" s="46">
        <f t="shared" si="3"/>
        <v>7976197.5</v>
      </c>
      <c r="F26" s="46">
        <v>0</v>
      </c>
      <c r="G26" s="47"/>
      <c r="H26" s="47">
        <f t="shared" si="6"/>
        <v>60075.5</v>
      </c>
      <c r="I26" s="47">
        <v>400000</v>
      </c>
      <c r="J26" s="47">
        <f t="shared" si="5"/>
        <v>7394909.1899999995</v>
      </c>
      <c r="K26" s="47">
        <f t="shared" si="4"/>
        <v>563816.31000000006</v>
      </c>
      <c r="L26" s="47">
        <f t="shared" si="1"/>
        <v>581288.31000000052</v>
      </c>
      <c r="M26" s="97"/>
      <c r="N26" s="5"/>
      <c r="O26" s="5"/>
    </row>
    <row r="27" spans="1:15" ht="21" customHeight="1">
      <c r="A27" s="48">
        <v>41153</v>
      </c>
      <c r="B27" s="46">
        <v>2.5</v>
      </c>
      <c r="C27" s="46">
        <v>707.5</v>
      </c>
      <c r="D27" s="46">
        <f t="shared" si="2"/>
        <v>27734.5</v>
      </c>
      <c r="E27" s="46">
        <f t="shared" si="3"/>
        <v>7976905</v>
      </c>
      <c r="F27" s="46">
        <v>0</v>
      </c>
      <c r="G27" s="47"/>
      <c r="H27" s="47">
        <f t="shared" si="6"/>
        <v>17472</v>
      </c>
      <c r="I27" s="47">
        <v>0</v>
      </c>
      <c r="J27" s="47">
        <f t="shared" si="5"/>
        <v>7394909.1899999995</v>
      </c>
      <c r="K27" s="47">
        <f t="shared" si="4"/>
        <v>581288.31000000006</v>
      </c>
      <c r="L27" s="47">
        <f t="shared" si="1"/>
        <v>581995.81000000052</v>
      </c>
      <c r="M27" s="97" t="s">
        <v>4620</v>
      </c>
      <c r="N27" s="5"/>
      <c r="O27" s="5"/>
    </row>
    <row r="28" spans="1:15" ht="21" customHeight="1">
      <c r="A28" s="48">
        <v>41183</v>
      </c>
      <c r="B28" s="46">
        <v>0</v>
      </c>
      <c r="C28" s="46">
        <v>0</v>
      </c>
      <c r="D28" s="46">
        <f t="shared" si="2"/>
        <v>27734.5</v>
      </c>
      <c r="E28" s="46">
        <f t="shared" si="3"/>
        <v>7976905</v>
      </c>
      <c r="F28" s="46">
        <v>0</v>
      </c>
      <c r="G28" s="47"/>
      <c r="H28" s="47">
        <f t="shared" si="6"/>
        <v>707.5</v>
      </c>
      <c r="I28" s="47">
        <v>521045.5</v>
      </c>
      <c r="J28" s="47">
        <f t="shared" si="5"/>
        <v>7915954.6899999995</v>
      </c>
      <c r="K28" s="47">
        <f t="shared" si="4"/>
        <v>60950.310000000056</v>
      </c>
      <c r="L28" s="47">
        <f t="shared" si="1"/>
        <v>60950.310000000522</v>
      </c>
      <c r="M28" s="97"/>
      <c r="N28" s="5"/>
      <c r="O28" s="5"/>
    </row>
    <row r="29" spans="1:15" ht="21" customHeight="1">
      <c r="A29" s="48">
        <v>41214</v>
      </c>
      <c r="B29" s="46">
        <v>0</v>
      </c>
      <c r="C29" s="46">
        <v>0</v>
      </c>
      <c r="D29" s="46">
        <f t="shared" si="2"/>
        <v>27734.5</v>
      </c>
      <c r="E29" s="46">
        <f t="shared" si="3"/>
        <v>7976905</v>
      </c>
      <c r="F29" s="46">
        <v>0</v>
      </c>
      <c r="G29" s="47"/>
      <c r="H29" s="47">
        <f t="shared" si="6"/>
        <v>0</v>
      </c>
      <c r="I29" s="47">
        <v>0</v>
      </c>
      <c r="J29" s="47">
        <f t="shared" si="5"/>
        <v>7915954.6899999995</v>
      </c>
      <c r="K29" s="47">
        <f t="shared" si="4"/>
        <v>60950.310000000056</v>
      </c>
      <c r="L29" s="47">
        <f t="shared" si="1"/>
        <v>60950.310000000522</v>
      </c>
      <c r="M29" s="97"/>
      <c r="N29" s="5"/>
      <c r="O29" s="5"/>
    </row>
    <row r="30" spans="1:15" ht="21" customHeight="1">
      <c r="A30" s="48" t="s">
        <v>4621</v>
      </c>
      <c r="B30" s="46"/>
      <c r="C30" s="46">
        <v>33176.519999999997</v>
      </c>
      <c r="D30" s="46">
        <f t="shared" si="2"/>
        <v>27734.5</v>
      </c>
      <c r="E30" s="46">
        <f t="shared" si="3"/>
        <v>8010081.5199999996</v>
      </c>
      <c r="F30" s="46">
        <v>0</v>
      </c>
      <c r="G30" s="47"/>
      <c r="H30" s="47">
        <f t="shared" si="6"/>
        <v>0</v>
      </c>
      <c r="I30" s="47">
        <v>0</v>
      </c>
      <c r="J30" s="47">
        <f t="shared" si="5"/>
        <v>7915954.6899999995</v>
      </c>
      <c r="K30" s="47">
        <f t="shared" si="4"/>
        <v>60950.310000000056</v>
      </c>
      <c r="L30" s="47">
        <f t="shared" si="1"/>
        <v>94126.830000000075</v>
      </c>
      <c r="M30" s="97"/>
      <c r="N30" s="5"/>
      <c r="O30" s="5"/>
    </row>
    <row r="31" spans="1:15" ht="21" customHeight="1">
      <c r="A31" s="48">
        <v>41365</v>
      </c>
      <c r="B31" s="46">
        <v>53.5</v>
      </c>
      <c r="C31" s="46">
        <v>17465.5</v>
      </c>
      <c r="D31" s="46">
        <f t="shared" si="2"/>
        <v>27788</v>
      </c>
      <c r="E31" s="46">
        <f t="shared" si="3"/>
        <v>8027547.0199999996</v>
      </c>
      <c r="F31" s="46">
        <v>0</v>
      </c>
      <c r="G31" s="47"/>
      <c r="H31" s="47">
        <f t="shared" si="6"/>
        <v>33176.519999999997</v>
      </c>
      <c r="I31" s="47">
        <v>77547.5</v>
      </c>
      <c r="J31" s="47">
        <f t="shared" si="5"/>
        <v>7993502.1899999995</v>
      </c>
      <c r="K31" s="47">
        <f t="shared" si="4"/>
        <v>16579.330000000045</v>
      </c>
      <c r="L31" s="47">
        <f t="shared" si="1"/>
        <v>34044.830000000075</v>
      </c>
      <c r="M31" s="97"/>
      <c r="N31" s="5"/>
      <c r="O31" s="5"/>
    </row>
    <row r="32" spans="1:15" ht="21" customHeight="1">
      <c r="A32" s="48">
        <v>41395</v>
      </c>
      <c r="B32" s="46">
        <v>0</v>
      </c>
      <c r="C32" s="46">
        <v>0</v>
      </c>
      <c r="D32" s="46">
        <f t="shared" si="2"/>
        <v>27788</v>
      </c>
      <c r="E32" s="46">
        <f t="shared" si="3"/>
        <v>8027547.0199999996</v>
      </c>
      <c r="F32" s="46">
        <v>0</v>
      </c>
      <c r="G32" s="47"/>
      <c r="H32" s="47">
        <f t="shared" si="6"/>
        <v>17465.5</v>
      </c>
      <c r="I32" s="47">
        <v>0</v>
      </c>
      <c r="J32" s="47">
        <f t="shared" si="5"/>
        <v>7993502.1899999995</v>
      </c>
      <c r="K32" s="47">
        <f t="shared" si="4"/>
        <v>34044.830000000045</v>
      </c>
      <c r="L32" s="47">
        <f t="shared" si="1"/>
        <v>34044.830000000075</v>
      </c>
      <c r="M32" s="97"/>
      <c r="N32" s="5"/>
      <c r="O32" s="5"/>
    </row>
    <row r="33" spans="1:15" ht="21" customHeight="1">
      <c r="A33" s="48">
        <v>41426</v>
      </c>
      <c r="B33" s="46">
        <v>0</v>
      </c>
      <c r="C33" s="46">
        <v>0</v>
      </c>
      <c r="D33" s="46">
        <f t="shared" si="2"/>
        <v>27788</v>
      </c>
      <c r="E33" s="46">
        <f t="shared" si="3"/>
        <v>8027547.0199999996</v>
      </c>
      <c r="F33" s="46">
        <v>0</v>
      </c>
      <c r="G33" s="47"/>
      <c r="H33" s="47">
        <f t="shared" si="6"/>
        <v>0</v>
      </c>
      <c r="I33" s="47">
        <v>0</v>
      </c>
      <c r="J33" s="47">
        <f t="shared" si="5"/>
        <v>7993502.1899999995</v>
      </c>
      <c r="K33" s="47">
        <f t="shared" si="4"/>
        <v>34044.830000000045</v>
      </c>
      <c r="L33" s="47">
        <f t="shared" si="1"/>
        <v>34044.830000000075</v>
      </c>
      <c r="M33" s="97" t="s">
        <v>4622</v>
      </c>
      <c r="N33" s="5"/>
      <c r="O33" s="5"/>
    </row>
    <row r="34" spans="1:15" ht="21" customHeight="1">
      <c r="A34" s="48">
        <v>41456</v>
      </c>
      <c r="B34" s="46">
        <v>0</v>
      </c>
      <c r="C34" s="46">
        <v>0</v>
      </c>
      <c r="D34" s="46">
        <f t="shared" si="2"/>
        <v>27788</v>
      </c>
      <c r="E34" s="46">
        <f t="shared" si="3"/>
        <v>8027547.0199999996</v>
      </c>
      <c r="F34" s="46">
        <v>0</v>
      </c>
      <c r="G34" s="47"/>
      <c r="H34" s="47">
        <f t="shared" si="6"/>
        <v>0</v>
      </c>
      <c r="I34" s="47">
        <v>18173</v>
      </c>
      <c r="J34" s="47">
        <f t="shared" si="5"/>
        <v>8011675.1899999995</v>
      </c>
      <c r="K34" s="47">
        <f t="shared" si="4"/>
        <v>15871.830000000045</v>
      </c>
      <c r="L34" s="47">
        <f t="shared" si="1"/>
        <v>15871.830000000075</v>
      </c>
      <c r="M34" s="97"/>
      <c r="N34" s="5"/>
      <c r="O34" s="5"/>
    </row>
    <row r="35" spans="1:15" ht="21" customHeight="1">
      <c r="A35" s="48">
        <v>41487</v>
      </c>
      <c r="B35" s="46">
        <v>114</v>
      </c>
      <c r="C35" s="46">
        <v>37962</v>
      </c>
      <c r="D35" s="46">
        <f t="shared" si="2"/>
        <v>27902</v>
      </c>
      <c r="E35" s="46">
        <f t="shared" si="3"/>
        <v>8065509.0199999996</v>
      </c>
      <c r="F35" s="46">
        <v>0</v>
      </c>
      <c r="G35" s="47"/>
      <c r="H35" s="47">
        <f t="shared" si="6"/>
        <v>0</v>
      </c>
      <c r="I35" s="47">
        <v>0</v>
      </c>
      <c r="J35" s="47">
        <f t="shared" si="5"/>
        <v>8011675.1899999995</v>
      </c>
      <c r="K35" s="47">
        <f t="shared" si="4"/>
        <v>15871.830000000045</v>
      </c>
      <c r="L35" s="47">
        <f t="shared" si="1"/>
        <v>53833.830000000075</v>
      </c>
      <c r="M35" s="97"/>
      <c r="N35" s="5"/>
      <c r="O35" s="5"/>
    </row>
    <row r="36" spans="1:15" ht="21" customHeight="1">
      <c r="A36" s="48">
        <v>41518</v>
      </c>
      <c r="B36" s="46">
        <v>0</v>
      </c>
      <c r="C36" s="46">
        <v>0</v>
      </c>
      <c r="D36" s="46">
        <f t="shared" si="2"/>
        <v>27902</v>
      </c>
      <c r="E36" s="46">
        <f t="shared" si="3"/>
        <v>8065509.0199999996</v>
      </c>
      <c r="F36" s="46">
        <v>0</v>
      </c>
      <c r="G36" s="47"/>
      <c r="H36" s="47">
        <f t="shared" si="6"/>
        <v>37962</v>
      </c>
      <c r="I36" s="47">
        <v>0</v>
      </c>
      <c r="J36" s="47">
        <f t="shared" si="5"/>
        <v>8011675.1899999995</v>
      </c>
      <c r="K36" s="47">
        <f t="shared" si="4"/>
        <v>53833.830000000045</v>
      </c>
      <c r="L36" s="47">
        <f t="shared" si="1"/>
        <v>53833.830000000075</v>
      </c>
      <c r="M36" s="97"/>
      <c r="N36" s="5"/>
      <c r="O36" s="5"/>
    </row>
    <row r="37" spans="1:15" ht="21" customHeight="1">
      <c r="A37" s="48">
        <v>41548</v>
      </c>
      <c r="B37" s="46">
        <v>0</v>
      </c>
      <c r="C37" s="46">
        <v>0</v>
      </c>
      <c r="D37" s="46">
        <f t="shared" si="2"/>
        <v>27902</v>
      </c>
      <c r="E37" s="46">
        <f t="shared" si="3"/>
        <v>8065509.0199999996</v>
      </c>
      <c r="F37" s="46">
        <v>0</v>
      </c>
      <c r="G37" s="47"/>
      <c r="H37" s="47">
        <f t="shared" si="6"/>
        <v>0</v>
      </c>
      <c r="I37" s="47">
        <v>0</v>
      </c>
      <c r="J37" s="47">
        <f t="shared" si="5"/>
        <v>8011675.1899999995</v>
      </c>
      <c r="K37" s="47">
        <f t="shared" si="4"/>
        <v>53833.830000000045</v>
      </c>
      <c r="L37" s="47">
        <f t="shared" si="1"/>
        <v>53833.830000000075</v>
      </c>
      <c r="M37" s="97"/>
      <c r="N37" s="5"/>
      <c r="O37" s="5"/>
    </row>
    <row r="38" spans="1:15" ht="21" customHeight="1">
      <c r="A38" s="179">
        <v>41640</v>
      </c>
      <c r="B38" s="180">
        <v>0</v>
      </c>
      <c r="C38" s="180">
        <v>0</v>
      </c>
      <c r="D38" s="180">
        <f t="shared" si="2"/>
        <v>27902</v>
      </c>
      <c r="E38" s="180">
        <f t="shared" si="3"/>
        <v>8065509.0199999996</v>
      </c>
      <c r="F38" s="180">
        <v>0</v>
      </c>
      <c r="G38" s="181"/>
      <c r="H38" s="181">
        <f t="shared" si="6"/>
        <v>0</v>
      </c>
      <c r="I38" s="181">
        <v>10000</v>
      </c>
      <c r="J38" s="181">
        <f t="shared" si="5"/>
        <v>8021675.1899999995</v>
      </c>
      <c r="K38" s="181">
        <f t="shared" si="4"/>
        <v>43833.830000000045</v>
      </c>
      <c r="L38" s="181">
        <f t="shared" si="1"/>
        <v>43833.830000000075</v>
      </c>
      <c r="M38" s="192" t="s">
        <v>4623</v>
      </c>
      <c r="N38" s="6"/>
      <c r="O38" s="6"/>
    </row>
    <row r="39" spans="1:15" ht="30" customHeight="1">
      <c r="A39" s="250">
        <v>41671</v>
      </c>
      <c r="B39" s="251">
        <v>0</v>
      </c>
      <c r="C39" s="251">
        <v>0</v>
      </c>
      <c r="D39" s="251">
        <f t="shared" si="2"/>
        <v>27902</v>
      </c>
      <c r="E39" s="251">
        <f t="shared" si="3"/>
        <v>8065509.0199999996</v>
      </c>
      <c r="F39" s="251">
        <v>0</v>
      </c>
      <c r="G39" s="252"/>
      <c r="H39" s="252">
        <f t="shared" si="6"/>
        <v>0</v>
      </c>
      <c r="I39" s="252">
        <v>10000</v>
      </c>
      <c r="J39" s="252">
        <f t="shared" si="5"/>
        <v>8031675.1899999995</v>
      </c>
      <c r="K39" s="252">
        <f t="shared" si="4"/>
        <v>33833.830000000045</v>
      </c>
      <c r="L39" s="252">
        <f t="shared" si="1"/>
        <v>33833.830000000075</v>
      </c>
      <c r="M39" s="254" t="s">
        <v>4624</v>
      </c>
      <c r="N39" s="6"/>
      <c r="O39" s="6"/>
    </row>
    <row r="40" spans="1:15" ht="30" customHeight="1">
      <c r="A40" s="253">
        <v>42370</v>
      </c>
      <c r="B40" s="180">
        <v>0</v>
      </c>
      <c r="C40" s="180">
        <v>0</v>
      </c>
      <c r="D40" s="251">
        <f t="shared" si="2"/>
        <v>27902</v>
      </c>
      <c r="E40" s="251">
        <f t="shared" si="3"/>
        <v>8065509.0199999996</v>
      </c>
      <c r="F40" s="180"/>
      <c r="G40" s="181"/>
      <c r="H40" s="181"/>
      <c r="I40" s="181">
        <v>17962</v>
      </c>
      <c r="J40" s="252">
        <f t="shared" si="5"/>
        <v>8049637.1899999995</v>
      </c>
      <c r="K40" s="252">
        <f t="shared" si="4"/>
        <v>15871.830000000045</v>
      </c>
      <c r="L40" s="252">
        <f t="shared" si="1"/>
        <v>15871.830000000075</v>
      </c>
      <c r="M40" s="193" t="s">
        <v>4625</v>
      </c>
      <c r="N40" s="255"/>
      <c r="O40" s="255"/>
    </row>
    <row r="41" spans="1:15" ht="35.1" customHeight="1">
      <c r="M41" t="s">
        <v>1012</v>
      </c>
    </row>
  </sheetData>
  <mergeCells count="10">
    <mergeCell ref="B3:C3"/>
    <mergeCell ref="B4:E4"/>
    <mergeCell ref="F4:I4"/>
    <mergeCell ref="J4:L4"/>
    <mergeCell ref="C1:D1"/>
    <mergeCell ref="F1:H1"/>
    <mergeCell ref="J1:L1"/>
    <mergeCell ref="B2:C2"/>
    <mergeCell ref="E2:G2"/>
    <mergeCell ref="H2:I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0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4"/>
  <sheetViews>
    <sheetView topLeftCell="A16" zoomScaleSheetLayoutView="100" workbookViewId="0">
      <selection activeCell="B22" sqref="B22:M22"/>
    </sheetView>
  </sheetViews>
  <sheetFormatPr defaultColWidth="9" defaultRowHeight="14.25"/>
  <cols>
    <col min="1" max="12" width="14.625" customWidth="1"/>
    <col min="13" max="13" width="34.75" customWidth="1"/>
  </cols>
  <sheetData>
    <row r="1" spans="1:20" ht="77.099999999999994" customHeight="1">
      <c r="A1" s="130" t="s">
        <v>556</v>
      </c>
      <c r="B1" s="194" t="s">
        <v>525</v>
      </c>
      <c r="C1" s="238" t="s">
        <v>4626</v>
      </c>
      <c r="D1" s="245" t="s">
        <v>236</v>
      </c>
      <c r="E1" s="2095" t="s">
        <v>4627</v>
      </c>
      <c r="F1" s="2095"/>
      <c r="G1" s="2259" t="s">
        <v>4628</v>
      </c>
      <c r="H1" s="2259"/>
      <c r="I1" s="220" t="s">
        <v>4342</v>
      </c>
      <c r="J1" s="1701" t="s">
        <v>4629</v>
      </c>
      <c r="K1" s="1701"/>
      <c r="L1" s="1701"/>
      <c r="M1" s="221" t="s">
        <v>4630</v>
      </c>
    </row>
    <row r="2" spans="1:20" ht="78.95" customHeight="1">
      <c r="A2" s="133" t="s">
        <v>240</v>
      </c>
      <c r="B2" s="1682" t="s">
        <v>698</v>
      </c>
      <c r="C2" s="1682"/>
      <c r="D2" s="134" t="s">
        <v>242</v>
      </c>
      <c r="E2" s="1706"/>
      <c r="F2" s="1706"/>
      <c r="G2" s="1706"/>
      <c r="H2" s="1706"/>
      <c r="I2" s="166" t="s">
        <v>425</v>
      </c>
      <c r="J2" s="2260" t="s">
        <v>4631</v>
      </c>
      <c r="K2" s="2261"/>
      <c r="L2" s="2261"/>
      <c r="M2" s="2262"/>
    </row>
    <row r="3" spans="1:20" ht="54.95" customHeight="1">
      <c r="A3" s="133" t="s">
        <v>247</v>
      </c>
      <c r="B3" s="1682" t="s">
        <v>4632</v>
      </c>
      <c r="C3" s="1682"/>
      <c r="D3" s="134" t="s">
        <v>249</v>
      </c>
      <c r="E3" s="197">
        <v>40000</v>
      </c>
      <c r="F3" s="134" t="s">
        <v>251</v>
      </c>
      <c r="G3" s="134" t="s">
        <v>4633</v>
      </c>
      <c r="H3" s="134" t="s">
        <v>252</v>
      </c>
      <c r="I3" s="206" t="s">
        <v>4634</v>
      </c>
      <c r="J3" s="166" t="s">
        <v>243</v>
      </c>
      <c r="K3" s="15" t="s">
        <v>421</v>
      </c>
      <c r="L3" s="166" t="s">
        <v>245</v>
      </c>
      <c r="M3" s="207" t="s">
        <v>4635</v>
      </c>
    </row>
    <row r="4" spans="1:20" ht="93.95" customHeight="1">
      <c r="A4" s="133" t="s">
        <v>260</v>
      </c>
      <c r="B4" s="1697" t="s">
        <v>4636</v>
      </c>
      <c r="C4" s="1697"/>
      <c r="D4" s="1697"/>
      <c r="E4" s="1697"/>
      <c r="F4" s="1726" t="s">
        <v>4637</v>
      </c>
      <c r="G4" s="1726"/>
      <c r="H4" s="1726"/>
      <c r="I4" s="1726"/>
      <c r="J4" s="41" t="s">
        <v>565</v>
      </c>
      <c r="K4" s="15" t="s">
        <v>4638</v>
      </c>
      <c r="L4" s="15" t="s">
        <v>255</v>
      </c>
      <c r="M4" s="246" t="s">
        <v>4639</v>
      </c>
    </row>
    <row r="5" spans="1:20" ht="54.95" customHeight="1">
      <c r="A5" s="1688" t="s">
        <v>660</v>
      </c>
      <c r="B5" s="1689"/>
      <c r="C5" s="1689"/>
      <c r="D5" s="1690"/>
      <c r="E5" s="1690"/>
      <c r="F5" s="1690"/>
      <c r="G5" s="1690"/>
      <c r="H5" s="1690"/>
      <c r="I5" s="1690"/>
      <c r="J5" s="138"/>
      <c r="K5" s="138"/>
      <c r="L5" s="138"/>
      <c r="M5" s="209"/>
      <c r="Q5" s="247" t="s">
        <v>4640</v>
      </c>
      <c r="R5" s="248" t="s">
        <v>240</v>
      </c>
      <c r="S5" s="248" t="s">
        <v>247</v>
      </c>
      <c r="T5" s="248" t="s">
        <v>278</v>
      </c>
    </row>
    <row r="6" spans="1:20"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c r="Q6" s="247">
        <v>1</v>
      </c>
      <c r="R6" s="248" t="s">
        <v>4641</v>
      </c>
      <c r="S6" s="249" t="s">
        <v>205</v>
      </c>
      <c r="T6" s="248" t="s">
        <v>176</v>
      </c>
    </row>
    <row r="7" spans="1:20" ht="30" customHeight="1">
      <c r="A7" s="199" t="s">
        <v>4642</v>
      </c>
      <c r="B7" s="200">
        <v>1118.5</v>
      </c>
      <c r="C7" s="200">
        <v>279690</v>
      </c>
      <c r="D7" s="200">
        <f>B7</f>
        <v>1118.5</v>
      </c>
      <c r="E7" s="200">
        <f>C7</f>
        <v>279690</v>
      </c>
      <c r="F7" s="200"/>
      <c r="G7" s="180">
        <f>C7</f>
        <v>279690</v>
      </c>
      <c r="H7" s="201"/>
      <c r="I7" s="200"/>
      <c r="J7" s="200"/>
      <c r="K7" s="200"/>
      <c r="L7" s="200">
        <f t="shared" ref="L7:L20" si="0">E7-J7</f>
        <v>279690</v>
      </c>
      <c r="M7" s="210"/>
      <c r="Q7" s="247">
        <v>2</v>
      </c>
      <c r="R7" s="248" t="s">
        <v>4643</v>
      </c>
      <c r="S7" s="249" t="s">
        <v>4446</v>
      </c>
      <c r="T7" s="248" t="s">
        <v>176</v>
      </c>
    </row>
    <row r="8" spans="1:20" ht="30" customHeight="1">
      <c r="A8" s="199" t="s">
        <v>4644</v>
      </c>
      <c r="B8" s="200">
        <v>1460.5</v>
      </c>
      <c r="C8" s="200">
        <v>349645</v>
      </c>
      <c r="D8" s="200">
        <f t="shared" ref="D8:D20" si="1">B8+D7</f>
        <v>2579</v>
      </c>
      <c r="E8" s="200">
        <f t="shared" ref="E8:E20" si="2">E7+C8</f>
        <v>629335</v>
      </c>
      <c r="F8" s="200"/>
      <c r="G8" s="180">
        <f>E8</f>
        <v>629335</v>
      </c>
      <c r="H8" s="201"/>
      <c r="I8" s="200"/>
      <c r="J8" s="200"/>
      <c r="K8" s="200">
        <f t="shared" ref="K8:K21" si="3">K7+H8-I8</f>
        <v>0</v>
      </c>
      <c r="L8" s="200">
        <f t="shared" si="0"/>
        <v>629335</v>
      </c>
      <c r="M8" s="210"/>
      <c r="Q8" s="247">
        <v>3</v>
      </c>
      <c r="R8" s="248" t="s">
        <v>4645</v>
      </c>
      <c r="S8" s="249" t="s">
        <v>4557</v>
      </c>
      <c r="T8" s="248" t="s">
        <v>176</v>
      </c>
    </row>
    <row r="9" spans="1:20" ht="30" customHeight="1">
      <c r="A9" s="199" t="s">
        <v>4646</v>
      </c>
      <c r="B9" s="200">
        <v>3047</v>
      </c>
      <c r="C9" s="200">
        <v>740380</v>
      </c>
      <c r="D9" s="200">
        <f t="shared" si="1"/>
        <v>5626</v>
      </c>
      <c r="E9" s="200">
        <f t="shared" si="2"/>
        <v>1369715</v>
      </c>
      <c r="F9" s="200"/>
      <c r="G9" s="180">
        <f>E9</f>
        <v>1369715</v>
      </c>
      <c r="H9" s="201"/>
      <c r="I9" s="200"/>
      <c r="J9" s="200"/>
      <c r="K9" s="200">
        <f t="shared" si="3"/>
        <v>0</v>
      </c>
      <c r="L9" s="200">
        <f t="shared" si="0"/>
        <v>1369715</v>
      </c>
      <c r="M9" s="212"/>
      <c r="Q9" s="247">
        <v>4</v>
      </c>
      <c r="R9" s="248" t="s">
        <v>4647</v>
      </c>
      <c r="S9" s="249" t="s">
        <v>4648</v>
      </c>
      <c r="T9" s="248" t="s">
        <v>176</v>
      </c>
    </row>
    <row r="10" spans="1:20" ht="30" customHeight="1">
      <c r="A10" s="199" t="s">
        <v>4490</v>
      </c>
      <c r="B10" s="200">
        <v>13727</v>
      </c>
      <c r="C10" s="200">
        <v>3521745</v>
      </c>
      <c r="D10" s="200">
        <f t="shared" si="1"/>
        <v>19353</v>
      </c>
      <c r="E10" s="200">
        <f t="shared" si="2"/>
        <v>4891460</v>
      </c>
      <c r="F10" s="200"/>
      <c r="G10" s="180">
        <f>E10</f>
        <v>4891460</v>
      </c>
      <c r="H10" s="201"/>
      <c r="I10" s="200"/>
      <c r="J10" s="200"/>
      <c r="K10" s="200">
        <f t="shared" si="3"/>
        <v>0</v>
      </c>
      <c r="L10" s="200">
        <f t="shared" si="0"/>
        <v>4891460</v>
      </c>
      <c r="M10" s="214"/>
      <c r="Q10" s="247">
        <v>5</v>
      </c>
      <c r="R10" s="248" t="s">
        <v>4444</v>
      </c>
      <c r="S10" s="249" t="s">
        <v>4649</v>
      </c>
      <c r="T10" s="248" t="s">
        <v>176</v>
      </c>
    </row>
    <row r="11" spans="1:20" ht="30" customHeight="1">
      <c r="A11" s="199" t="s">
        <v>4492</v>
      </c>
      <c r="B11" s="200">
        <v>16874</v>
      </c>
      <c r="C11" s="200">
        <v>4545890</v>
      </c>
      <c r="D11" s="200">
        <f t="shared" si="1"/>
        <v>36227</v>
      </c>
      <c r="E11" s="200">
        <f t="shared" si="2"/>
        <v>9437350</v>
      </c>
      <c r="F11" s="200"/>
      <c r="G11" s="180">
        <f>E11</f>
        <v>9437350</v>
      </c>
      <c r="H11" s="201"/>
      <c r="I11" s="200"/>
      <c r="J11" s="200"/>
      <c r="K11" s="200">
        <f t="shared" si="3"/>
        <v>0</v>
      </c>
      <c r="L11" s="200">
        <f t="shared" si="0"/>
        <v>9437350</v>
      </c>
      <c r="M11" s="214"/>
      <c r="Q11" s="247">
        <v>6</v>
      </c>
      <c r="R11" s="248" t="s">
        <v>4650</v>
      </c>
      <c r="S11" s="249" t="s">
        <v>4651</v>
      </c>
      <c r="T11" s="248" t="s">
        <v>4652</v>
      </c>
    </row>
    <row r="12" spans="1:20" ht="30" customHeight="1">
      <c r="A12" s="199" t="s">
        <v>4494</v>
      </c>
      <c r="B12" s="200">
        <v>19035</v>
      </c>
      <c r="C12" s="200">
        <v>5214090</v>
      </c>
      <c r="D12" s="200">
        <f t="shared" si="1"/>
        <v>55262</v>
      </c>
      <c r="E12" s="200">
        <f t="shared" si="2"/>
        <v>14651440</v>
      </c>
      <c r="F12" s="201"/>
      <c r="G12" s="180">
        <f>E12</f>
        <v>14651440</v>
      </c>
      <c r="H12" s="200"/>
      <c r="I12" s="200"/>
      <c r="J12" s="200"/>
      <c r="K12" s="200">
        <f t="shared" si="3"/>
        <v>0</v>
      </c>
      <c r="L12" s="200">
        <f t="shared" si="0"/>
        <v>14651440</v>
      </c>
      <c r="M12" s="216"/>
      <c r="Q12" s="247">
        <v>7</v>
      </c>
      <c r="R12" s="248" t="s">
        <v>1723</v>
      </c>
      <c r="S12" s="249" t="s">
        <v>4653</v>
      </c>
      <c r="T12" s="248" t="s">
        <v>4652</v>
      </c>
    </row>
    <row r="13" spans="1:20" ht="30" customHeight="1">
      <c r="A13" s="217" t="s">
        <v>4495</v>
      </c>
      <c r="B13" s="200">
        <v>12397</v>
      </c>
      <c r="C13" s="200">
        <v>3456632.5</v>
      </c>
      <c r="D13" s="200">
        <f t="shared" si="1"/>
        <v>67659</v>
      </c>
      <c r="E13" s="200">
        <f t="shared" si="2"/>
        <v>18108072.5</v>
      </c>
      <c r="F13" s="201"/>
      <c r="G13" s="180">
        <f t="shared" ref="G13:G20" si="4">E13-E7*0.7</f>
        <v>17912289.5</v>
      </c>
      <c r="H13" s="200"/>
      <c r="I13" s="200"/>
      <c r="J13" s="200"/>
      <c r="K13" s="200">
        <f t="shared" si="3"/>
        <v>0</v>
      </c>
      <c r="L13" s="200">
        <f t="shared" si="0"/>
        <v>18108072.5</v>
      </c>
      <c r="M13" s="216"/>
    </row>
    <row r="14" spans="1:20" ht="30" customHeight="1">
      <c r="A14" s="217" t="s">
        <v>4654</v>
      </c>
      <c r="B14" s="200">
        <v>3367</v>
      </c>
      <c r="C14" s="200">
        <v>956120</v>
      </c>
      <c r="D14" s="200">
        <f t="shared" si="1"/>
        <v>71026</v>
      </c>
      <c r="E14" s="200">
        <f t="shared" si="2"/>
        <v>19064192.5</v>
      </c>
      <c r="F14" s="201"/>
      <c r="G14" s="180">
        <f t="shared" si="4"/>
        <v>18623658</v>
      </c>
      <c r="H14" s="200">
        <f t="shared" ref="H14:H21" si="5">C7*0.7</f>
        <v>195783</v>
      </c>
      <c r="I14" s="200"/>
      <c r="J14" s="200"/>
      <c r="K14" s="200">
        <f t="shared" si="3"/>
        <v>195783</v>
      </c>
      <c r="L14" s="200">
        <f t="shared" si="0"/>
        <v>19064192.5</v>
      </c>
      <c r="M14" s="216"/>
    </row>
    <row r="15" spans="1:20" ht="30" customHeight="1">
      <c r="A15" s="217" t="s">
        <v>4655</v>
      </c>
      <c r="B15" s="200">
        <v>7059.5</v>
      </c>
      <c r="C15" s="200">
        <v>1988617.5</v>
      </c>
      <c r="D15" s="200">
        <f t="shared" si="1"/>
        <v>78085.5</v>
      </c>
      <c r="E15" s="200">
        <f t="shared" si="2"/>
        <v>21052810</v>
      </c>
      <c r="F15" s="201"/>
      <c r="G15" s="180">
        <f t="shared" si="4"/>
        <v>20094009.5</v>
      </c>
      <c r="H15" s="200">
        <f t="shared" si="5"/>
        <v>244751.49999999997</v>
      </c>
      <c r="I15" s="200">
        <v>440534.5</v>
      </c>
      <c r="J15" s="200">
        <f>I15</f>
        <v>440534.5</v>
      </c>
      <c r="K15" s="200">
        <f t="shared" si="3"/>
        <v>0</v>
      </c>
      <c r="L15" s="200">
        <f t="shared" si="0"/>
        <v>20612275.5</v>
      </c>
      <c r="M15" s="216" t="s">
        <v>4656</v>
      </c>
    </row>
    <row r="16" spans="1:20" ht="30" customHeight="1">
      <c r="A16" s="217" t="s">
        <v>4657</v>
      </c>
      <c r="B16" s="200">
        <v>6177</v>
      </c>
      <c r="C16" s="200">
        <v>1703522.5</v>
      </c>
      <c r="D16" s="200">
        <f t="shared" si="1"/>
        <v>84262.5</v>
      </c>
      <c r="E16" s="200">
        <f t="shared" si="2"/>
        <v>22756332.5</v>
      </c>
      <c r="F16" s="201"/>
      <c r="G16" s="180">
        <f t="shared" si="4"/>
        <v>19332310.5</v>
      </c>
      <c r="H16" s="200">
        <f t="shared" si="5"/>
        <v>518265.99999999994</v>
      </c>
      <c r="I16" s="200"/>
      <c r="J16" s="200">
        <f>I16+J15</f>
        <v>440534.5</v>
      </c>
      <c r="K16" s="200">
        <f t="shared" si="3"/>
        <v>518265.99999999994</v>
      </c>
      <c r="L16" s="200">
        <f t="shared" si="0"/>
        <v>22315798</v>
      </c>
      <c r="M16" s="216"/>
    </row>
    <row r="17" spans="1:13" ht="30" customHeight="1">
      <c r="A17" s="217" t="s">
        <v>4658</v>
      </c>
      <c r="B17" s="200">
        <v>6501</v>
      </c>
      <c r="C17" s="200">
        <v>1714472.5</v>
      </c>
      <c r="D17" s="200">
        <f t="shared" si="1"/>
        <v>90763.5</v>
      </c>
      <c r="E17" s="200">
        <f t="shared" si="2"/>
        <v>24470805</v>
      </c>
      <c r="F17" s="201"/>
      <c r="G17" s="180">
        <f t="shared" si="4"/>
        <v>17864660</v>
      </c>
      <c r="H17" s="200">
        <f t="shared" si="5"/>
        <v>2465221.5</v>
      </c>
      <c r="I17" s="200">
        <v>2900000</v>
      </c>
      <c r="J17" s="200">
        <f>I17+J16</f>
        <v>3340534.5</v>
      </c>
      <c r="K17" s="200">
        <f t="shared" si="3"/>
        <v>83487.5</v>
      </c>
      <c r="L17" s="200">
        <f t="shared" si="0"/>
        <v>21130270.5</v>
      </c>
      <c r="M17" s="216" t="s">
        <v>4659</v>
      </c>
    </row>
    <row r="18" spans="1:13" ht="30" customHeight="1">
      <c r="A18" s="217" t="s">
        <v>4660</v>
      </c>
      <c r="B18" s="200">
        <v>5056.5</v>
      </c>
      <c r="C18" s="200">
        <v>2506967.5</v>
      </c>
      <c r="D18" s="200">
        <f t="shared" si="1"/>
        <v>95820</v>
      </c>
      <c r="E18" s="200">
        <f t="shared" si="2"/>
        <v>26977772.5</v>
      </c>
      <c r="F18" s="201"/>
      <c r="G18" s="180">
        <f t="shared" si="4"/>
        <v>16721764.5</v>
      </c>
      <c r="H18" s="200">
        <f t="shared" si="5"/>
        <v>3182123</v>
      </c>
      <c r="I18" s="200">
        <v>3200000</v>
      </c>
      <c r="J18" s="200">
        <f>I18+J17</f>
        <v>6540534.5</v>
      </c>
      <c r="K18" s="200">
        <f t="shared" si="3"/>
        <v>65610.5</v>
      </c>
      <c r="L18" s="200">
        <f t="shared" si="0"/>
        <v>20437238</v>
      </c>
      <c r="M18" s="216" t="s">
        <v>4661</v>
      </c>
    </row>
    <row r="19" spans="1:13" ht="30" customHeight="1">
      <c r="A19" s="217" t="s">
        <v>4662</v>
      </c>
      <c r="B19" s="200">
        <v>5060.5</v>
      </c>
      <c r="C19" s="200">
        <v>1385445</v>
      </c>
      <c r="D19" s="200">
        <f t="shared" si="1"/>
        <v>100880.5</v>
      </c>
      <c r="E19" s="200">
        <f t="shared" si="2"/>
        <v>28363217.5</v>
      </c>
      <c r="F19" s="201"/>
      <c r="G19" s="180">
        <f t="shared" si="4"/>
        <v>15687566.75</v>
      </c>
      <c r="H19" s="200">
        <f t="shared" si="5"/>
        <v>3649863</v>
      </c>
      <c r="I19" s="200"/>
      <c r="J19" s="200">
        <f>I19+J18</f>
        <v>6540534.5</v>
      </c>
      <c r="K19" s="200">
        <f t="shared" si="3"/>
        <v>3715473.5</v>
      </c>
      <c r="L19" s="200">
        <f t="shared" si="0"/>
        <v>21822683</v>
      </c>
      <c r="M19" s="216" t="s">
        <v>4663</v>
      </c>
    </row>
    <row r="20" spans="1:13" ht="30" customHeight="1">
      <c r="A20" s="217" t="s">
        <v>4664</v>
      </c>
      <c r="B20" s="200">
        <v>3458</v>
      </c>
      <c r="C20" s="200">
        <v>936820</v>
      </c>
      <c r="D20" s="200">
        <f t="shared" si="1"/>
        <v>104338.5</v>
      </c>
      <c r="E20" s="200">
        <f t="shared" si="2"/>
        <v>29300037.5</v>
      </c>
      <c r="F20" s="201"/>
      <c r="G20" s="180">
        <f t="shared" si="4"/>
        <v>15955102.75</v>
      </c>
      <c r="H20" s="200">
        <f t="shared" si="5"/>
        <v>2419642.75</v>
      </c>
      <c r="I20" s="200">
        <v>3000000</v>
      </c>
      <c r="J20" s="200">
        <f>I20+J19</f>
        <v>9540534.5</v>
      </c>
      <c r="K20" s="200">
        <f t="shared" si="3"/>
        <v>3135116.25</v>
      </c>
      <c r="L20" s="200">
        <f t="shared" si="0"/>
        <v>19759503</v>
      </c>
      <c r="M20" s="216" t="s">
        <v>4665</v>
      </c>
    </row>
    <row r="21" spans="1:13" ht="30" customHeight="1">
      <c r="A21" s="217"/>
      <c r="B21" s="200"/>
      <c r="C21" s="200"/>
      <c r="D21" s="200"/>
      <c r="E21" s="180"/>
      <c r="F21" s="201"/>
      <c r="G21" s="200"/>
      <c r="H21" s="200">
        <f t="shared" si="5"/>
        <v>669284</v>
      </c>
      <c r="I21" s="200"/>
      <c r="J21" s="200"/>
      <c r="K21" s="200">
        <f t="shared" si="3"/>
        <v>3804400.25</v>
      </c>
      <c r="L21" s="216"/>
      <c r="M21" s="216"/>
    </row>
    <row r="22" spans="1:13" ht="30" customHeight="1">
      <c r="A22" s="217">
        <v>42979</v>
      </c>
      <c r="B22" s="200">
        <v>3458</v>
      </c>
      <c r="C22" s="200">
        <v>936820</v>
      </c>
      <c r="D22" s="200">
        <v>104338.5</v>
      </c>
      <c r="E22" s="180">
        <v>29300037.5</v>
      </c>
      <c r="F22" s="201"/>
      <c r="G22" s="200">
        <v>15955102.75</v>
      </c>
      <c r="H22" s="200">
        <v>2419642.75</v>
      </c>
      <c r="I22" s="200">
        <v>3000000</v>
      </c>
      <c r="J22" s="200">
        <v>9540534.5</v>
      </c>
      <c r="K22" s="213">
        <v>3135116.25</v>
      </c>
      <c r="L22" s="216">
        <v>19759503</v>
      </c>
      <c r="M22" s="216" t="s">
        <v>4665</v>
      </c>
    </row>
    <row r="23" spans="1:13" ht="30" customHeight="1">
      <c r="A23" s="217"/>
      <c r="B23" s="200"/>
      <c r="C23" s="200"/>
      <c r="D23" s="200"/>
      <c r="E23" s="180"/>
      <c r="F23" s="201"/>
      <c r="G23" s="200"/>
      <c r="H23" s="200"/>
      <c r="I23" s="200"/>
      <c r="J23" s="200"/>
      <c r="K23" s="213"/>
      <c r="L23" s="216"/>
      <c r="M23" s="216"/>
    </row>
    <row r="24" spans="1:13" ht="30" customHeight="1">
      <c r="A24" s="202"/>
      <c r="B24" s="200"/>
      <c r="C24" s="200"/>
      <c r="D24" s="200"/>
      <c r="E24" s="180"/>
      <c r="F24" s="201"/>
      <c r="G24" s="200"/>
      <c r="H24" s="200"/>
      <c r="I24" s="200"/>
      <c r="J24" s="200"/>
      <c r="K24" s="215"/>
      <c r="L24" s="216"/>
      <c r="M24" s="216"/>
    </row>
  </sheetData>
  <mergeCells count="12">
    <mergeCell ref="B3:C3"/>
    <mergeCell ref="B4:E4"/>
    <mergeCell ref="F4:I4"/>
    <mergeCell ref="A5:C5"/>
    <mergeCell ref="D5:F5"/>
    <mergeCell ref="G5:I5"/>
    <mergeCell ref="E1:F1"/>
    <mergeCell ref="G1:H1"/>
    <mergeCell ref="J1:L1"/>
    <mergeCell ref="B2:C2"/>
    <mergeCell ref="E2:H2"/>
    <mergeCell ref="J2:M2"/>
  </mergeCells>
  <phoneticPr fontId="84" type="noConversion"/>
  <pageMargins left="0.75" right="0.75" top="1" bottom="1" header="0.51" footer="0.51"/>
  <pageSetup paperSize="9" orientation="portrait" horizontalDpi="0" verticalDpi="0"/>
  <legacyDrawing r:id="rId1"/>
</worksheet>
</file>

<file path=xl/worksheets/sheet2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opLeftCell="A7" zoomScaleSheetLayoutView="100" workbookViewId="0">
      <selection activeCell="B13" sqref="B13:M13"/>
    </sheetView>
  </sheetViews>
  <sheetFormatPr defaultColWidth="9" defaultRowHeight="14.25"/>
  <cols>
    <col min="1" max="12" width="14.625" customWidth="1"/>
    <col min="13" max="13" width="29.375" customWidth="1"/>
  </cols>
  <sheetData>
    <row r="1" spans="1:13" ht="54.95" customHeight="1">
      <c r="A1" s="130" t="s">
        <v>556</v>
      </c>
      <c r="B1" s="194" t="s">
        <v>4666</v>
      </c>
      <c r="C1" s="238" t="s">
        <v>4667</v>
      </c>
      <c r="D1" s="131" t="s">
        <v>236</v>
      </c>
      <c r="E1" s="2095"/>
      <c r="F1" s="2095"/>
      <c r="G1" s="2263" t="s">
        <v>4668</v>
      </c>
      <c r="H1" s="2263"/>
      <c r="I1" s="164" t="s">
        <v>4342</v>
      </c>
      <c r="J1" s="1701" t="s">
        <v>4669</v>
      </c>
      <c r="K1" s="1701"/>
      <c r="L1" s="1701"/>
      <c r="M1" s="203" t="s">
        <v>4670</v>
      </c>
    </row>
    <row r="2" spans="1:13" ht="78" customHeight="1">
      <c r="A2" s="133" t="s">
        <v>240</v>
      </c>
      <c r="B2" s="1682" t="s">
        <v>4671</v>
      </c>
      <c r="C2" s="1682"/>
      <c r="D2" s="134" t="s">
        <v>242</v>
      </c>
      <c r="E2" s="1706"/>
      <c r="F2" s="1706"/>
      <c r="G2" s="1706"/>
      <c r="H2" s="1706"/>
      <c r="I2" s="166" t="s">
        <v>425</v>
      </c>
      <c r="J2" s="2240" t="s">
        <v>4672</v>
      </c>
      <c r="K2" s="2241"/>
      <c r="L2" s="2241"/>
      <c r="M2" s="2242"/>
    </row>
    <row r="3" spans="1:13" ht="54.95" customHeight="1">
      <c r="A3" s="133" t="s">
        <v>247</v>
      </c>
      <c r="B3" s="1682" t="s">
        <v>4673</v>
      </c>
      <c r="C3" s="1682"/>
      <c r="D3" s="134" t="s">
        <v>249</v>
      </c>
      <c r="E3" s="197">
        <v>23200</v>
      </c>
      <c r="F3" s="134" t="s">
        <v>251</v>
      </c>
      <c r="G3" s="134" t="s">
        <v>4516</v>
      </c>
      <c r="H3" s="137" t="s">
        <v>4674</v>
      </c>
      <c r="I3" s="206" t="s">
        <v>4675</v>
      </c>
      <c r="J3" s="41" t="s">
        <v>565</v>
      </c>
      <c r="K3" s="15" t="s">
        <v>4676</v>
      </c>
      <c r="L3" s="15" t="s">
        <v>255</v>
      </c>
      <c r="M3" s="207" t="s">
        <v>4676</v>
      </c>
    </row>
    <row r="4" spans="1:13" ht="71.099999999999994" customHeight="1">
      <c r="A4" s="133" t="s">
        <v>260</v>
      </c>
      <c r="B4" s="1726" t="s">
        <v>4677</v>
      </c>
      <c r="C4" s="1726"/>
      <c r="D4" s="1726"/>
      <c r="E4" s="1726"/>
      <c r="F4" s="1726" t="s">
        <v>4678</v>
      </c>
      <c r="G4" s="1726"/>
      <c r="H4" s="1726"/>
      <c r="I4" s="1726"/>
      <c r="J4" s="166" t="s">
        <v>243</v>
      </c>
      <c r="K4" s="166" t="s">
        <v>421</v>
      </c>
      <c r="L4" s="166" t="s">
        <v>245</v>
      </c>
      <c r="M4" s="205" t="s">
        <v>1339</v>
      </c>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t="s">
        <v>4679</v>
      </c>
      <c r="B7" s="200">
        <v>2749.5</v>
      </c>
      <c r="C7" s="200">
        <v>751841.28000000003</v>
      </c>
      <c r="D7" s="200">
        <f>B7</f>
        <v>2749.5</v>
      </c>
      <c r="E7" s="200">
        <f>C7</f>
        <v>751841.28000000003</v>
      </c>
      <c r="F7" s="200"/>
      <c r="G7" s="180">
        <f>E7</f>
        <v>751841.28000000003</v>
      </c>
      <c r="H7" s="201"/>
      <c r="I7" s="200"/>
      <c r="J7" s="200"/>
      <c r="K7" s="200"/>
      <c r="L7" s="200">
        <f>E7-J7</f>
        <v>751841.28000000003</v>
      </c>
      <c r="M7" s="210"/>
    </row>
    <row r="8" spans="1:13" ht="30" customHeight="1">
      <c r="A8" s="199" t="s">
        <v>4680</v>
      </c>
      <c r="B8" s="200">
        <v>5790</v>
      </c>
      <c r="C8" s="200">
        <v>1730876.33</v>
      </c>
      <c r="D8" s="200">
        <f t="shared" ref="D8:E11" si="0">B8+D7</f>
        <v>8539.5</v>
      </c>
      <c r="E8" s="200">
        <f t="shared" si="0"/>
        <v>2482717.6100000003</v>
      </c>
      <c r="F8" s="200"/>
      <c r="G8" s="180">
        <f>E7*0.3+C8</f>
        <v>1956428.7140000002</v>
      </c>
      <c r="H8" s="201"/>
      <c r="I8" s="200"/>
      <c r="J8" s="200"/>
      <c r="K8" s="200">
        <f>K7+H8-I8</f>
        <v>0</v>
      </c>
      <c r="L8" s="200">
        <f>E8-J8</f>
        <v>2482717.6100000003</v>
      </c>
      <c r="M8" s="210"/>
    </row>
    <row r="9" spans="1:13" ht="30" customHeight="1">
      <c r="A9" s="199" t="s">
        <v>4681</v>
      </c>
      <c r="B9" s="200">
        <v>4602.5</v>
      </c>
      <c r="C9" s="200">
        <v>1397777.95</v>
      </c>
      <c r="D9" s="200">
        <f t="shared" si="0"/>
        <v>13142</v>
      </c>
      <c r="E9" s="200">
        <f t="shared" si="0"/>
        <v>3880495.5600000005</v>
      </c>
      <c r="F9" s="200"/>
      <c r="G9" s="180">
        <f>E8*0.3+C9</f>
        <v>2142593.233</v>
      </c>
      <c r="H9" s="201">
        <f>C7*0.7</f>
        <v>526288.89599999995</v>
      </c>
      <c r="I9" s="200"/>
      <c r="J9" s="200"/>
      <c r="K9" s="200">
        <f>K8+H9-I9</f>
        <v>526288.89599999995</v>
      </c>
      <c r="L9" s="200">
        <f>E9-J9</f>
        <v>3880495.5600000005</v>
      </c>
      <c r="M9" s="212"/>
    </row>
    <row r="10" spans="1:13" ht="30" customHeight="1">
      <c r="A10" s="199" t="s">
        <v>4662</v>
      </c>
      <c r="B10" s="200">
        <v>1556.5</v>
      </c>
      <c r="C10" s="200">
        <v>462433</v>
      </c>
      <c r="D10" s="200">
        <f t="shared" si="0"/>
        <v>14698.5</v>
      </c>
      <c r="E10" s="200">
        <f t="shared" si="0"/>
        <v>4342928.5600000005</v>
      </c>
      <c r="F10" s="200"/>
      <c r="G10" s="180">
        <f>E9*0.3+C10</f>
        <v>1626581.6680000001</v>
      </c>
      <c r="H10" s="201">
        <f>C8*0.7</f>
        <v>1211613.4309999999</v>
      </c>
      <c r="I10" s="200"/>
      <c r="J10" s="200"/>
      <c r="K10" s="200">
        <f>K9+H10-I10</f>
        <v>1737902.3269999998</v>
      </c>
      <c r="L10" s="200">
        <f>E10-J10</f>
        <v>4342928.5600000005</v>
      </c>
      <c r="M10" s="212" t="s">
        <v>4682</v>
      </c>
    </row>
    <row r="11" spans="1:13" ht="30" customHeight="1">
      <c r="A11" s="199" t="s">
        <v>4664</v>
      </c>
      <c r="B11" s="200">
        <v>1008</v>
      </c>
      <c r="C11" s="200">
        <v>287346.78999999998</v>
      </c>
      <c r="D11" s="200">
        <f t="shared" si="0"/>
        <v>15706.5</v>
      </c>
      <c r="E11" s="200">
        <f t="shared" si="0"/>
        <v>4630275.3500000006</v>
      </c>
      <c r="F11" s="200"/>
      <c r="G11" s="180">
        <f>E10*0.3+C11</f>
        <v>1590225.3580000002</v>
      </c>
      <c r="H11" s="201">
        <f>C9*0.7</f>
        <v>978444.56499999994</v>
      </c>
      <c r="I11" s="200">
        <v>1737902.33</v>
      </c>
      <c r="J11" s="200">
        <f>I11</f>
        <v>1737902.33</v>
      </c>
      <c r="K11" s="200">
        <f>K10+H11-I11</f>
        <v>978444.56199999992</v>
      </c>
      <c r="L11" s="200">
        <f>E11-J11</f>
        <v>2892373.0200000005</v>
      </c>
      <c r="M11" s="212" t="s">
        <v>4683</v>
      </c>
    </row>
    <row r="12" spans="1:13" ht="30" customHeight="1">
      <c r="A12" s="199"/>
      <c r="B12" s="200"/>
      <c r="C12" s="200"/>
      <c r="D12" s="200"/>
      <c r="E12" s="200"/>
      <c r="F12" s="200"/>
      <c r="G12" s="180"/>
      <c r="H12" s="201">
        <f>C10*0.7</f>
        <v>323703.09999999998</v>
      </c>
      <c r="I12" s="200"/>
      <c r="J12" s="200"/>
      <c r="K12" s="200">
        <f>K11+H12-I12</f>
        <v>1302147.662</v>
      </c>
      <c r="L12" s="200"/>
      <c r="M12" s="212"/>
    </row>
    <row r="13" spans="1:13" ht="30" customHeight="1">
      <c r="A13" s="199">
        <v>42979</v>
      </c>
      <c r="B13" s="200">
        <v>1008</v>
      </c>
      <c r="C13" s="200">
        <v>287346.78999999998</v>
      </c>
      <c r="D13" s="200">
        <v>15706.5</v>
      </c>
      <c r="E13" s="200">
        <v>4630275.3500000006</v>
      </c>
      <c r="F13" s="200"/>
      <c r="G13" s="180">
        <v>1590225.3580000002</v>
      </c>
      <c r="H13" s="201">
        <v>978444.56499999994</v>
      </c>
      <c r="I13" s="200">
        <v>1737902.33</v>
      </c>
      <c r="J13" s="200">
        <v>1737902.33</v>
      </c>
      <c r="K13" s="200">
        <v>978444.56199999992</v>
      </c>
      <c r="L13" s="200">
        <v>2892373.0200000005</v>
      </c>
      <c r="M13" s="212" t="s">
        <v>4683</v>
      </c>
    </row>
    <row r="14" spans="1:13" ht="30" customHeight="1">
      <c r="A14" s="199"/>
      <c r="B14" s="200"/>
      <c r="C14" s="200"/>
      <c r="D14" s="200"/>
      <c r="E14" s="200"/>
      <c r="F14" s="200"/>
      <c r="G14" s="180"/>
      <c r="H14" s="201"/>
      <c r="I14" s="200"/>
      <c r="J14" s="200"/>
      <c r="K14" s="200"/>
      <c r="L14" s="200"/>
      <c r="M14" s="214"/>
    </row>
    <row r="15" spans="1:13" ht="30" customHeight="1">
      <c r="A15" s="199"/>
      <c r="B15" s="200"/>
      <c r="C15" s="200"/>
      <c r="D15" s="200"/>
      <c r="E15" s="200"/>
      <c r="F15" s="200"/>
      <c r="G15" s="180"/>
      <c r="H15" s="201"/>
      <c r="I15" s="200"/>
      <c r="J15" s="200"/>
      <c r="K15" s="200"/>
      <c r="L15" s="200"/>
      <c r="M15" s="214"/>
    </row>
    <row r="16" spans="1:13" ht="30" customHeight="1">
      <c r="A16" s="199"/>
      <c r="B16" s="200"/>
      <c r="C16" s="212"/>
      <c r="D16" s="200"/>
      <c r="E16" s="200"/>
      <c r="F16" s="200"/>
      <c r="G16" s="180"/>
      <c r="H16" s="201"/>
      <c r="I16" s="200"/>
      <c r="J16" s="200"/>
      <c r="K16" s="200"/>
      <c r="L16" s="200"/>
      <c r="M16" s="214"/>
    </row>
    <row r="17" spans="1:13" ht="30" customHeight="1">
      <c r="A17" s="199"/>
      <c r="B17" s="200"/>
      <c r="C17" s="212"/>
      <c r="D17" s="200"/>
      <c r="E17" s="236"/>
      <c r="F17" s="200"/>
      <c r="G17" s="180"/>
      <c r="H17" s="201"/>
      <c r="I17" s="200"/>
      <c r="J17" s="200"/>
      <c r="K17" s="200"/>
      <c r="L17" s="213"/>
      <c r="M17" s="214"/>
    </row>
    <row r="18" spans="1:13" ht="30" customHeight="1">
      <c r="A18" s="199"/>
      <c r="B18" s="200"/>
      <c r="C18" s="212"/>
      <c r="D18" s="200"/>
      <c r="E18" s="180"/>
      <c r="F18" s="201"/>
      <c r="G18" s="200"/>
      <c r="H18" s="201"/>
      <c r="I18" s="200"/>
      <c r="J18" s="200"/>
      <c r="K18" s="215"/>
      <c r="L18" s="237"/>
      <c r="M18" s="214"/>
    </row>
    <row r="19" spans="1:13" ht="30" customHeight="1">
      <c r="A19" s="202"/>
      <c r="B19" s="200"/>
      <c r="C19" s="200"/>
      <c r="D19" s="200"/>
      <c r="E19" s="180"/>
      <c r="F19" s="201"/>
      <c r="G19" s="200"/>
      <c r="H19" s="200"/>
      <c r="I19" s="200"/>
      <c r="J19" s="200"/>
      <c r="K19" s="215"/>
      <c r="L19" s="237"/>
      <c r="M19" s="214"/>
    </row>
    <row r="27" spans="1:13">
      <c r="C27">
        <f>B34-E11+G11</f>
        <v>1886243.1279999998</v>
      </c>
    </row>
    <row r="34" spans="2:2">
      <c r="B34">
        <v>4926293.12</v>
      </c>
    </row>
  </sheetData>
  <mergeCells count="12">
    <mergeCell ref="B3:C3"/>
    <mergeCell ref="B4:E4"/>
    <mergeCell ref="F4:I4"/>
    <mergeCell ref="A5:C5"/>
    <mergeCell ref="D5:F5"/>
    <mergeCell ref="G5:I5"/>
    <mergeCell ref="E1:F1"/>
    <mergeCell ref="G1:H1"/>
    <mergeCell ref="J1:L1"/>
    <mergeCell ref="B2:C2"/>
    <mergeCell ref="E2:H2"/>
    <mergeCell ref="J2:M2"/>
  </mergeCells>
  <phoneticPr fontId="84" type="noConversion"/>
  <pageMargins left="0.75" right="0.75" top="1" bottom="1" header="0.51" footer="0.51"/>
</worksheet>
</file>

<file path=xl/worksheets/sheet2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0" zoomScaleSheetLayoutView="100" workbookViewId="0"/>
  </sheetViews>
  <sheetFormatPr defaultColWidth="9" defaultRowHeight="14.25"/>
  <cols>
    <col min="1" max="12" width="14.625" customWidth="1"/>
    <col min="13" max="13" width="29.375" customWidth="1"/>
  </cols>
  <sheetData>
    <row r="1" spans="1:13" ht="54.95" customHeight="1">
      <c r="A1" s="130" t="s">
        <v>556</v>
      </c>
      <c r="B1" s="194" t="s">
        <v>4684</v>
      </c>
      <c r="C1" s="195" t="s">
        <v>4685</v>
      </c>
      <c r="D1" s="131" t="s">
        <v>236</v>
      </c>
      <c r="E1" s="2095"/>
      <c r="F1" s="2095"/>
      <c r="G1" s="2263" t="s">
        <v>4686</v>
      </c>
      <c r="H1" s="2263"/>
      <c r="I1" s="164" t="s">
        <v>237</v>
      </c>
      <c r="J1" s="1701" t="s">
        <v>4687</v>
      </c>
      <c r="K1" s="1701"/>
      <c r="L1" s="1701"/>
      <c r="M1" s="203" t="s">
        <v>4688</v>
      </c>
    </row>
    <row r="2" spans="1:13" ht="54.95" customHeight="1">
      <c r="A2" s="133" t="s">
        <v>240</v>
      </c>
      <c r="B2" s="1682" t="s">
        <v>698</v>
      </c>
      <c r="C2" s="1682"/>
      <c r="D2" s="134" t="s">
        <v>242</v>
      </c>
      <c r="E2" s="1706"/>
      <c r="F2" s="1706"/>
      <c r="G2" s="1706"/>
      <c r="H2" s="1706"/>
      <c r="I2" s="166" t="s">
        <v>425</v>
      </c>
      <c r="J2" s="2240" t="s">
        <v>4672</v>
      </c>
      <c r="K2" s="2241"/>
      <c r="L2" s="2241"/>
      <c r="M2" s="2242"/>
    </row>
    <row r="3" spans="1:13" ht="54.95" customHeight="1">
      <c r="A3" s="133" t="s">
        <v>247</v>
      </c>
      <c r="B3" s="1682" t="s">
        <v>4689</v>
      </c>
      <c r="C3" s="1682"/>
      <c r="D3" s="134" t="s">
        <v>249</v>
      </c>
      <c r="E3" s="197">
        <v>139650</v>
      </c>
      <c r="F3" s="134" t="s">
        <v>251</v>
      </c>
      <c r="G3" s="134" t="s">
        <v>4516</v>
      </c>
      <c r="H3" s="137" t="s">
        <v>4690</v>
      </c>
      <c r="I3" s="206" t="s">
        <v>4691</v>
      </c>
      <c r="J3" s="41" t="s">
        <v>565</v>
      </c>
      <c r="K3" s="15" t="s">
        <v>4692</v>
      </c>
      <c r="L3" s="15" t="s">
        <v>255</v>
      </c>
      <c r="M3" s="207" t="s">
        <v>4693</v>
      </c>
    </row>
    <row r="4" spans="1:13" ht="54.95" customHeight="1">
      <c r="A4" s="133" t="s">
        <v>260</v>
      </c>
      <c r="B4" s="1726" t="s">
        <v>4694</v>
      </c>
      <c r="C4" s="1726"/>
      <c r="D4" s="1726"/>
      <c r="E4" s="1726"/>
      <c r="F4" s="1726" t="s">
        <v>4695</v>
      </c>
      <c r="G4" s="1726"/>
      <c r="H4" s="1726"/>
      <c r="I4" s="1726"/>
      <c r="J4" s="198" t="s">
        <v>243</v>
      </c>
      <c r="K4" s="198" t="s">
        <v>421</v>
      </c>
      <c r="L4" s="166" t="s">
        <v>245</v>
      </c>
      <c r="M4" s="205" t="s">
        <v>3111</v>
      </c>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t="s">
        <v>4696</v>
      </c>
      <c r="B7" s="200">
        <v>7278.5</v>
      </c>
      <c r="C7" s="200">
        <v>2248559.81</v>
      </c>
      <c r="D7" s="200">
        <f>B7</f>
        <v>7278.5</v>
      </c>
      <c r="E7" s="200">
        <f>C7</f>
        <v>2248559.81</v>
      </c>
      <c r="F7" s="200"/>
      <c r="G7" s="180">
        <f>E7</f>
        <v>2248559.81</v>
      </c>
      <c r="H7" s="201"/>
      <c r="I7" s="200"/>
      <c r="J7" s="200"/>
      <c r="K7" s="200"/>
      <c r="L7" s="200">
        <f t="shared" ref="L7:L12" si="0">E7-J7</f>
        <v>2248559.81</v>
      </c>
      <c r="M7" s="210"/>
    </row>
    <row r="8" spans="1:13" ht="30" customHeight="1">
      <c r="A8" s="199" t="s">
        <v>718</v>
      </c>
      <c r="B8" s="200">
        <v>8627</v>
      </c>
      <c r="C8" s="200">
        <v>2907639.86</v>
      </c>
      <c r="D8" s="200">
        <f>B8+D7</f>
        <v>15905.5</v>
      </c>
      <c r="E8" s="200">
        <f>E7+C8</f>
        <v>5156199.67</v>
      </c>
      <c r="F8" s="200"/>
      <c r="G8" s="180">
        <f>E7*0.3+C8</f>
        <v>3582207.8029999998</v>
      </c>
      <c r="H8" s="201"/>
      <c r="I8" s="200"/>
      <c r="J8" s="200"/>
      <c r="K8" s="200">
        <f t="shared" ref="K8:K13" si="1">K7+H8-I8</f>
        <v>0</v>
      </c>
      <c r="L8" s="200">
        <f t="shared" si="0"/>
        <v>5156199.67</v>
      </c>
      <c r="M8" s="210"/>
    </row>
    <row r="9" spans="1:13" ht="30" customHeight="1">
      <c r="A9" s="199" t="s">
        <v>4697</v>
      </c>
      <c r="B9" s="200">
        <v>6286</v>
      </c>
      <c r="C9" s="200">
        <v>2086163.95</v>
      </c>
      <c r="D9" s="200">
        <f>B9+D8</f>
        <v>22191.5</v>
      </c>
      <c r="E9" s="200">
        <f>E8+C9</f>
        <v>7242363.6200000001</v>
      </c>
      <c r="F9" s="200"/>
      <c r="G9" s="180">
        <f>E8*0.3+C9</f>
        <v>3633023.8509999998</v>
      </c>
      <c r="H9" s="201">
        <f>C7*0.7</f>
        <v>1573991.8669999999</v>
      </c>
      <c r="I9" s="200"/>
      <c r="J9" s="200"/>
      <c r="K9" s="200">
        <f t="shared" si="1"/>
        <v>1573991.8669999999</v>
      </c>
      <c r="L9" s="200">
        <f t="shared" si="0"/>
        <v>7242363.6200000001</v>
      </c>
      <c r="M9" s="212"/>
    </row>
    <row r="10" spans="1:13" ht="30" customHeight="1">
      <c r="A10" s="199" t="s">
        <v>4698</v>
      </c>
      <c r="B10" s="200">
        <v>4845</v>
      </c>
      <c r="C10" s="200">
        <v>1681516.9</v>
      </c>
      <c r="D10" s="200">
        <f>B10+D9</f>
        <v>27036.5</v>
      </c>
      <c r="E10" s="200">
        <f>E9+C10</f>
        <v>8923880.5199999996</v>
      </c>
      <c r="F10" s="200"/>
      <c r="G10" s="180">
        <f>E9*0.3+C10</f>
        <v>3854225.986</v>
      </c>
      <c r="H10" s="201">
        <f>C8*0.7</f>
        <v>2035347.9019999998</v>
      </c>
      <c r="I10" s="200">
        <v>3000000</v>
      </c>
      <c r="J10" s="200">
        <f>I10</f>
        <v>3000000</v>
      </c>
      <c r="K10" s="200">
        <f t="shared" si="1"/>
        <v>609339.76899999939</v>
      </c>
      <c r="L10" s="200">
        <f t="shared" si="0"/>
        <v>5923880.5199999996</v>
      </c>
      <c r="M10" s="212" t="s">
        <v>4699</v>
      </c>
    </row>
    <row r="11" spans="1:13" ht="30" customHeight="1">
      <c r="A11" s="199" t="s">
        <v>4662</v>
      </c>
      <c r="B11" s="200">
        <v>3498</v>
      </c>
      <c r="C11" s="200">
        <v>1307957.45</v>
      </c>
      <c r="D11" s="200">
        <f>B11+D10</f>
        <v>30534.5</v>
      </c>
      <c r="E11" s="200">
        <f>E10+C11</f>
        <v>10231837.969999999</v>
      </c>
      <c r="F11" s="200"/>
      <c r="G11" s="180">
        <f>E10*0.3+C11</f>
        <v>3985121.6059999997</v>
      </c>
      <c r="H11" s="201">
        <f>C9*0.7</f>
        <v>1460314.7649999999</v>
      </c>
      <c r="I11" s="200"/>
      <c r="J11" s="200">
        <f>I11+J10</f>
        <v>3000000</v>
      </c>
      <c r="K11" s="200">
        <f t="shared" si="1"/>
        <v>2069654.5339999993</v>
      </c>
      <c r="L11" s="200">
        <f t="shared" si="0"/>
        <v>7231837.9699999988</v>
      </c>
      <c r="M11" s="212" t="s">
        <v>4700</v>
      </c>
    </row>
    <row r="12" spans="1:13" ht="30" customHeight="1">
      <c r="A12" s="199" t="s">
        <v>4664</v>
      </c>
      <c r="B12" s="200">
        <v>4182.5</v>
      </c>
      <c r="C12" s="243">
        <v>1517287.76</v>
      </c>
      <c r="D12" s="200">
        <f>B12+D11</f>
        <v>34717</v>
      </c>
      <c r="E12" s="200">
        <f>E11+C12</f>
        <v>11749125.729999999</v>
      </c>
      <c r="F12" s="200"/>
      <c r="G12" s="180">
        <f>E11*0.3+C12</f>
        <v>4586839.1509999996</v>
      </c>
      <c r="H12" s="201">
        <f>C10*0.7</f>
        <v>1177061.8299999998</v>
      </c>
      <c r="I12" s="200">
        <v>1500000</v>
      </c>
      <c r="J12" s="200">
        <f>I12+J11</f>
        <v>4500000</v>
      </c>
      <c r="K12" s="200">
        <f t="shared" si="1"/>
        <v>1746716.3639999991</v>
      </c>
      <c r="L12" s="200">
        <f t="shared" si="0"/>
        <v>7249125.7299999986</v>
      </c>
      <c r="M12" s="244" t="s">
        <v>4701</v>
      </c>
    </row>
    <row r="13" spans="1:13" ht="30" customHeight="1">
      <c r="A13" s="199"/>
      <c r="B13" s="200"/>
      <c r="C13" s="243"/>
      <c r="D13" s="200"/>
      <c r="E13" s="200"/>
      <c r="F13" s="200"/>
      <c r="G13" s="180"/>
      <c r="H13" s="201">
        <f>C11*0.7</f>
        <v>915570.21499999997</v>
      </c>
      <c r="I13" s="200"/>
      <c r="J13" s="200"/>
      <c r="K13" s="200">
        <f t="shared" si="1"/>
        <v>2662286.578999999</v>
      </c>
      <c r="L13" s="213"/>
      <c r="M13" s="244"/>
    </row>
    <row r="14" spans="1:13" ht="30" customHeight="1">
      <c r="A14" s="199">
        <v>42979</v>
      </c>
      <c r="B14" s="200">
        <v>4182.5</v>
      </c>
      <c r="C14" s="212">
        <v>1517287.76</v>
      </c>
      <c r="D14" s="200">
        <v>34717</v>
      </c>
      <c r="E14" s="180">
        <v>11749125.729999999</v>
      </c>
      <c r="F14" s="201"/>
      <c r="G14" s="200">
        <v>4586839.1509999996</v>
      </c>
      <c r="H14" s="201">
        <v>1177061.8299999998</v>
      </c>
      <c r="I14" s="200">
        <v>1500000</v>
      </c>
      <c r="J14" s="200">
        <v>4500000</v>
      </c>
      <c r="K14" s="215">
        <v>1746716.3639999991</v>
      </c>
      <c r="L14" s="237">
        <v>7249125.7299999986</v>
      </c>
      <c r="M14" s="214" t="s">
        <v>4701</v>
      </c>
    </row>
    <row r="15" spans="1:13" ht="30" customHeight="1">
      <c r="A15" s="202"/>
      <c r="B15" s="200"/>
      <c r="C15" s="200"/>
      <c r="D15" s="200"/>
      <c r="E15" s="180"/>
      <c r="F15" s="201"/>
      <c r="G15" s="200"/>
      <c r="H15" s="200"/>
      <c r="I15" s="200"/>
      <c r="J15" s="200"/>
      <c r="K15" s="215"/>
      <c r="L15" s="237"/>
      <c r="M15" s="214"/>
    </row>
  </sheetData>
  <mergeCells count="12">
    <mergeCell ref="B3:C3"/>
    <mergeCell ref="B4:E4"/>
    <mergeCell ref="F4:I4"/>
    <mergeCell ref="A5:C5"/>
    <mergeCell ref="D5:F5"/>
    <mergeCell ref="G5:I5"/>
    <mergeCell ref="E1:F1"/>
    <mergeCell ref="G1:H1"/>
    <mergeCell ref="J1:L1"/>
    <mergeCell ref="B2:C2"/>
    <mergeCell ref="E2:H2"/>
    <mergeCell ref="J2:M2"/>
  </mergeCells>
  <phoneticPr fontId="84" type="noConversion"/>
  <pageMargins left="0.75" right="0.75" top="1" bottom="1" header="0.51" footer="0.51"/>
  <pageSetup paperSize="9" orientation="portrait" horizontalDpi="0" verticalDpi="0"/>
</worksheet>
</file>

<file path=xl/worksheets/sheet2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topLeftCell="A7" zoomScale="85" zoomScaleNormal="85" zoomScaleSheetLayoutView="100" workbookViewId="0">
      <selection activeCell="K14" sqref="K14"/>
    </sheetView>
  </sheetViews>
  <sheetFormatPr defaultColWidth="9" defaultRowHeight="14.25"/>
  <cols>
    <col min="1" max="12" width="14.625" customWidth="1"/>
    <col min="13" max="13" width="29.375" customWidth="1"/>
  </cols>
  <sheetData>
    <row r="1" spans="1:13" ht="54.95" customHeight="1">
      <c r="A1" s="130"/>
      <c r="B1" s="194"/>
      <c r="C1" s="195" t="s">
        <v>1388</v>
      </c>
      <c r="D1" s="131" t="s">
        <v>236</v>
      </c>
      <c r="E1" s="2095"/>
      <c r="F1" s="2095"/>
      <c r="G1" s="2263"/>
      <c r="H1" s="2263"/>
      <c r="I1" s="164" t="s">
        <v>4342</v>
      </c>
      <c r="J1" s="2229"/>
      <c r="K1" s="2229"/>
      <c r="L1" s="2229"/>
      <c r="M1" s="203"/>
    </row>
    <row r="2" spans="1:13" ht="54.95" customHeight="1">
      <c r="A2" s="133" t="s">
        <v>240</v>
      </c>
      <c r="B2" s="1682" t="s">
        <v>4702</v>
      </c>
      <c r="C2" s="1682"/>
      <c r="D2" s="134" t="s">
        <v>242</v>
      </c>
      <c r="E2" s="1706"/>
      <c r="F2" s="1706"/>
      <c r="G2" s="1706"/>
      <c r="H2" s="1706"/>
      <c r="I2" s="166" t="s">
        <v>243</v>
      </c>
      <c r="J2" s="1707"/>
      <c r="K2" s="1708"/>
      <c r="L2" s="166" t="s">
        <v>245</v>
      </c>
      <c r="M2" s="205"/>
    </row>
    <row r="3" spans="1:13" ht="54.95" customHeight="1">
      <c r="A3" s="133" t="s">
        <v>247</v>
      </c>
      <c r="B3" s="1682" t="s">
        <v>4703</v>
      </c>
      <c r="C3" s="1682"/>
      <c r="D3" s="134" t="s">
        <v>249</v>
      </c>
      <c r="E3" s="197"/>
      <c r="F3" s="134" t="s">
        <v>251</v>
      </c>
      <c r="G3" s="134"/>
      <c r="H3" s="134" t="s">
        <v>252</v>
      </c>
      <c r="I3" s="206"/>
      <c r="J3" s="41" t="s">
        <v>565</v>
      </c>
      <c r="K3" s="15"/>
      <c r="L3" s="15" t="s">
        <v>255</v>
      </c>
      <c r="M3" s="207"/>
    </row>
    <row r="4" spans="1:13" ht="54.95" customHeight="1">
      <c r="A4" s="133" t="s">
        <v>260</v>
      </c>
      <c r="B4" s="1726"/>
      <c r="C4" s="1726"/>
      <c r="D4" s="1726"/>
      <c r="E4" s="1726"/>
      <c r="F4" s="1726"/>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42767</v>
      </c>
      <c r="B7" s="200">
        <v>40.5</v>
      </c>
      <c r="C7" s="200">
        <v>10711</v>
      </c>
      <c r="D7" s="200">
        <f>B7</f>
        <v>40.5</v>
      </c>
      <c r="E7" s="200">
        <f>C7</f>
        <v>10711</v>
      </c>
      <c r="F7" s="200"/>
      <c r="G7" s="180"/>
      <c r="H7" s="201"/>
      <c r="I7" s="200"/>
      <c r="J7" s="200"/>
      <c r="K7" s="200"/>
      <c r="L7" s="200">
        <f>E7-J7</f>
        <v>10711</v>
      </c>
      <c r="M7" s="210"/>
    </row>
    <row r="8" spans="1:13" ht="30" customHeight="1">
      <c r="A8" s="199">
        <v>42795</v>
      </c>
      <c r="B8" s="200">
        <v>55</v>
      </c>
      <c r="C8" s="200">
        <v>15728</v>
      </c>
      <c r="D8" s="200">
        <f t="shared" ref="D8:D13" si="0">B8+D7</f>
        <v>95.5</v>
      </c>
      <c r="E8" s="200">
        <f t="shared" ref="E8:E13" si="1">C8+E7</f>
        <v>26439</v>
      </c>
      <c r="F8" s="200"/>
      <c r="G8" s="180"/>
      <c r="H8" s="201"/>
      <c r="I8" s="200"/>
      <c r="J8" s="200"/>
      <c r="K8" s="200"/>
      <c r="L8" s="200">
        <f t="shared" ref="L8:L13" si="2">E8-J8</f>
        <v>26439</v>
      </c>
      <c r="M8" s="210"/>
    </row>
    <row r="9" spans="1:13" ht="30" customHeight="1">
      <c r="A9" s="199">
        <v>42826</v>
      </c>
      <c r="B9" s="200">
        <v>1237.5</v>
      </c>
      <c r="C9" s="200">
        <v>321750</v>
      </c>
      <c r="D9" s="200">
        <f t="shared" si="0"/>
        <v>1333</v>
      </c>
      <c r="E9" s="200">
        <f t="shared" si="1"/>
        <v>348189</v>
      </c>
      <c r="F9" s="200"/>
      <c r="G9" s="180"/>
      <c r="H9" s="201"/>
      <c r="I9" s="200"/>
      <c r="J9" s="200"/>
      <c r="K9" s="200"/>
      <c r="L9" s="200">
        <f t="shared" si="2"/>
        <v>348189</v>
      </c>
      <c r="M9" s="212"/>
    </row>
    <row r="10" spans="1:13" ht="30" customHeight="1">
      <c r="A10" s="199">
        <v>42856</v>
      </c>
      <c r="B10" s="200">
        <v>523.5</v>
      </c>
      <c r="C10" s="200">
        <v>136110</v>
      </c>
      <c r="D10" s="200">
        <f t="shared" si="0"/>
        <v>1856.5</v>
      </c>
      <c r="E10" s="200">
        <f t="shared" si="1"/>
        <v>484299</v>
      </c>
      <c r="F10" s="200"/>
      <c r="G10" s="180"/>
      <c r="H10" s="201"/>
      <c r="I10" s="200"/>
      <c r="J10" s="200"/>
      <c r="K10" s="200"/>
      <c r="L10" s="200">
        <f t="shared" si="2"/>
        <v>484299</v>
      </c>
      <c r="M10" s="212"/>
    </row>
    <row r="11" spans="1:13" ht="30" customHeight="1">
      <c r="A11" s="199">
        <v>42887</v>
      </c>
      <c r="B11" s="200">
        <v>843</v>
      </c>
      <c r="C11" s="200">
        <v>249557</v>
      </c>
      <c r="D11" s="200">
        <f t="shared" si="0"/>
        <v>2699.5</v>
      </c>
      <c r="E11" s="200">
        <f t="shared" si="1"/>
        <v>733856</v>
      </c>
      <c r="F11" s="200"/>
      <c r="G11" s="180"/>
      <c r="H11" s="201"/>
      <c r="I11" s="200"/>
      <c r="J11" s="200"/>
      <c r="K11" s="200"/>
      <c r="L11" s="200">
        <f t="shared" si="2"/>
        <v>733856</v>
      </c>
      <c r="M11" s="200"/>
    </row>
    <row r="12" spans="1:13" ht="30" customHeight="1">
      <c r="A12" s="199">
        <v>42917</v>
      </c>
      <c r="B12" s="200">
        <v>1256</v>
      </c>
      <c r="C12" s="235">
        <v>371034</v>
      </c>
      <c r="D12" s="200">
        <f t="shared" si="0"/>
        <v>3955.5</v>
      </c>
      <c r="E12" s="200">
        <f t="shared" si="1"/>
        <v>1104890</v>
      </c>
      <c r="F12" s="201"/>
      <c r="G12" s="200">
        <f>E12</f>
        <v>1104890</v>
      </c>
      <c r="H12" s="201"/>
      <c r="I12" s="200"/>
      <c r="J12" s="200"/>
      <c r="K12" s="215"/>
      <c r="L12" s="200">
        <f t="shared" si="2"/>
        <v>1104890</v>
      </c>
      <c r="M12" s="214"/>
    </row>
    <row r="13" spans="1:13" ht="30" customHeight="1">
      <c r="A13" s="217">
        <v>42948</v>
      </c>
      <c r="B13" s="200">
        <v>1617.5</v>
      </c>
      <c r="C13" s="242">
        <v>472997.5</v>
      </c>
      <c r="D13" s="200">
        <f t="shared" si="0"/>
        <v>5573</v>
      </c>
      <c r="E13" s="200">
        <f t="shared" si="1"/>
        <v>1577887.5</v>
      </c>
      <c r="F13" s="201"/>
      <c r="G13" s="200">
        <f>E13</f>
        <v>1577887.5</v>
      </c>
      <c r="H13" s="201"/>
      <c r="I13" s="200"/>
      <c r="J13" s="200"/>
      <c r="K13" s="200">
        <v>1577887.5</v>
      </c>
      <c r="L13" s="200">
        <f t="shared" si="2"/>
        <v>1577887.5</v>
      </c>
      <c r="M13" s="214"/>
    </row>
    <row r="14" spans="1:13" ht="30" customHeight="1">
      <c r="A14" s="217"/>
      <c r="B14" s="200"/>
      <c r="C14" s="242"/>
      <c r="D14" s="200"/>
      <c r="E14" s="200"/>
      <c r="F14" s="201"/>
      <c r="G14" s="200"/>
      <c r="H14" s="201"/>
      <c r="I14" s="200"/>
      <c r="J14" s="200"/>
      <c r="K14" s="215"/>
      <c r="L14" s="237"/>
      <c r="M14" s="214"/>
    </row>
    <row r="15" spans="1:13" ht="30" customHeight="1">
      <c r="A15" s="217"/>
      <c r="B15" s="200"/>
      <c r="C15" s="242"/>
      <c r="D15" s="200"/>
      <c r="E15" s="200"/>
      <c r="F15" s="201"/>
      <c r="G15" s="200"/>
      <c r="H15" s="201"/>
      <c r="I15" s="200"/>
      <c r="J15" s="200"/>
      <c r="K15" s="215"/>
      <c r="L15" s="237"/>
      <c r="M15" s="214"/>
    </row>
    <row r="16" spans="1:13" ht="30" customHeight="1">
      <c r="A16" s="202"/>
      <c r="B16" s="200"/>
      <c r="C16" s="200"/>
      <c r="D16" s="200"/>
      <c r="E16" s="180"/>
      <c r="F16" s="201"/>
      <c r="G16" s="200"/>
      <c r="H16" s="200"/>
      <c r="I16" s="200"/>
      <c r="J16" s="200"/>
      <c r="K16" s="215"/>
      <c r="L16" s="237"/>
      <c r="M16" s="214"/>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worksheet>
</file>

<file path=xl/worksheets/sheet2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B11" sqref="B11:M11"/>
    </sheetView>
  </sheetViews>
  <sheetFormatPr defaultColWidth="9" defaultRowHeight="14.25"/>
  <cols>
    <col min="1" max="12" width="14.625" customWidth="1"/>
    <col min="13" max="13" width="29.375" customWidth="1"/>
  </cols>
  <sheetData>
    <row r="1" spans="1:13" ht="75" customHeight="1">
      <c r="A1" s="130" t="s">
        <v>4704</v>
      </c>
      <c r="B1" s="194" t="s">
        <v>2040</v>
      </c>
      <c r="C1" s="238" t="s">
        <v>4705</v>
      </c>
      <c r="D1" s="131" t="s">
        <v>236</v>
      </c>
      <c r="E1" s="2095" t="s">
        <v>4706</v>
      </c>
      <c r="F1" s="2095"/>
      <c r="G1" s="2263" t="s">
        <v>4707</v>
      </c>
      <c r="H1" s="2263"/>
      <c r="I1" s="220" t="s">
        <v>4708</v>
      </c>
      <c r="J1" s="1701" t="s">
        <v>4709</v>
      </c>
      <c r="K1" s="1701"/>
      <c r="L1" s="1701"/>
      <c r="M1" s="239" t="s">
        <v>4710</v>
      </c>
    </row>
    <row r="2" spans="1:13" ht="105.95" customHeight="1">
      <c r="A2" s="133" t="s">
        <v>240</v>
      </c>
      <c r="B2" s="1682" t="s">
        <v>4711</v>
      </c>
      <c r="C2" s="1682"/>
      <c r="D2" s="134" t="s">
        <v>242</v>
      </c>
      <c r="E2" s="1706"/>
      <c r="F2" s="1706"/>
      <c r="G2" s="1706"/>
      <c r="H2" s="1706"/>
      <c r="I2" s="166" t="s">
        <v>425</v>
      </c>
      <c r="J2" s="2264" t="s">
        <v>4712</v>
      </c>
      <c r="K2" s="2265"/>
      <c r="L2" s="2265"/>
      <c r="M2" s="2266"/>
    </row>
    <row r="3" spans="1:13" ht="54.95" customHeight="1">
      <c r="A3" s="133" t="s">
        <v>247</v>
      </c>
      <c r="B3" s="1682" t="s">
        <v>4713</v>
      </c>
      <c r="C3" s="1682"/>
      <c r="D3" s="134" t="s">
        <v>249</v>
      </c>
      <c r="E3" s="197" t="s">
        <v>985</v>
      </c>
      <c r="F3" s="134" t="s">
        <v>251</v>
      </c>
      <c r="G3" s="134" t="s">
        <v>4714</v>
      </c>
      <c r="H3" s="134"/>
      <c r="I3" s="206"/>
      <c r="J3" s="166" t="s">
        <v>243</v>
      </c>
      <c r="K3" s="240">
        <v>0.03</v>
      </c>
      <c r="L3" s="166" t="s">
        <v>245</v>
      </c>
      <c r="M3" s="241" t="s">
        <v>4715</v>
      </c>
    </row>
    <row r="4" spans="1:13" ht="81" customHeight="1">
      <c r="A4" s="133" t="s">
        <v>260</v>
      </c>
      <c r="B4" s="1697" t="s">
        <v>4716</v>
      </c>
      <c r="C4" s="1697"/>
      <c r="D4" s="1697"/>
      <c r="E4" s="1697"/>
      <c r="F4" s="1697" t="s">
        <v>4717</v>
      </c>
      <c r="G4" s="1697"/>
      <c r="H4" s="1697"/>
      <c r="I4" s="1697"/>
      <c r="J4" s="41" t="s">
        <v>565</v>
      </c>
      <c r="K4" s="168" t="s">
        <v>4718</v>
      </c>
      <c r="L4" s="15" t="s">
        <v>255</v>
      </c>
      <c r="M4" s="207" t="s">
        <v>4718</v>
      </c>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t="s">
        <v>4719</v>
      </c>
      <c r="B7" s="200">
        <v>17506.5</v>
      </c>
      <c r="C7" s="200">
        <v>5358784.17</v>
      </c>
      <c r="D7" s="200">
        <f>B7</f>
        <v>17506.5</v>
      </c>
      <c r="E7" s="200">
        <f>C7</f>
        <v>5358784.17</v>
      </c>
      <c r="F7" s="200"/>
      <c r="G7" s="180">
        <f>E7</f>
        <v>5358784.17</v>
      </c>
      <c r="H7" s="201"/>
      <c r="I7" s="200"/>
      <c r="J7" s="200"/>
      <c r="K7" s="200"/>
      <c r="L7" s="200">
        <f>E7-J7</f>
        <v>5358784.17</v>
      </c>
      <c r="M7" s="210"/>
    </row>
    <row r="8" spans="1:13" ht="30" customHeight="1">
      <c r="A8" s="199" t="s">
        <v>4664</v>
      </c>
      <c r="B8" s="200">
        <v>3960</v>
      </c>
      <c r="C8" s="200">
        <v>1309643.49</v>
      </c>
      <c r="D8" s="200">
        <f>D7+B8</f>
        <v>21466.5</v>
      </c>
      <c r="E8" s="200">
        <f>E7+C8</f>
        <v>6668427.6600000001</v>
      </c>
      <c r="F8" s="200"/>
      <c r="G8" s="180">
        <f>E7*0.3+C8</f>
        <v>2917278.7409999999</v>
      </c>
      <c r="H8" s="201"/>
      <c r="I8" s="200">
        <v>3751148.92</v>
      </c>
      <c r="J8" s="200">
        <f>I8</f>
        <v>3751148.92</v>
      </c>
      <c r="K8" s="200">
        <f>K7+H8-I8</f>
        <v>-3751148.92</v>
      </c>
      <c r="L8" s="200">
        <f>E8-J8</f>
        <v>2917278.74</v>
      </c>
      <c r="M8" s="210" t="s">
        <v>4720</v>
      </c>
    </row>
    <row r="9" spans="1:13" ht="30" customHeight="1">
      <c r="A9" s="199"/>
      <c r="B9" s="200"/>
      <c r="C9" s="200"/>
      <c r="D9" s="200"/>
      <c r="E9" s="200"/>
      <c r="F9" s="200"/>
      <c r="G9" s="180"/>
      <c r="H9" s="226">
        <f>C7*0.7</f>
        <v>3751148.9189999998</v>
      </c>
      <c r="I9" s="200"/>
      <c r="J9" s="200"/>
      <c r="K9" s="200">
        <f>K8+H9-I9</f>
        <v>-1.0000001639127731E-3</v>
      </c>
      <c r="L9" s="200"/>
      <c r="M9" s="212"/>
    </row>
    <row r="10" spans="1:13" ht="30" customHeight="1">
      <c r="A10" s="199"/>
      <c r="B10" s="200"/>
      <c r="C10" s="200"/>
      <c r="D10" s="200"/>
      <c r="E10" s="200"/>
      <c r="F10" s="200"/>
      <c r="G10" s="180"/>
      <c r="H10" s="226">
        <f>C8*0.7</f>
        <v>916750.44299999997</v>
      </c>
      <c r="I10" s="200"/>
      <c r="J10" s="200"/>
      <c r="K10" s="200">
        <f>K9+H10-I10</f>
        <v>916750.44199999981</v>
      </c>
      <c r="L10" s="200"/>
      <c r="M10" s="212"/>
    </row>
    <row r="11" spans="1:13" ht="30" customHeight="1">
      <c r="A11" s="199">
        <v>42979</v>
      </c>
      <c r="B11" s="200">
        <v>3960</v>
      </c>
      <c r="C11" s="200">
        <v>1309643.49</v>
      </c>
      <c r="D11" s="200">
        <v>21466.5</v>
      </c>
      <c r="E11" s="200">
        <v>6668427.6600000001</v>
      </c>
      <c r="F11" s="200"/>
      <c r="G11" s="180">
        <v>2917278.7409999999</v>
      </c>
      <c r="H11" s="226"/>
      <c r="I11" s="200">
        <v>3751148.92</v>
      </c>
      <c r="J11" s="200">
        <v>3751148.92</v>
      </c>
      <c r="K11" s="200">
        <v>-3751148.92</v>
      </c>
      <c r="L11" s="200">
        <v>2917278.74</v>
      </c>
      <c r="M11" s="212" t="s">
        <v>4720</v>
      </c>
    </row>
    <row r="12" spans="1:13" ht="30" customHeight="1">
      <c r="A12" s="199"/>
      <c r="B12" s="200"/>
      <c r="C12" s="212"/>
      <c r="D12" s="200"/>
      <c r="E12" s="180"/>
      <c r="F12" s="201"/>
      <c r="G12" s="200"/>
      <c r="H12" s="201"/>
      <c r="I12" s="200"/>
      <c r="J12" s="200"/>
      <c r="K12" s="215"/>
      <c r="L12" s="237"/>
      <c r="M12" s="214"/>
    </row>
    <row r="13" spans="1:13" ht="30" customHeight="1">
      <c r="A13" s="202"/>
      <c r="B13" s="200"/>
      <c r="C13" s="200"/>
      <c r="D13" s="200"/>
      <c r="E13" s="180"/>
      <c r="F13" s="201"/>
      <c r="G13" s="200"/>
      <c r="H13" s="200"/>
      <c r="I13" s="200"/>
      <c r="J13" s="200"/>
      <c r="K13" s="215"/>
      <c r="L13" s="237"/>
      <c r="M13" s="214"/>
    </row>
  </sheetData>
  <mergeCells count="12">
    <mergeCell ref="B3:C3"/>
    <mergeCell ref="B4:E4"/>
    <mergeCell ref="F4:I4"/>
    <mergeCell ref="A5:C5"/>
    <mergeCell ref="D5:F5"/>
    <mergeCell ref="G5:I5"/>
    <mergeCell ref="E1:F1"/>
    <mergeCell ref="G1:H1"/>
    <mergeCell ref="J1:L1"/>
    <mergeCell ref="B2:C2"/>
    <mergeCell ref="E2:H2"/>
    <mergeCell ref="J2:M2"/>
  </mergeCells>
  <phoneticPr fontId="84" type="noConversion"/>
  <pageMargins left="0.75" right="0.75" top="1" bottom="1" header="0.51" footer="0.51"/>
  <pageSetup paperSize="9" orientation="portrait" horizontalDpi="0" verticalDpi="0"/>
</worksheet>
</file>

<file path=xl/worksheets/sheet2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2" width="14.625" customWidth="1"/>
    <col min="13" max="13" width="29.375" customWidth="1"/>
  </cols>
  <sheetData>
    <row r="1" spans="1:13" ht="54.95" customHeight="1">
      <c r="A1" s="130"/>
      <c r="B1" s="194"/>
      <c r="C1" s="238" t="s">
        <v>4721</v>
      </c>
      <c r="D1" s="131" t="s">
        <v>236</v>
      </c>
      <c r="E1" s="2095"/>
      <c r="F1" s="2095"/>
      <c r="G1" s="2263"/>
      <c r="H1" s="2263"/>
      <c r="I1" s="164" t="s">
        <v>4342</v>
      </c>
      <c r="J1" s="1701" t="s">
        <v>4722</v>
      </c>
      <c r="K1" s="1701"/>
      <c r="L1" s="1701"/>
      <c r="M1" s="203" t="s">
        <v>4723</v>
      </c>
    </row>
    <row r="2" spans="1:13" ht="54.95" customHeight="1">
      <c r="A2" s="133" t="s">
        <v>240</v>
      </c>
      <c r="B2" s="1682" t="s">
        <v>4724</v>
      </c>
      <c r="C2" s="1682"/>
      <c r="D2" s="134" t="s">
        <v>242</v>
      </c>
      <c r="E2" s="1706"/>
      <c r="F2" s="1706"/>
      <c r="G2" s="1706"/>
      <c r="H2" s="1706"/>
      <c r="I2" s="166" t="s">
        <v>243</v>
      </c>
      <c r="J2" s="1707" t="s">
        <v>4725</v>
      </c>
      <c r="K2" s="1708"/>
      <c r="L2" s="166" t="s">
        <v>245</v>
      </c>
      <c r="M2" s="205" t="s">
        <v>2018</v>
      </c>
    </row>
    <row r="3" spans="1:13" ht="54.95" customHeight="1">
      <c r="A3" s="133" t="s">
        <v>247</v>
      </c>
      <c r="B3" s="1682" t="s">
        <v>4726</v>
      </c>
      <c r="C3" s="1682"/>
      <c r="D3" s="134" t="s">
        <v>249</v>
      </c>
      <c r="E3" s="197" t="s">
        <v>4727</v>
      </c>
      <c r="F3" s="134" t="s">
        <v>251</v>
      </c>
      <c r="G3" s="134"/>
      <c r="H3" s="134" t="s">
        <v>252</v>
      </c>
      <c r="I3" s="206"/>
      <c r="J3" s="41" t="s">
        <v>565</v>
      </c>
      <c r="K3" s="15" t="s">
        <v>4728</v>
      </c>
      <c r="L3" s="15" t="s">
        <v>255</v>
      </c>
      <c r="M3" s="207" t="s">
        <v>4728</v>
      </c>
    </row>
    <row r="4" spans="1:13" ht="54.95" customHeight="1">
      <c r="A4" s="133" t="s">
        <v>260</v>
      </c>
      <c r="B4" s="1726" t="s">
        <v>4729</v>
      </c>
      <c r="C4" s="1726"/>
      <c r="D4" s="1726"/>
      <c r="E4" s="1726"/>
      <c r="F4" s="1726" t="s">
        <v>2368</v>
      </c>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42917</v>
      </c>
      <c r="B7" s="200">
        <v>3</v>
      </c>
      <c r="C7" s="200">
        <v>945</v>
      </c>
      <c r="D7" s="200">
        <f>B7</f>
        <v>3</v>
      </c>
      <c r="E7" s="200">
        <f>C7</f>
        <v>945</v>
      </c>
      <c r="F7" s="200"/>
      <c r="G7" s="180"/>
      <c r="H7" s="201"/>
      <c r="I7" s="200"/>
      <c r="J7" s="200"/>
      <c r="K7" s="200"/>
      <c r="L7" s="200">
        <f>E7-J7</f>
        <v>945</v>
      </c>
      <c r="M7" s="210"/>
    </row>
    <row r="8" spans="1:13" ht="30" customHeight="1">
      <c r="A8" s="199">
        <v>42948</v>
      </c>
      <c r="B8" s="200">
        <v>20.5</v>
      </c>
      <c r="C8" s="200">
        <v>7110</v>
      </c>
      <c r="D8" s="200">
        <f>B8+D7</f>
        <v>23.5</v>
      </c>
      <c r="E8" s="200">
        <f>C8+E7</f>
        <v>8055</v>
      </c>
      <c r="F8" s="200"/>
      <c r="G8" s="180"/>
      <c r="H8" s="201">
        <f>C7</f>
        <v>945</v>
      </c>
      <c r="I8" s="200"/>
      <c r="J8" s="200"/>
      <c r="K8" s="200">
        <f>K7+H8-I8</f>
        <v>945</v>
      </c>
      <c r="L8" s="200">
        <f>E8-J8</f>
        <v>8055</v>
      </c>
      <c r="M8" s="210"/>
    </row>
    <row r="9" spans="1:13" ht="30" customHeight="1">
      <c r="A9" s="199"/>
      <c r="B9" s="200"/>
      <c r="C9" s="200"/>
      <c r="D9" s="200"/>
      <c r="E9" s="200"/>
      <c r="F9" s="200"/>
      <c r="G9" s="180"/>
      <c r="H9" s="201">
        <f>C8</f>
        <v>7110</v>
      </c>
      <c r="I9" s="200"/>
      <c r="J9" s="200"/>
      <c r="K9" s="200">
        <f>K8+H9-I9</f>
        <v>8055</v>
      </c>
      <c r="L9" s="200">
        <f>E9-J9</f>
        <v>0</v>
      </c>
      <c r="M9" s="212"/>
    </row>
    <row r="10" spans="1:13" ht="30" customHeight="1">
      <c r="A10" s="199"/>
      <c r="B10" s="200"/>
      <c r="C10" s="200"/>
      <c r="D10" s="200"/>
      <c r="E10" s="200"/>
      <c r="F10" s="200"/>
      <c r="G10" s="180"/>
      <c r="H10" s="201"/>
      <c r="I10" s="200"/>
      <c r="J10" s="200"/>
      <c r="K10" s="200"/>
      <c r="L10" s="200"/>
      <c r="M10" s="212"/>
    </row>
    <row r="11" spans="1:13" ht="30" customHeight="1">
      <c r="A11" s="199"/>
      <c r="B11" s="200"/>
      <c r="C11" s="200"/>
      <c r="D11" s="200"/>
      <c r="E11" s="200"/>
      <c r="F11" s="200"/>
      <c r="G11" s="180"/>
      <c r="H11" s="201"/>
      <c r="I11" s="200"/>
      <c r="J11" s="200"/>
      <c r="K11" s="200"/>
      <c r="L11" s="200"/>
      <c r="M11" s="212"/>
    </row>
    <row r="12" spans="1:13" ht="30" customHeight="1">
      <c r="A12" s="199"/>
      <c r="B12" s="200"/>
      <c r="C12" s="212"/>
      <c r="D12" s="200"/>
      <c r="E12" s="180"/>
      <c r="F12" s="201"/>
      <c r="G12" s="200"/>
      <c r="H12" s="201"/>
      <c r="I12" s="200"/>
      <c r="J12" s="200"/>
      <c r="K12" s="215"/>
      <c r="L12" s="237"/>
      <c r="M12" s="214"/>
    </row>
    <row r="13" spans="1:13" ht="30" customHeight="1">
      <c r="A13" s="202"/>
      <c r="B13" s="200"/>
      <c r="C13" s="200"/>
      <c r="D13" s="200"/>
      <c r="E13" s="180"/>
      <c r="F13" s="201"/>
      <c r="G13" s="200"/>
      <c r="H13" s="200"/>
      <c r="I13" s="200"/>
      <c r="J13" s="200"/>
      <c r="K13" s="215"/>
      <c r="L13" s="237"/>
      <c r="M13" s="214"/>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pageSetup paperSize="9" orientation="portrait" horizontalDpi="0" verticalDpi="0"/>
</worksheet>
</file>

<file path=xl/worksheets/sheet2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opLeftCell="A7" zoomScaleSheetLayoutView="100" workbookViewId="0">
      <selection activeCell="A10" sqref="A10"/>
    </sheetView>
  </sheetViews>
  <sheetFormatPr defaultColWidth="9" defaultRowHeight="14.25"/>
  <cols>
    <col min="1" max="12" width="14.625" customWidth="1"/>
    <col min="13" max="13" width="29.375" customWidth="1"/>
  </cols>
  <sheetData>
    <row r="1" spans="1:13" ht="54.95" customHeight="1">
      <c r="A1" s="130"/>
      <c r="B1" s="194"/>
      <c r="C1" s="195" t="s">
        <v>1388</v>
      </c>
      <c r="D1" s="131" t="s">
        <v>236</v>
      </c>
      <c r="E1" s="2095"/>
      <c r="F1" s="2095"/>
      <c r="G1" s="2263"/>
      <c r="H1" s="2263"/>
      <c r="I1" s="164" t="s">
        <v>4342</v>
      </c>
      <c r="J1" s="2229"/>
      <c r="K1" s="2229"/>
      <c r="L1" s="2229"/>
      <c r="M1" s="203"/>
    </row>
    <row r="2" spans="1:13" ht="54.95" customHeight="1">
      <c r="A2" s="133" t="s">
        <v>240</v>
      </c>
      <c r="B2" s="1682"/>
      <c r="C2" s="1682"/>
      <c r="D2" s="134" t="s">
        <v>242</v>
      </c>
      <c r="E2" s="1706"/>
      <c r="F2" s="1706"/>
      <c r="G2" s="1706"/>
      <c r="H2" s="1706"/>
      <c r="I2" s="166" t="s">
        <v>243</v>
      </c>
      <c r="J2" s="1707"/>
      <c r="K2" s="1708"/>
      <c r="L2" s="166" t="s">
        <v>245</v>
      </c>
      <c r="M2" s="205"/>
    </row>
    <row r="3" spans="1:13" ht="54.95" customHeight="1">
      <c r="A3" s="133" t="s">
        <v>247</v>
      </c>
      <c r="B3" s="1682" t="s">
        <v>4730</v>
      </c>
      <c r="C3" s="1682"/>
      <c r="D3" s="134" t="s">
        <v>249</v>
      </c>
      <c r="E3" s="197"/>
      <c r="F3" s="134" t="s">
        <v>251</v>
      </c>
      <c r="G3" s="134"/>
      <c r="H3" s="134" t="s">
        <v>252</v>
      </c>
      <c r="I3" s="206"/>
      <c r="J3" s="41" t="s">
        <v>565</v>
      </c>
      <c r="K3" s="15"/>
      <c r="L3" s="15" t="s">
        <v>255</v>
      </c>
      <c r="M3" s="207"/>
    </row>
    <row r="4" spans="1:13" ht="54.95" customHeight="1">
      <c r="A4" s="133" t="s">
        <v>260</v>
      </c>
      <c r="B4" s="1726"/>
      <c r="C4" s="1726"/>
      <c r="D4" s="1726"/>
      <c r="E4" s="1726"/>
      <c r="F4" s="1726"/>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42887</v>
      </c>
      <c r="B7" s="200">
        <v>47.5</v>
      </c>
      <c r="C7" s="200">
        <f>B7*285</f>
        <v>13537.5</v>
      </c>
      <c r="D7" s="200">
        <f>B7</f>
        <v>47.5</v>
      </c>
      <c r="E7" s="200">
        <f>C7</f>
        <v>13537.5</v>
      </c>
      <c r="F7" s="200"/>
      <c r="G7" s="180"/>
      <c r="H7" s="201"/>
      <c r="I7" s="200"/>
      <c r="J7" s="200"/>
      <c r="K7" s="200"/>
      <c r="L7" s="200">
        <f>E7-J7</f>
        <v>13537.5</v>
      </c>
      <c r="M7" s="210"/>
    </row>
    <row r="8" spans="1:13" ht="30" customHeight="1">
      <c r="A8" s="199">
        <v>42917</v>
      </c>
      <c r="B8" s="200">
        <v>41.5</v>
      </c>
      <c r="C8" s="200">
        <f>B8*280</f>
        <v>11620</v>
      </c>
      <c r="D8" s="200">
        <f>D7+B8</f>
        <v>89</v>
      </c>
      <c r="E8" s="200">
        <f>E7+C8</f>
        <v>25157.5</v>
      </c>
      <c r="F8" s="200"/>
      <c r="G8" s="180"/>
      <c r="H8" s="201">
        <f>C7</f>
        <v>13537.5</v>
      </c>
      <c r="I8" s="200"/>
      <c r="J8" s="200"/>
      <c r="K8" s="200">
        <f>K7+H8-I8</f>
        <v>13537.5</v>
      </c>
      <c r="L8" s="200">
        <f>E8-J8</f>
        <v>25157.5</v>
      </c>
      <c r="M8" s="212"/>
    </row>
    <row r="9" spans="1:13" ht="30" customHeight="1">
      <c r="A9" s="199">
        <v>42948</v>
      </c>
      <c r="B9" s="200">
        <v>52</v>
      </c>
      <c r="C9" s="200">
        <f>B9*280</f>
        <v>14560</v>
      </c>
      <c r="D9" s="200">
        <f>D8+B9</f>
        <v>141</v>
      </c>
      <c r="E9" s="200">
        <f>E8+C9</f>
        <v>39717.5</v>
      </c>
      <c r="F9" s="200"/>
      <c r="G9" s="180"/>
      <c r="H9" s="201">
        <f>C8</f>
        <v>11620</v>
      </c>
      <c r="I9" s="200"/>
      <c r="J9" s="200"/>
      <c r="K9" s="200">
        <f>K8+H9-I9</f>
        <v>25157.5</v>
      </c>
      <c r="L9" s="200">
        <f>E9-J9</f>
        <v>39717.5</v>
      </c>
      <c r="M9" s="212"/>
    </row>
    <row r="10" spans="1:13" ht="30" customHeight="1">
      <c r="A10" s="199"/>
      <c r="B10" s="200"/>
      <c r="C10" s="200"/>
      <c r="D10" s="200"/>
      <c r="E10" s="200"/>
      <c r="F10" s="200"/>
      <c r="G10" s="180"/>
      <c r="H10" s="201">
        <f>C9</f>
        <v>14560</v>
      </c>
      <c r="I10" s="200"/>
      <c r="J10" s="200"/>
      <c r="K10" s="200">
        <f>K9+H10-I10</f>
        <v>39717.5</v>
      </c>
      <c r="L10" s="200"/>
      <c r="M10" s="212"/>
    </row>
    <row r="11" spans="1:13" ht="30" customHeight="1">
      <c r="A11" s="199"/>
      <c r="B11" s="200"/>
      <c r="C11" s="212"/>
      <c r="D11" s="200"/>
      <c r="E11" s="180"/>
      <c r="F11" s="201"/>
      <c r="G11" s="200"/>
      <c r="H11" s="201"/>
      <c r="I11" s="200"/>
      <c r="J11" s="200"/>
      <c r="K11" s="215"/>
      <c r="L11" s="237"/>
      <c r="M11" s="214"/>
    </row>
    <row r="12" spans="1:13" ht="30" customHeight="1">
      <c r="A12" s="202"/>
      <c r="B12" s="200"/>
      <c r="C12" s="200"/>
      <c r="D12" s="200"/>
      <c r="E12" s="180"/>
      <c r="F12" s="201"/>
      <c r="G12" s="200"/>
      <c r="H12" s="200"/>
      <c r="I12" s="200"/>
      <c r="J12" s="200"/>
      <c r="K12" s="215"/>
      <c r="L12" s="237"/>
      <c r="M12" s="214"/>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29"/>
  <sheetViews>
    <sheetView topLeftCell="A7" zoomScaleSheetLayoutView="100" workbookViewId="0">
      <selection activeCell="B11" sqref="B11:M11"/>
    </sheetView>
  </sheetViews>
  <sheetFormatPr defaultColWidth="9" defaultRowHeight="14.25"/>
  <cols>
    <col min="1" max="1" width="13.5" customWidth="1"/>
    <col min="2" max="3" width="16.5" customWidth="1"/>
    <col min="4" max="4" width="17.875" customWidth="1"/>
    <col min="5"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t="s">
        <v>729</v>
      </c>
      <c r="C1" s="1405" t="s">
        <v>730</v>
      </c>
      <c r="D1" s="1175"/>
      <c r="E1" s="1034" t="s">
        <v>236</v>
      </c>
      <c r="F1" s="1406"/>
      <c r="G1" s="656" t="s">
        <v>351</v>
      </c>
      <c r="H1" s="1407"/>
      <c r="I1" s="1652" t="s">
        <v>237</v>
      </c>
      <c r="J1" s="1656" t="s">
        <v>731</v>
      </c>
      <c r="K1" s="1657"/>
      <c r="L1" s="1658"/>
      <c r="M1" s="1654" t="s">
        <v>732</v>
      </c>
    </row>
    <row r="2" spans="1:13" ht="60" customHeight="1">
      <c r="A2" s="39" t="s">
        <v>240</v>
      </c>
      <c r="B2" s="1637" t="s">
        <v>698</v>
      </c>
      <c r="C2" s="1637"/>
      <c r="D2" s="41" t="s">
        <v>242</v>
      </c>
      <c r="E2" s="1666"/>
      <c r="F2" s="1667"/>
      <c r="G2" s="41" t="s">
        <v>243</v>
      </c>
      <c r="H2" s="1408">
        <v>0.03</v>
      </c>
      <c r="I2" s="1653"/>
      <c r="J2" s="1659"/>
      <c r="K2" s="1660"/>
      <c r="L2" s="1661"/>
      <c r="M2" s="1655"/>
    </row>
    <row r="3" spans="1:13" ht="87.95" customHeight="1">
      <c r="A3" s="39" t="s">
        <v>247</v>
      </c>
      <c r="B3" s="1637" t="s">
        <v>733</v>
      </c>
      <c r="C3" s="1637"/>
      <c r="D3" s="41" t="s">
        <v>249</v>
      </c>
      <c r="E3" s="186" t="s">
        <v>734</v>
      </c>
      <c r="F3" s="41" t="s">
        <v>251</v>
      </c>
      <c r="G3" s="41"/>
      <c r="H3" s="41" t="s">
        <v>252</v>
      </c>
      <c r="I3" s="90" t="s">
        <v>425</v>
      </c>
      <c r="J3" s="1731" t="s">
        <v>735</v>
      </c>
      <c r="K3" s="1731"/>
      <c r="L3" s="1731"/>
      <c r="M3" s="1732"/>
    </row>
    <row r="4" spans="1:13" ht="47.25" customHeight="1">
      <c r="A4" s="39" t="s">
        <v>257</v>
      </c>
      <c r="B4" s="1637"/>
      <c r="C4" s="1637"/>
      <c r="D4" s="1637"/>
      <c r="E4" s="43" t="s">
        <v>258</v>
      </c>
      <c r="F4" s="1638"/>
      <c r="G4" s="1638"/>
      <c r="H4" s="1638"/>
      <c r="I4" s="90"/>
      <c r="J4" s="91" t="s">
        <v>253</v>
      </c>
      <c r="K4" s="40"/>
      <c r="L4" s="15" t="s">
        <v>255</v>
      </c>
      <c r="M4" s="105" t="s">
        <v>736</v>
      </c>
    </row>
    <row r="5" spans="1:13" ht="102.95" customHeight="1">
      <c r="A5" s="1036" t="s">
        <v>260</v>
      </c>
      <c r="B5" s="1664" t="s">
        <v>726</v>
      </c>
      <c r="C5" s="1664"/>
      <c r="D5" s="1664"/>
      <c r="E5" s="1734" t="s">
        <v>703</v>
      </c>
      <c r="F5" s="1735"/>
      <c r="G5" s="1735"/>
      <c r="H5" s="1736"/>
      <c r="I5" s="1637"/>
      <c r="J5" s="1637"/>
      <c r="K5" s="15"/>
      <c r="L5" s="41" t="s">
        <v>360</v>
      </c>
      <c r="M5" s="105" t="s">
        <v>402</v>
      </c>
    </row>
    <row r="6" spans="1:13" ht="30.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t="s">
        <v>737</v>
      </c>
      <c r="B7" s="1067">
        <v>3283.5</v>
      </c>
      <c r="C7" s="1248">
        <v>1009393</v>
      </c>
      <c r="D7" s="1067">
        <f>+B7</f>
        <v>3283.5</v>
      </c>
      <c r="E7" s="1067">
        <f>C7</f>
        <v>1009393</v>
      </c>
      <c r="F7" s="1410"/>
      <c r="G7" s="1245">
        <f>E7</f>
        <v>1009393</v>
      </c>
      <c r="H7" s="1411"/>
      <c r="I7" s="1415"/>
      <c r="J7" s="1415">
        <f>I7</f>
        <v>0</v>
      </c>
      <c r="K7" s="1416"/>
      <c r="L7" s="1417">
        <f>E7-J7</f>
        <v>1009393</v>
      </c>
      <c r="M7" s="1165"/>
    </row>
    <row r="8" spans="1:13" ht="36" customHeight="1">
      <c r="A8" s="1409" t="s">
        <v>738</v>
      </c>
      <c r="B8" s="1067">
        <v>3969</v>
      </c>
      <c r="C8" s="1248">
        <v>1313500</v>
      </c>
      <c r="D8" s="1067">
        <f>D7+B8</f>
        <v>7252.5</v>
      </c>
      <c r="E8" s="1067">
        <f>C8+E7</f>
        <v>2322893</v>
      </c>
      <c r="F8" s="1412"/>
      <c r="G8" s="1245">
        <f>E7*0.3+C8</f>
        <v>1616317.9</v>
      </c>
      <c r="H8" s="1411"/>
      <c r="I8" s="1418"/>
      <c r="J8" s="1415"/>
      <c r="K8" s="1416">
        <f>K7+H8-I8</f>
        <v>0</v>
      </c>
      <c r="L8" s="1417">
        <f>E8-J8</f>
        <v>2322893</v>
      </c>
      <c r="M8" s="1199"/>
    </row>
    <row r="9" spans="1:13" ht="36" customHeight="1">
      <c r="A9" s="1409" t="s">
        <v>739</v>
      </c>
      <c r="B9" s="1067">
        <v>926</v>
      </c>
      <c r="C9" s="1067">
        <v>303768</v>
      </c>
      <c r="D9" s="1067">
        <f>D8+B9</f>
        <v>8178.5</v>
      </c>
      <c r="E9" s="1067">
        <f>C9+E8</f>
        <v>2626661</v>
      </c>
      <c r="F9" s="1412"/>
      <c r="G9" s="1245">
        <f>E8*0.3+C9</f>
        <v>1000635.9</v>
      </c>
      <c r="H9" s="1411">
        <f>C7*0.7</f>
        <v>706575.1</v>
      </c>
      <c r="I9" s="1418"/>
      <c r="J9" s="1418"/>
      <c r="K9" s="1416">
        <f>K8+H9-I9</f>
        <v>706575.1</v>
      </c>
      <c r="L9" s="1417">
        <f>E9-J9</f>
        <v>2626661</v>
      </c>
      <c r="M9" s="412"/>
    </row>
    <row r="10" spans="1:13" ht="36" customHeight="1">
      <c r="A10" s="1413"/>
      <c r="B10" s="1067"/>
      <c r="C10" s="1067"/>
      <c r="D10" s="1067"/>
      <c r="E10" s="1067"/>
      <c r="F10" s="1067"/>
      <c r="G10" s="1245"/>
      <c r="H10" s="1411">
        <f>C8*0.7</f>
        <v>919449.99999999988</v>
      </c>
      <c r="I10" s="1418"/>
      <c r="J10" s="1418"/>
      <c r="K10" s="1416">
        <f>K9+H10-I10</f>
        <v>1626025.0999999999</v>
      </c>
      <c r="L10" s="1417"/>
      <c r="M10" s="412"/>
    </row>
    <row r="11" spans="1:13" ht="36" customHeight="1">
      <c r="A11" s="1413">
        <v>42979</v>
      </c>
      <c r="B11" s="1067">
        <v>926</v>
      </c>
      <c r="C11" s="1067">
        <v>303768</v>
      </c>
      <c r="D11" s="1067">
        <v>8178.5</v>
      </c>
      <c r="E11" s="1067">
        <v>2626661</v>
      </c>
      <c r="F11" s="1067"/>
      <c r="G11" s="1245">
        <v>1000635.9</v>
      </c>
      <c r="H11" s="1411">
        <v>706575.1</v>
      </c>
      <c r="I11" s="1418"/>
      <c r="J11" s="1418"/>
      <c r="K11" s="1416">
        <v>706575.1</v>
      </c>
      <c r="L11" s="1417">
        <v>2626661</v>
      </c>
      <c r="M11" s="412"/>
    </row>
    <row r="12" spans="1:13" ht="36" customHeight="1">
      <c r="A12" s="1413"/>
      <c r="B12" s="1067"/>
      <c r="C12" s="1067"/>
      <c r="D12" s="1067"/>
      <c r="E12" s="1067"/>
      <c r="F12" s="1067"/>
      <c r="G12" s="1245"/>
      <c r="H12" s="1411"/>
      <c r="I12" s="1418"/>
      <c r="J12" s="1418"/>
      <c r="K12" s="1416"/>
      <c r="L12" s="259"/>
      <c r="M12" s="412"/>
    </row>
    <row r="13" spans="1:13" ht="36" customHeight="1">
      <c r="A13" s="1413"/>
      <c r="B13" s="1067"/>
      <c r="C13" s="1067"/>
      <c r="D13" s="1067"/>
      <c r="E13" s="1067"/>
      <c r="F13" s="1067"/>
      <c r="G13" s="1245"/>
      <c r="H13" s="1414"/>
      <c r="I13" s="1418"/>
      <c r="J13" s="1418"/>
      <c r="K13" s="1416"/>
      <c r="L13" s="259"/>
      <c r="M13" s="412"/>
    </row>
    <row r="14" spans="1:13" ht="36" customHeight="1">
      <c r="A14" s="1413"/>
      <c r="B14" s="1067"/>
      <c r="C14" s="1067"/>
      <c r="D14" s="1067"/>
      <c r="E14" s="1067"/>
      <c r="F14" s="1067"/>
      <c r="G14" s="1245"/>
      <c r="H14" s="1414"/>
      <c r="I14" s="1418"/>
      <c r="J14" s="1418"/>
      <c r="K14" s="1416"/>
      <c r="L14" s="259"/>
      <c r="M14" s="412"/>
    </row>
    <row r="29" spans="3:3">
      <c r="C29">
        <v>2692162</v>
      </c>
    </row>
  </sheetData>
  <mergeCells count="12">
    <mergeCell ref="M1:M2"/>
    <mergeCell ref="J1:L2"/>
    <mergeCell ref="B2:C2"/>
    <mergeCell ref="E2:F2"/>
    <mergeCell ref="B3:C3"/>
    <mergeCell ref="J3:M3"/>
    <mergeCell ref="B4:D4"/>
    <mergeCell ref="F4:H4"/>
    <mergeCell ref="B5:D5"/>
    <mergeCell ref="E5:H5"/>
    <mergeCell ref="I5:J5"/>
    <mergeCell ref="I1:I2"/>
  </mergeCells>
  <phoneticPr fontId="84" type="noConversion"/>
  <pageMargins left="0.75" right="0.75" top="1" bottom="1" header="0.51" footer="0.51"/>
  <pageSetup paperSize="9" orientation="portrait" verticalDpi="200"/>
  <headerFooter scaleWithDoc="0" alignWithMargins="0"/>
</worksheet>
</file>

<file path=xl/worksheets/sheet2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G10" sqref="G10"/>
    </sheetView>
  </sheetViews>
  <sheetFormatPr defaultColWidth="9" defaultRowHeight="14.25"/>
  <cols>
    <col min="1" max="12" width="14.625" customWidth="1"/>
    <col min="13" max="13" width="29.375" customWidth="1"/>
  </cols>
  <sheetData>
    <row r="1" spans="1:13" ht="54.95" customHeight="1">
      <c r="A1" s="130"/>
      <c r="B1" s="194"/>
      <c r="C1" s="195" t="s">
        <v>1388</v>
      </c>
      <c r="D1" s="131" t="s">
        <v>236</v>
      </c>
      <c r="E1" s="2095"/>
      <c r="F1" s="2095"/>
      <c r="G1" s="2263"/>
      <c r="H1" s="2263"/>
      <c r="I1" s="164" t="s">
        <v>4342</v>
      </c>
      <c r="J1" s="2229"/>
      <c r="K1" s="2229"/>
      <c r="L1" s="2229"/>
      <c r="M1" s="203"/>
    </row>
    <row r="2" spans="1:13" ht="54.95" customHeight="1">
      <c r="A2" s="133" t="s">
        <v>240</v>
      </c>
      <c r="B2" s="1682" t="s">
        <v>4389</v>
      </c>
      <c r="C2" s="1682"/>
      <c r="D2" s="134" t="s">
        <v>242</v>
      </c>
      <c r="E2" s="1706"/>
      <c r="F2" s="1706"/>
      <c r="G2" s="1706"/>
      <c r="H2" s="1706"/>
      <c r="I2" s="166" t="s">
        <v>243</v>
      </c>
      <c r="J2" s="1707"/>
      <c r="K2" s="1708"/>
      <c r="L2" s="166" t="s">
        <v>245</v>
      </c>
      <c r="M2" s="205"/>
    </row>
    <row r="3" spans="1:13" ht="54.95" customHeight="1">
      <c r="A3" s="133" t="s">
        <v>247</v>
      </c>
      <c r="B3" s="1682" t="s">
        <v>4731</v>
      </c>
      <c r="C3" s="1682"/>
      <c r="D3" s="134" t="s">
        <v>249</v>
      </c>
      <c r="E3" s="197"/>
      <c r="F3" s="134" t="s">
        <v>251</v>
      </c>
      <c r="G3" s="134"/>
      <c r="H3" s="134" t="s">
        <v>252</v>
      </c>
      <c r="I3" s="206"/>
      <c r="J3" s="41" t="s">
        <v>565</v>
      </c>
      <c r="K3" s="15"/>
      <c r="L3" s="15" t="s">
        <v>255</v>
      </c>
      <c r="M3" s="207"/>
    </row>
    <row r="4" spans="1:13" ht="54.95" customHeight="1">
      <c r="A4" s="133" t="s">
        <v>260</v>
      </c>
      <c r="B4" s="1726"/>
      <c r="C4" s="1726"/>
      <c r="D4" s="1726"/>
      <c r="E4" s="1726"/>
      <c r="F4" s="1726"/>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42917</v>
      </c>
      <c r="B7" s="200">
        <v>42</v>
      </c>
      <c r="C7" s="200">
        <f>B7*280</f>
        <v>11760</v>
      </c>
      <c r="D7" s="200">
        <f>B7</f>
        <v>42</v>
      </c>
      <c r="E7" s="200">
        <f>C7</f>
        <v>11760</v>
      </c>
      <c r="F7" s="200"/>
      <c r="G7" s="180">
        <f>E7</f>
        <v>11760</v>
      </c>
      <c r="H7" s="201"/>
      <c r="I7" s="200"/>
      <c r="J7" s="200"/>
      <c r="K7" s="200"/>
      <c r="L7" s="200">
        <f>E7-J7</f>
        <v>11760</v>
      </c>
      <c r="M7" s="210"/>
    </row>
    <row r="8" spans="1:13" ht="30" customHeight="1">
      <c r="A8" s="199">
        <v>42948</v>
      </c>
      <c r="B8" s="200">
        <v>1824</v>
      </c>
      <c r="C8" s="200">
        <f>B8*280</f>
        <v>510720</v>
      </c>
      <c r="D8" s="200">
        <f>D7+B8</f>
        <v>1866</v>
      </c>
      <c r="E8" s="200">
        <f>C8+E7</f>
        <v>522480</v>
      </c>
      <c r="F8" s="200"/>
      <c r="G8" s="180">
        <f>E8</f>
        <v>522480</v>
      </c>
      <c r="H8" s="201"/>
      <c r="I8" s="200"/>
      <c r="J8" s="200"/>
      <c r="K8" s="200"/>
      <c r="L8" s="200">
        <f>E8-J8</f>
        <v>522480</v>
      </c>
      <c r="M8" s="210"/>
    </row>
    <row r="9" spans="1:13" ht="30" customHeight="1">
      <c r="A9" s="199"/>
      <c r="B9" s="200"/>
      <c r="C9" s="200"/>
      <c r="D9" s="200"/>
      <c r="E9" s="200"/>
      <c r="F9" s="200"/>
      <c r="G9" s="180"/>
      <c r="H9" s="201"/>
      <c r="I9" s="200"/>
      <c r="J9" s="200"/>
      <c r="K9" s="200"/>
      <c r="L9" s="200">
        <f>E9-J9</f>
        <v>0</v>
      </c>
      <c r="M9" s="212"/>
    </row>
    <row r="10" spans="1:13" ht="30" customHeight="1">
      <c r="A10" s="199"/>
      <c r="B10" s="200"/>
      <c r="C10" s="200"/>
      <c r="D10" s="200"/>
      <c r="E10" s="200"/>
      <c r="F10" s="200"/>
      <c r="G10" s="180"/>
      <c r="H10" s="201"/>
      <c r="I10" s="200"/>
      <c r="J10" s="200"/>
      <c r="K10" s="200"/>
      <c r="L10" s="200"/>
      <c r="M10" s="212"/>
    </row>
    <row r="11" spans="1:13" ht="30" customHeight="1">
      <c r="A11" s="199"/>
      <c r="B11" s="200"/>
      <c r="C11" s="200"/>
      <c r="D11" s="200"/>
      <c r="E11" s="200"/>
      <c r="F11" s="200"/>
      <c r="G11" s="180"/>
      <c r="H11" s="201"/>
      <c r="I11" s="200"/>
      <c r="J11" s="200"/>
      <c r="K11" s="200"/>
      <c r="L11" s="200"/>
      <c r="M11" s="212"/>
    </row>
    <row r="12" spans="1:13" ht="30" customHeight="1">
      <c r="A12" s="199"/>
      <c r="B12" s="200"/>
      <c r="C12" s="212"/>
      <c r="D12" s="200"/>
      <c r="E12" s="180"/>
      <c r="F12" s="201"/>
      <c r="G12" s="200"/>
      <c r="H12" s="201"/>
      <c r="I12" s="200"/>
      <c r="J12" s="200"/>
      <c r="K12" s="215"/>
      <c r="L12" s="237"/>
      <c r="M12" s="214"/>
    </row>
    <row r="13" spans="1:13" ht="30" customHeight="1">
      <c r="A13" s="202"/>
      <c r="B13" s="200"/>
      <c r="C13" s="200"/>
      <c r="D13" s="200"/>
      <c r="E13" s="180"/>
      <c r="F13" s="201"/>
      <c r="G13" s="200"/>
      <c r="H13" s="200"/>
      <c r="I13" s="200"/>
      <c r="J13" s="200"/>
      <c r="K13" s="215"/>
      <c r="L13" s="237"/>
      <c r="M13" s="214"/>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worksheet>
</file>

<file path=xl/worksheets/sheet2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10" zoomScaleSheetLayoutView="100" workbookViewId="0">
      <selection activeCell="B16" sqref="B16:C16"/>
    </sheetView>
  </sheetViews>
  <sheetFormatPr defaultColWidth="9" defaultRowHeight="14.25"/>
  <cols>
    <col min="1" max="12" width="14.625" customWidth="1"/>
    <col min="13" max="13" width="29.375" customWidth="1"/>
  </cols>
  <sheetData>
    <row r="1" spans="1:13" ht="54.95" customHeight="1">
      <c r="A1" s="130" t="s">
        <v>556</v>
      </c>
      <c r="B1" s="194"/>
      <c r="C1" s="195" t="s">
        <v>1388</v>
      </c>
      <c r="D1" s="131" t="s">
        <v>236</v>
      </c>
      <c r="E1" s="2095"/>
      <c r="F1" s="2095"/>
      <c r="G1" s="2263"/>
      <c r="H1" s="2263"/>
      <c r="I1" s="164" t="s">
        <v>4342</v>
      </c>
      <c r="J1" s="2229" t="s">
        <v>4732</v>
      </c>
      <c r="K1" s="2229"/>
      <c r="L1" s="2229"/>
      <c r="M1" s="203"/>
    </row>
    <row r="2" spans="1:13" ht="54.95" customHeight="1">
      <c r="A2" s="133" t="s">
        <v>240</v>
      </c>
      <c r="B2" s="1682" t="s">
        <v>4733</v>
      </c>
      <c r="C2" s="1682"/>
      <c r="D2" s="134" t="s">
        <v>242</v>
      </c>
      <c r="E2" s="1706"/>
      <c r="F2" s="1706"/>
      <c r="G2" s="1706"/>
      <c r="H2" s="1706"/>
      <c r="I2" s="166" t="s">
        <v>243</v>
      </c>
      <c r="J2" s="1707"/>
      <c r="K2" s="1708"/>
      <c r="L2" s="166" t="s">
        <v>245</v>
      </c>
      <c r="M2" s="205"/>
    </row>
    <row r="3" spans="1:13" ht="54.95" customHeight="1">
      <c r="A3" s="133" t="s">
        <v>247</v>
      </c>
      <c r="B3" s="1682" t="s">
        <v>4734</v>
      </c>
      <c r="C3" s="1682"/>
      <c r="D3" s="134" t="s">
        <v>249</v>
      </c>
      <c r="E3" s="197"/>
      <c r="F3" s="134" t="s">
        <v>251</v>
      </c>
      <c r="G3" s="134"/>
      <c r="H3" s="134" t="s">
        <v>252</v>
      </c>
      <c r="I3" s="206"/>
      <c r="J3" s="41" t="s">
        <v>565</v>
      </c>
      <c r="K3" s="15"/>
      <c r="L3" s="15" t="s">
        <v>255</v>
      </c>
      <c r="M3" s="207"/>
    </row>
    <row r="4" spans="1:13" ht="54.95" customHeight="1">
      <c r="A4" s="133" t="s">
        <v>260</v>
      </c>
      <c r="B4" s="1726"/>
      <c r="C4" s="1726"/>
      <c r="D4" s="1726"/>
      <c r="E4" s="1726"/>
      <c r="F4" s="1726"/>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42370</v>
      </c>
      <c r="B7" s="200">
        <v>462</v>
      </c>
      <c r="C7" s="200">
        <v>120120</v>
      </c>
      <c r="D7" s="200">
        <f>B7</f>
        <v>462</v>
      </c>
      <c r="E7" s="200">
        <f>C7</f>
        <v>120120</v>
      </c>
      <c r="F7" s="200"/>
      <c r="G7" s="180"/>
      <c r="H7" s="201"/>
      <c r="I7" s="200"/>
      <c r="J7" s="200"/>
      <c r="K7" s="200"/>
      <c r="L7" s="200">
        <f t="shared" ref="L7:L16" si="0">E7-J7</f>
        <v>120120</v>
      </c>
      <c r="M7" s="210"/>
    </row>
    <row r="8" spans="1:13" ht="30" customHeight="1">
      <c r="A8" s="199">
        <v>42430</v>
      </c>
      <c r="B8" s="200">
        <v>394</v>
      </c>
      <c r="C8" s="200">
        <v>102040</v>
      </c>
      <c r="D8" s="200">
        <f t="shared" ref="D8:D16" si="1">B8+D7</f>
        <v>856</v>
      </c>
      <c r="E8" s="200">
        <f t="shared" ref="E8:E16" si="2">C8+E7</f>
        <v>222160</v>
      </c>
      <c r="F8" s="200"/>
      <c r="G8" s="180"/>
      <c r="H8" s="201">
        <f t="shared" ref="H8:H17" si="3">C7</f>
        <v>120120</v>
      </c>
      <c r="I8" s="200"/>
      <c r="J8" s="200"/>
      <c r="K8" s="200">
        <f t="shared" ref="K8:K17" si="4">K7+H8-I8</f>
        <v>120120</v>
      </c>
      <c r="L8" s="200">
        <f t="shared" si="0"/>
        <v>222160</v>
      </c>
      <c r="M8" s="210"/>
    </row>
    <row r="9" spans="1:13" ht="30" customHeight="1">
      <c r="A9" s="199">
        <v>42461</v>
      </c>
      <c r="B9" s="200">
        <v>1815</v>
      </c>
      <c r="C9" s="200">
        <v>422160</v>
      </c>
      <c r="D9" s="200">
        <f t="shared" si="1"/>
        <v>2671</v>
      </c>
      <c r="E9" s="200">
        <f t="shared" si="2"/>
        <v>644320</v>
      </c>
      <c r="F9" s="200"/>
      <c r="G9" s="180"/>
      <c r="H9" s="201">
        <f t="shared" si="3"/>
        <v>102040</v>
      </c>
      <c r="I9" s="200"/>
      <c r="J9" s="200"/>
      <c r="K9" s="200">
        <f t="shared" si="4"/>
        <v>222160</v>
      </c>
      <c r="L9" s="200">
        <f t="shared" si="0"/>
        <v>644320</v>
      </c>
      <c r="M9" s="212"/>
    </row>
    <row r="10" spans="1:13" ht="30" customHeight="1">
      <c r="A10" s="199">
        <v>42491</v>
      </c>
      <c r="B10" s="200">
        <v>2054</v>
      </c>
      <c r="C10" s="200">
        <v>519000</v>
      </c>
      <c r="D10" s="200">
        <f t="shared" si="1"/>
        <v>4725</v>
      </c>
      <c r="E10" s="200">
        <f t="shared" si="2"/>
        <v>1163320</v>
      </c>
      <c r="F10" s="200"/>
      <c r="G10" s="180"/>
      <c r="H10" s="201">
        <f t="shared" si="3"/>
        <v>422160</v>
      </c>
      <c r="I10" s="200"/>
      <c r="J10" s="200"/>
      <c r="K10" s="200">
        <f t="shared" si="4"/>
        <v>644320</v>
      </c>
      <c r="L10" s="200">
        <f t="shared" si="0"/>
        <v>1163320</v>
      </c>
      <c r="M10" s="212"/>
    </row>
    <row r="11" spans="1:13" ht="30" customHeight="1">
      <c r="A11" s="199" t="s">
        <v>4735</v>
      </c>
      <c r="B11" s="200"/>
      <c r="C11" s="200">
        <v>50000</v>
      </c>
      <c r="D11" s="200">
        <f t="shared" si="1"/>
        <v>4725</v>
      </c>
      <c r="E11" s="200">
        <f t="shared" si="2"/>
        <v>1213320</v>
      </c>
      <c r="F11" s="200"/>
      <c r="G11" s="180"/>
      <c r="H11" s="201">
        <f t="shared" si="3"/>
        <v>519000</v>
      </c>
      <c r="I11" s="200"/>
      <c r="J11" s="200"/>
      <c r="K11" s="200">
        <f t="shared" si="4"/>
        <v>1163320</v>
      </c>
      <c r="L11" s="200">
        <f t="shared" si="0"/>
        <v>1213320</v>
      </c>
      <c r="M11" s="212"/>
    </row>
    <row r="12" spans="1:13" ht="30" customHeight="1">
      <c r="A12" s="199" t="s">
        <v>4736</v>
      </c>
      <c r="B12" s="200"/>
      <c r="C12" s="200">
        <v>47250</v>
      </c>
      <c r="D12" s="200">
        <f t="shared" si="1"/>
        <v>4725</v>
      </c>
      <c r="E12" s="200">
        <f t="shared" si="2"/>
        <v>1260570</v>
      </c>
      <c r="F12" s="200"/>
      <c r="G12" s="180"/>
      <c r="H12" s="201">
        <f t="shared" si="3"/>
        <v>50000</v>
      </c>
      <c r="I12" s="200"/>
      <c r="J12" s="200"/>
      <c r="K12" s="200">
        <f t="shared" si="4"/>
        <v>1213320</v>
      </c>
      <c r="L12" s="200">
        <f t="shared" si="0"/>
        <v>1260570</v>
      </c>
      <c r="M12" s="212" t="s">
        <v>4737</v>
      </c>
    </row>
    <row r="13" spans="1:13" ht="30" customHeight="1">
      <c r="A13" s="199">
        <v>42522</v>
      </c>
      <c r="B13" s="200">
        <v>5558</v>
      </c>
      <c r="C13" s="200">
        <v>1394140</v>
      </c>
      <c r="D13" s="200">
        <f t="shared" si="1"/>
        <v>10283</v>
      </c>
      <c r="E13" s="200">
        <f t="shared" si="2"/>
        <v>2654710</v>
      </c>
      <c r="F13" s="200"/>
      <c r="G13" s="180"/>
      <c r="H13" s="201">
        <f t="shared" si="3"/>
        <v>47250</v>
      </c>
      <c r="I13" s="200">
        <f>694320+566250</f>
        <v>1260570</v>
      </c>
      <c r="J13" s="200">
        <f>J12+I13</f>
        <v>1260570</v>
      </c>
      <c r="K13" s="200">
        <f t="shared" si="4"/>
        <v>0</v>
      </c>
      <c r="L13" s="200">
        <f t="shared" si="0"/>
        <v>1394140</v>
      </c>
      <c r="M13" s="212" t="s">
        <v>4738</v>
      </c>
    </row>
    <row r="14" spans="1:13" ht="30" customHeight="1">
      <c r="A14" s="199">
        <v>42552</v>
      </c>
      <c r="B14" s="200">
        <v>4009</v>
      </c>
      <c r="C14" s="200">
        <v>1003945</v>
      </c>
      <c r="D14" s="200">
        <f t="shared" si="1"/>
        <v>14292</v>
      </c>
      <c r="E14" s="200">
        <f t="shared" si="2"/>
        <v>3658655</v>
      </c>
      <c r="F14" s="200"/>
      <c r="G14" s="180"/>
      <c r="H14" s="201">
        <f t="shared" si="3"/>
        <v>1394140</v>
      </c>
      <c r="I14" s="200"/>
      <c r="J14" s="200">
        <f>J13+I14</f>
        <v>1260570</v>
      </c>
      <c r="K14" s="200">
        <f t="shared" si="4"/>
        <v>1394140</v>
      </c>
      <c r="L14" s="200">
        <f t="shared" si="0"/>
        <v>2398085</v>
      </c>
      <c r="M14" s="214"/>
    </row>
    <row r="15" spans="1:13" ht="30" customHeight="1">
      <c r="A15" s="199" t="s">
        <v>4739</v>
      </c>
      <c r="B15" s="200"/>
      <c r="C15" s="200">
        <v>52750</v>
      </c>
      <c r="D15" s="200">
        <f t="shared" si="1"/>
        <v>14292</v>
      </c>
      <c r="E15" s="200">
        <f t="shared" si="2"/>
        <v>3711405</v>
      </c>
      <c r="F15" s="200"/>
      <c r="G15" s="180"/>
      <c r="H15" s="201">
        <f t="shared" si="3"/>
        <v>1003945</v>
      </c>
      <c r="I15" s="200"/>
      <c r="J15" s="200">
        <f>J14+I15</f>
        <v>1260570</v>
      </c>
      <c r="K15" s="200">
        <f t="shared" si="4"/>
        <v>2398085</v>
      </c>
      <c r="L15" s="200">
        <f t="shared" si="0"/>
        <v>2450835</v>
      </c>
      <c r="M15" s="214"/>
    </row>
    <row r="16" spans="1:13" ht="30" customHeight="1">
      <c r="A16" s="199">
        <v>42583</v>
      </c>
      <c r="B16" s="200">
        <v>0</v>
      </c>
      <c r="C16" s="235">
        <v>0</v>
      </c>
      <c r="D16" s="200">
        <f t="shared" si="1"/>
        <v>14292</v>
      </c>
      <c r="E16" s="200">
        <f t="shared" si="2"/>
        <v>3711405</v>
      </c>
      <c r="F16" s="200"/>
      <c r="G16" s="180"/>
      <c r="H16" s="201">
        <f t="shared" si="3"/>
        <v>52750</v>
      </c>
      <c r="I16" s="200"/>
      <c r="J16" s="200">
        <f>J15+I16</f>
        <v>1260570</v>
      </c>
      <c r="K16" s="200">
        <f t="shared" si="4"/>
        <v>2450835</v>
      </c>
      <c r="L16" s="200">
        <f t="shared" si="0"/>
        <v>2450835</v>
      </c>
      <c r="M16" s="214"/>
    </row>
    <row r="17" spans="1:13" ht="30" customHeight="1">
      <c r="A17" s="199"/>
      <c r="B17" s="200"/>
      <c r="C17" s="212"/>
      <c r="D17" s="200"/>
      <c r="E17" s="236"/>
      <c r="F17" s="200"/>
      <c r="G17" s="180"/>
      <c r="H17" s="201">
        <f t="shared" si="3"/>
        <v>0</v>
      </c>
      <c r="I17" s="200"/>
      <c r="J17" s="200"/>
      <c r="K17" s="200">
        <f t="shared" si="4"/>
        <v>2450835</v>
      </c>
      <c r="L17" s="213"/>
      <c r="M17" s="214"/>
    </row>
    <row r="18" spans="1:13" ht="30" customHeight="1">
      <c r="A18" s="199"/>
      <c r="B18" s="200"/>
      <c r="C18" s="212"/>
      <c r="D18" s="200"/>
      <c r="E18" s="180"/>
      <c r="F18" s="201"/>
      <c r="G18" s="200"/>
      <c r="H18" s="201"/>
      <c r="I18" s="200"/>
      <c r="J18" s="200"/>
      <c r="K18" s="215"/>
      <c r="L18" s="237"/>
      <c r="M18" s="214"/>
    </row>
    <row r="19" spans="1:13" ht="30" customHeight="1">
      <c r="A19" s="202"/>
      <c r="B19" s="200"/>
      <c r="C19" s="200"/>
      <c r="D19" s="200"/>
      <c r="E19" s="180"/>
      <c r="F19" s="201"/>
      <c r="G19" s="200"/>
      <c r="H19" s="200"/>
      <c r="I19" s="200"/>
      <c r="J19" s="200"/>
      <c r="K19" s="215"/>
      <c r="L19" s="237"/>
      <c r="M19" s="214"/>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worksheet>
</file>

<file path=xl/worksheets/sheet2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topLeftCell="A19" zoomScaleSheetLayoutView="100" workbookViewId="0">
      <selection activeCell="A26" sqref="A26"/>
    </sheetView>
  </sheetViews>
  <sheetFormatPr defaultColWidth="9" defaultRowHeight="14.25"/>
  <cols>
    <col min="1" max="4" width="14.625" customWidth="1"/>
    <col min="5" max="5" width="18.25" customWidth="1"/>
    <col min="6" max="12" width="14.625" customWidth="1"/>
    <col min="13" max="13" width="34.75" customWidth="1"/>
    <col min="14" max="14" width="9.375" bestFit="1" customWidth="1"/>
  </cols>
  <sheetData>
    <row r="1" spans="1:20" ht="66" customHeight="1">
      <c r="A1" s="130" t="s">
        <v>556</v>
      </c>
      <c r="B1" s="194">
        <v>42546</v>
      </c>
      <c r="C1" s="195" t="s">
        <v>4740</v>
      </c>
      <c r="D1" s="131" t="s">
        <v>236</v>
      </c>
      <c r="E1" s="2267">
        <v>42461</v>
      </c>
      <c r="F1" s="2267"/>
      <c r="G1" s="2116" t="s">
        <v>4741</v>
      </c>
      <c r="H1" s="2116"/>
      <c r="I1" s="220" t="s">
        <v>4342</v>
      </c>
      <c r="J1" s="1701" t="s">
        <v>4742</v>
      </c>
      <c r="K1" s="1701"/>
      <c r="L1" s="1701"/>
      <c r="M1" s="221" t="s">
        <v>4743</v>
      </c>
    </row>
    <row r="2" spans="1:20" ht="54.95" customHeight="1">
      <c r="A2" s="133" t="s">
        <v>240</v>
      </c>
      <c r="B2" s="1682" t="s">
        <v>4744</v>
      </c>
      <c r="C2" s="1682"/>
      <c r="D2" s="134" t="s">
        <v>242</v>
      </c>
      <c r="E2" s="223"/>
      <c r="F2" s="223"/>
      <c r="G2" s="223" t="s">
        <v>4745</v>
      </c>
      <c r="H2" s="223"/>
      <c r="I2" s="166" t="s">
        <v>425</v>
      </c>
      <c r="J2" s="2260" t="s">
        <v>4742</v>
      </c>
      <c r="K2" s="2261"/>
      <c r="L2" s="2261"/>
      <c r="M2" s="2268"/>
    </row>
    <row r="3" spans="1:20" ht="54.95" customHeight="1">
      <c r="A3" s="133" t="s">
        <v>247</v>
      </c>
      <c r="B3" s="1682" t="s">
        <v>4746</v>
      </c>
      <c r="C3" s="1682"/>
      <c r="D3" s="134" t="s">
        <v>249</v>
      </c>
      <c r="E3" s="197" t="s">
        <v>4747</v>
      </c>
      <c r="F3" s="134" t="s">
        <v>251</v>
      </c>
      <c r="G3" s="134" t="s">
        <v>4748</v>
      </c>
      <c r="H3" s="134" t="s">
        <v>252</v>
      </c>
      <c r="I3" s="166" t="s">
        <v>243</v>
      </c>
      <c r="J3" s="1707" t="s">
        <v>421</v>
      </c>
      <c r="K3" s="1708"/>
      <c r="L3" s="166" t="s">
        <v>245</v>
      </c>
      <c r="M3" s="222" t="s">
        <v>4749</v>
      </c>
    </row>
    <row r="4" spans="1:20" ht="99" customHeight="1">
      <c r="A4" s="133" t="s">
        <v>260</v>
      </c>
      <c r="B4" s="1697" t="s">
        <v>4750</v>
      </c>
      <c r="C4" s="1697"/>
      <c r="D4" s="1697"/>
      <c r="E4" s="1697"/>
      <c r="F4" s="198"/>
      <c r="G4" s="1697" t="s">
        <v>4751</v>
      </c>
      <c r="H4" s="1697"/>
      <c r="I4" s="1697"/>
      <c r="J4" s="41" t="s">
        <v>565</v>
      </c>
      <c r="K4" s="15" t="s">
        <v>4752</v>
      </c>
      <c r="L4" s="15" t="s">
        <v>255</v>
      </c>
      <c r="M4" s="207" t="s">
        <v>4753</v>
      </c>
    </row>
    <row r="5" spans="1:20" ht="54.95" customHeight="1">
      <c r="A5" s="1688" t="s">
        <v>660</v>
      </c>
      <c r="B5" s="1689"/>
      <c r="C5" s="1689"/>
      <c r="D5" s="1690"/>
      <c r="E5" s="1690"/>
      <c r="F5" s="1690"/>
      <c r="G5" s="1690"/>
      <c r="H5" s="1690"/>
      <c r="I5" s="1690"/>
      <c r="J5" s="138"/>
      <c r="K5" s="138"/>
      <c r="L5" s="138"/>
      <c r="M5" s="209"/>
      <c r="O5" s="2269" t="s">
        <v>4754</v>
      </c>
      <c r="P5" s="2269"/>
      <c r="Q5" s="2269"/>
      <c r="R5" s="2269"/>
      <c r="S5" s="2269"/>
      <c r="T5" s="2269"/>
    </row>
    <row r="6" spans="1:20"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c r="O6" s="182" t="s">
        <v>4755</v>
      </c>
      <c r="P6" s="182" t="s">
        <v>4756</v>
      </c>
      <c r="Q6" s="182" t="s">
        <v>4757</v>
      </c>
      <c r="R6" s="182" t="s">
        <v>4758</v>
      </c>
      <c r="S6" s="182" t="s">
        <v>4759</v>
      </c>
      <c r="T6" s="182" t="s">
        <v>4760</v>
      </c>
    </row>
    <row r="7" spans="1:20" ht="30" customHeight="1">
      <c r="A7" s="199">
        <v>42461</v>
      </c>
      <c r="B7" s="200">
        <v>516</v>
      </c>
      <c r="C7" s="200">
        <v>129550.96</v>
      </c>
      <c r="D7" s="200">
        <f>B7</f>
        <v>516</v>
      </c>
      <c r="E7" s="200">
        <f>C7</f>
        <v>129550.96</v>
      </c>
      <c r="F7" s="200"/>
      <c r="G7" s="180">
        <f>E7</f>
        <v>129550.96</v>
      </c>
      <c r="H7" s="201"/>
      <c r="I7" s="200"/>
      <c r="J7" s="200"/>
      <c r="K7" s="200"/>
      <c r="L7" s="200">
        <f t="shared" ref="L7:L25" si="0">E7-J7</f>
        <v>129550.96</v>
      </c>
      <c r="M7" s="210"/>
      <c r="O7" s="182" t="s">
        <v>4761</v>
      </c>
      <c r="P7" s="182">
        <v>99.59</v>
      </c>
      <c r="Q7" s="182">
        <v>120.14</v>
      </c>
      <c r="R7" s="182">
        <v>344.54</v>
      </c>
      <c r="S7" s="182">
        <v>379.22</v>
      </c>
      <c r="T7" s="182">
        <f>352+8</f>
        <v>360</v>
      </c>
    </row>
    <row r="8" spans="1:20" ht="30" customHeight="1">
      <c r="A8" s="199">
        <v>42491</v>
      </c>
      <c r="B8" s="200">
        <v>427</v>
      </c>
      <c r="C8" s="200">
        <v>105325.22</v>
      </c>
      <c r="D8" s="200">
        <f t="shared" ref="D8:D25" si="1">B8+D7</f>
        <v>943</v>
      </c>
      <c r="E8" s="200">
        <f t="shared" ref="E8:E25" si="2">C8+E7</f>
        <v>234876.18</v>
      </c>
      <c r="F8" s="200"/>
      <c r="G8" s="180">
        <f>E8</f>
        <v>234876.18</v>
      </c>
      <c r="H8" s="201"/>
      <c r="I8" s="200"/>
      <c r="J8" s="200"/>
      <c r="K8" s="200"/>
      <c r="L8" s="200">
        <f t="shared" si="0"/>
        <v>234876.18</v>
      </c>
      <c r="M8" s="210"/>
      <c r="O8" s="182" t="s">
        <v>4762</v>
      </c>
      <c r="P8" s="182">
        <v>101.65</v>
      </c>
      <c r="Q8" s="182">
        <v>121.23</v>
      </c>
      <c r="R8" s="182">
        <v>344.55</v>
      </c>
      <c r="S8" s="182">
        <v>392.56</v>
      </c>
      <c r="T8" s="182">
        <f>343+8</f>
        <v>351</v>
      </c>
    </row>
    <row r="9" spans="1:20" ht="30" customHeight="1">
      <c r="A9" s="199">
        <v>42522</v>
      </c>
      <c r="B9" s="200">
        <v>242</v>
      </c>
      <c r="C9" s="200">
        <v>59901.38</v>
      </c>
      <c r="D9" s="200">
        <f t="shared" si="1"/>
        <v>1185</v>
      </c>
      <c r="E9" s="200">
        <f t="shared" si="2"/>
        <v>294777.56</v>
      </c>
      <c r="F9" s="200"/>
      <c r="G9" s="224">
        <f>E7*0.2+C8+C9</f>
        <v>191136.79200000002</v>
      </c>
      <c r="H9" s="201"/>
      <c r="I9" s="200"/>
      <c r="J9" s="200"/>
      <c r="K9" s="200"/>
      <c r="L9" s="200">
        <f t="shared" si="0"/>
        <v>294777.56</v>
      </c>
      <c r="M9" s="212"/>
      <c r="O9" s="182" t="s">
        <v>4763</v>
      </c>
      <c r="P9" s="182">
        <f>P7-P8</f>
        <v>-2.0600000000000023</v>
      </c>
      <c r="Q9" s="182">
        <f>Q7-Q8</f>
        <v>-1.0900000000000034</v>
      </c>
      <c r="R9" s="182">
        <f>R7-R8</f>
        <v>-9.9999999999909051E-3</v>
      </c>
      <c r="S9" s="182">
        <f>S7-S8</f>
        <v>-13.339999999999975</v>
      </c>
      <c r="T9" s="182">
        <f>T7-T8</f>
        <v>9</v>
      </c>
    </row>
    <row r="10" spans="1:20" ht="30" customHeight="1">
      <c r="A10" s="199">
        <v>42552</v>
      </c>
      <c r="B10" s="200">
        <v>570.5</v>
      </c>
      <c r="C10" s="200">
        <v>143299.60999999999</v>
      </c>
      <c r="D10" s="200">
        <f t="shared" si="1"/>
        <v>1755.5</v>
      </c>
      <c r="E10" s="200">
        <f t="shared" si="2"/>
        <v>438077.17</v>
      </c>
      <c r="F10" s="200"/>
      <c r="G10" s="224">
        <f>E8*0.2+C9+C10</f>
        <v>250176.226</v>
      </c>
      <c r="H10" s="201">
        <f>C7*0.8</f>
        <v>103640.76800000001</v>
      </c>
      <c r="I10" s="200"/>
      <c r="J10" s="200"/>
      <c r="K10" s="226">
        <f>K9+H10-I10</f>
        <v>103640.76800000001</v>
      </c>
      <c r="L10" s="200">
        <f t="shared" si="0"/>
        <v>438077.17</v>
      </c>
      <c r="M10" s="214"/>
      <c r="O10" s="230"/>
      <c r="P10" s="230"/>
      <c r="Q10" s="230"/>
      <c r="R10" s="230"/>
      <c r="S10" s="230"/>
      <c r="T10" s="230"/>
    </row>
    <row r="11" spans="1:20" ht="30" customHeight="1">
      <c r="A11" s="199">
        <v>42583</v>
      </c>
      <c r="B11" s="200">
        <v>464</v>
      </c>
      <c r="C11" s="200">
        <v>118630.77</v>
      </c>
      <c r="D11" s="200">
        <f t="shared" si="1"/>
        <v>2219.5</v>
      </c>
      <c r="E11" s="200">
        <f t="shared" si="2"/>
        <v>556707.93999999994</v>
      </c>
      <c r="F11" s="200"/>
      <c r="G11" s="224">
        <f>E9*0.2+C10+C11</f>
        <v>320885.89199999999</v>
      </c>
      <c r="H11" s="201">
        <f>C8*0.8</f>
        <v>84260.176000000007</v>
      </c>
      <c r="I11" s="200"/>
      <c r="J11" s="200"/>
      <c r="K11" s="226">
        <f>K10+H11-I11</f>
        <v>187900.94400000002</v>
      </c>
      <c r="L11" s="200">
        <f t="shared" si="0"/>
        <v>556707.93999999994</v>
      </c>
      <c r="M11" s="214"/>
    </row>
    <row r="12" spans="1:20" ht="30" customHeight="1">
      <c r="A12" s="199">
        <v>42614</v>
      </c>
      <c r="B12" s="200">
        <v>6718.5</v>
      </c>
      <c r="C12" s="200">
        <v>1668093.74</v>
      </c>
      <c r="D12" s="200">
        <f t="shared" si="1"/>
        <v>8938</v>
      </c>
      <c r="E12" s="200">
        <f t="shared" si="2"/>
        <v>2224801.6799999997</v>
      </c>
      <c r="F12" s="201"/>
      <c r="G12" s="224">
        <f>E10*0.2+C11+C12</f>
        <v>1874339.9440000001</v>
      </c>
      <c r="H12" s="201">
        <f>C9*0.8</f>
        <v>47921.103999999999</v>
      </c>
      <c r="I12" s="201"/>
      <c r="J12" s="200"/>
      <c r="K12" s="226">
        <f>K11+H12-I12</f>
        <v>235822.04800000001</v>
      </c>
      <c r="L12" s="200">
        <f t="shared" si="0"/>
        <v>2224801.6799999997</v>
      </c>
      <c r="M12" s="216" t="s">
        <v>4764</v>
      </c>
    </row>
    <row r="13" spans="1:20" ht="30" customHeight="1">
      <c r="A13" s="217">
        <v>42644</v>
      </c>
      <c r="B13" s="200">
        <v>11923.12</v>
      </c>
      <c r="C13" s="200">
        <v>3056714.06</v>
      </c>
      <c r="D13" s="200">
        <f t="shared" si="1"/>
        <v>20861.120000000003</v>
      </c>
      <c r="E13" s="200">
        <f t="shared" si="2"/>
        <v>5281515.74</v>
      </c>
      <c r="F13" s="201"/>
      <c r="G13" s="224">
        <f t="shared" ref="G13:G18" si="3">C8*0.2+C9*0.2+C10*0.2+C11*0.2+C12+C13</f>
        <v>4810239.1960000005</v>
      </c>
      <c r="H13" s="201">
        <f>C10*0.8</f>
        <v>114639.68799999999</v>
      </c>
      <c r="I13" s="201">
        <v>300000</v>
      </c>
      <c r="J13" s="200">
        <f>I13</f>
        <v>300000</v>
      </c>
      <c r="K13" s="226">
        <f>K12+H13-I13</f>
        <v>50461.736000000034</v>
      </c>
      <c r="L13" s="200">
        <f t="shared" si="0"/>
        <v>4981515.74</v>
      </c>
      <c r="M13" s="216"/>
    </row>
    <row r="14" spans="1:20" ht="30" customHeight="1">
      <c r="A14" s="217">
        <v>42675</v>
      </c>
      <c r="B14" s="200">
        <v>16142</v>
      </c>
      <c r="C14" s="218">
        <v>4745131.7699999996</v>
      </c>
      <c r="D14" s="200">
        <f t="shared" si="1"/>
        <v>37003.120000000003</v>
      </c>
      <c r="E14" s="200">
        <f t="shared" si="2"/>
        <v>10026647.51</v>
      </c>
      <c r="F14" s="201"/>
      <c r="G14" s="224">
        <f t="shared" si="3"/>
        <v>8199830.9299999997</v>
      </c>
      <c r="H14" s="225">
        <f t="shared" ref="H14:H19" si="4">C11*0.8+C7*0.2</f>
        <v>120814.80800000002</v>
      </c>
      <c r="I14" s="201"/>
      <c r="J14" s="200">
        <f t="shared" ref="J14:J25" si="5">I14+J13</f>
        <v>300000</v>
      </c>
      <c r="K14" s="226">
        <f t="shared" ref="K14:K26" si="6">K13+H14-I14</f>
        <v>171276.54400000005</v>
      </c>
      <c r="L14" s="200">
        <f t="shared" si="0"/>
        <v>9726647.5099999998</v>
      </c>
      <c r="M14" s="216" t="s">
        <v>4765</v>
      </c>
    </row>
    <row r="15" spans="1:20" ht="30" customHeight="1">
      <c r="A15" s="217">
        <v>42705</v>
      </c>
      <c r="B15" s="200">
        <v>27446.400000000001</v>
      </c>
      <c r="C15" s="200">
        <v>8198018.3499999996</v>
      </c>
      <c r="D15" s="200">
        <f t="shared" si="1"/>
        <v>64449.520000000004</v>
      </c>
      <c r="E15" s="200">
        <f t="shared" si="2"/>
        <v>18224665.859999999</v>
      </c>
      <c r="F15" s="201"/>
      <c r="G15" s="224">
        <f t="shared" si="3"/>
        <v>13940497.755999999</v>
      </c>
      <c r="H15" s="225">
        <f t="shared" si="4"/>
        <v>1355540.0360000001</v>
      </c>
      <c r="I15" s="201">
        <v>1500000</v>
      </c>
      <c r="J15" s="200">
        <f t="shared" si="5"/>
        <v>1800000</v>
      </c>
      <c r="K15" s="226">
        <f t="shared" si="6"/>
        <v>26816.580000000075</v>
      </c>
      <c r="L15" s="200">
        <f t="shared" si="0"/>
        <v>16424665.859999999</v>
      </c>
      <c r="M15" s="216" t="s">
        <v>4766</v>
      </c>
    </row>
    <row r="16" spans="1:20" ht="30" customHeight="1">
      <c r="A16" s="217">
        <v>42736</v>
      </c>
      <c r="B16" s="200">
        <v>27462</v>
      </c>
      <c r="C16" s="200">
        <v>8301380.0300000003</v>
      </c>
      <c r="D16" s="200">
        <f t="shared" si="1"/>
        <v>91911.52</v>
      </c>
      <c r="E16" s="200">
        <f t="shared" si="2"/>
        <v>26526045.890000001</v>
      </c>
      <c r="F16" s="201"/>
      <c r="G16" s="224">
        <f t="shared" si="3"/>
        <v>18417112.447999999</v>
      </c>
      <c r="H16" s="225">
        <f t="shared" si="4"/>
        <v>2457351.5240000002</v>
      </c>
      <c r="I16" s="201">
        <v>5000000</v>
      </c>
      <c r="J16" s="200">
        <f t="shared" si="5"/>
        <v>6800000</v>
      </c>
      <c r="K16" s="226">
        <f t="shared" si="6"/>
        <v>-2515831.8959999997</v>
      </c>
      <c r="L16" s="200">
        <f t="shared" si="0"/>
        <v>19726045.890000001</v>
      </c>
      <c r="M16" s="216"/>
    </row>
    <row r="17" spans="1:13" ht="30" customHeight="1">
      <c r="A17" s="217">
        <v>42768</v>
      </c>
      <c r="B17" s="200">
        <v>4675</v>
      </c>
      <c r="C17" s="200">
        <v>1366969.37</v>
      </c>
      <c r="D17" s="200">
        <f t="shared" si="1"/>
        <v>96586.52</v>
      </c>
      <c r="E17" s="200">
        <f t="shared" si="2"/>
        <v>27893015.260000002</v>
      </c>
      <c r="F17" s="226"/>
      <c r="G17" s="224">
        <f t="shared" si="3"/>
        <v>13201940.984000001</v>
      </c>
      <c r="H17" s="225">
        <f t="shared" si="4"/>
        <v>3824765.3379999995</v>
      </c>
      <c r="I17" s="201"/>
      <c r="J17" s="200">
        <f t="shared" si="5"/>
        <v>6800000</v>
      </c>
      <c r="K17" s="226">
        <f t="shared" si="6"/>
        <v>1308933.4419999998</v>
      </c>
      <c r="L17" s="200">
        <f t="shared" si="0"/>
        <v>21093015.260000002</v>
      </c>
      <c r="M17" s="216"/>
    </row>
    <row r="18" spans="1:13" ht="30" customHeight="1">
      <c r="A18" s="217">
        <v>42795</v>
      </c>
      <c r="B18" s="200">
        <v>12081</v>
      </c>
      <c r="C18" s="218">
        <v>3355795.06</v>
      </c>
      <c r="D18" s="200">
        <f t="shared" si="1"/>
        <v>108667.52</v>
      </c>
      <c r="E18" s="200">
        <f t="shared" si="2"/>
        <v>31248810.32</v>
      </c>
      <c r="F18" s="201"/>
      <c r="G18" s="224">
        <f t="shared" si="3"/>
        <v>9583013.2719999999</v>
      </c>
      <c r="H18" s="225">
        <f t="shared" si="4"/>
        <v>6582140.8339999998</v>
      </c>
      <c r="I18" s="201">
        <v>8400000</v>
      </c>
      <c r="J18" s="200">
        <f t="shared" si="5"/>
        <v>15200000</v>
      </c>
      <c r="K18" s="226">
        <f t="shared" si="6"/>
        <v>-508925.72400000039</v>
      </c>
      <c r="L18" s="200">
        <f t="shared" si="0"/>
        <v>16048810.32</v>
      </c>
      <c r="M18" s="231" t="s">
        <v>4767</v>
      </c>
    </row>
    <row r="19" spans="1:13" ht="30" customHeight="1">
      <c r="A19" s="217">
        <v>42826</v>
      </c>
      <c r="B19" s="200">
        <v>13602</v>
      </c>
      <c r="C19" s="200">
        <v>3650066.4</v>
      </c>
      <c r="D19" s="200">
        <f t="shared" si="1"/>
        <v>122269.52</v>
      </c>
      <c r="E19" s="200">
        <f t="shared" si="2"/>
        <v>34898876.719999999</v>
      </c>
      <c r="F19" s="201"/>
      <c r="G19" s="224"/>
      <c r="H19" s="225">
        <f t="shared" si="4"/>
        <v>6974722.7719999999</v>
      </c>
      <c r="I19" s="201"/>
      <c r="J19" s="200">
        <f t="shared" si="5"/>
        <v>15200000</v>
      </c>
      <c r="K19" s="226">
        <f t="shared" si="6"/>
        <v>6465797.0479999995</v>
      </c>
      <c r="L19" s="200">
        <f t="shared" si="0"/>
        <v>19698876.719999999</v>
      </c>
      <c r="M19" s="216" t="s">
        <v>4768</v>
      </c>
    </row>
    <row r="20" spans="1:13" ht="30" customHeight="1">
      <c r="A20" s="217" t="s">
        <v>433</v>
      </c>
      <c r="B20" s="200"/>
      <c r="C20" s="200">
        <v>769389.67</v>
      </c>
      <c r="D20" s="200">
        <f t="shared" si="1"/>
        <v>122269.52</v>
      </c>
      <c r="E20" s="200">
        <f t="shared" si="2"/>
        <v>35668266.390000001</v>
      </c>
      <c r="F20" s="201"/>
      <c r="G20" s="224"/>
      <c r="H20" s="225">
        <f>C20</f>
        <v>769389.67</v>
      </c>
      <c r="I20" s="201"/>
      <c r="J20" s="200">
        <f t="shared" si="5"/>
        <v>15200000</v>
      </c>
      <c r="K20" s="226">
        <f t="shared" si="6"/>
        <v>7235186.7179999994</v>
      </c>
      <c r="L20" s="200">
        <f t="shared" si="0"/>
        <v>20468266.390000001</v>
      </c>
      <c r="M20" s="216"/>
    </row>
    <row r="21" spans="1:13" ht="30" customHeight="1">
      <c r="A21" s="217" t="s">
        <v>434</v>
      </c>
      <c r="B21" s="200"/>
      <c r="C21" s="200">
        <v>1024003.75</v>
      </c>
      <c r="D21" s="200">
        <f t="shared" si="1"/>
        <v>122269.52</v>
      </c>
      <c r="E21" s="200">
        <f t="shared" si="2"/>
        <v>36692270.140000001</v>
      </c>
      <c r="F21" s="201"/>
      <c r="G21" s="200">
        <f>C14*0.2+C15*0.2+C16*0.2+C17*0.2+C18+C19</f>
        <v>11528161.364</v>
      </c>
      <c r="H21" s="225">
        <f>C21</f>
        <v>1024003.75</v>
      </c>
      <c r="I21" s="232"/>
      <c r="J21" s="200">
        <f t="shared" si="5"/>
        <v>15200000</v>
      </c>
      <c r="K21" s="226">
        <f t="shared" si="6"/>
        <v>8259190.4679999994</v>
      </c>
      <c r="L21" s="200">
        <f t="shared" si="0"/>
        <v>21492270.140000001</v>
      </c>
      <c r="M21" s="216"/>
    </row>
    <row r="22" spans="1:13" ht="30" customHeight="1">
      <c r="A22" s="217">
        <v>42856</v>
      </c>
      <c r="B22" s="200">
        <v>11065</v>
      </c>
      <c r="C22" s="200">
        <v>2908590.73</v>
      </c>
      <c r="D22" s="200">
        <f t="shared" si="1"/>
        <v>133334.52000000002</v>
      </c>
      <c r="E22" s="200">
        <f t="shared" si="2"/>
        <v>39600860.869999997</v>
      </c>
      <c r="F22" s="201"/>
      <c r="G22" s="200">
        <f>C15*0.2+C16*0.2+C17*0.2+C18*0.2+C19+C22</f>
        <v>10803089.692</v>
      </c>
      <c r="H22" s="227">
        <f>C17*0.8+C13*0.2</f>
        <v>1704918.3080000002</v>
      </c>
      <c r="I22" s="201">
        <v>6640000</v>
      </c>
      <c r="J22" s="200">
        <f t="shared" si="5"/>
        <v>21840000</v>
      </c>
      <c r="K22" s="226">
        <f t="shared" si="6"/>
        <v>3324108.7760000005</v>
      </c>
      <c r="L22" s="200">
        <f t="shared" si="0"/>
        <v>17760860.869999997</v>
      </c>
      <c r="M22" s="216" t="s">
        <v>4769</v>
      </c>
    </row>
    <row r="23" spans="1:13" ht="30" customHeight="1">
      <c r="A23" s="217">
        <v>42887</v>
      </c>
      <c r="B23" s="200">
        <v>3568</v>
      </c>
      <c r="C23" s="200">
        <v>956773.68</v>
      </c>
      <c r="D23" s="200">
        <f t="shared" si="1"/>
        <v>136902.52000000002</v>
      </c>
      <c r="E23" s="200">
        <f t="shared" si="2"/>
        <v>40557634.549999997</v>
      </c>
      <c r="F23" s="201"/>
      <c r="G23" s="200">
        <f>C16*0.2+C17*0.2+C18*0.2+C19*0.2+C22+C23</f>
        <v>7200206.5820000004</v>
      </c>
      <c r="H23" s="227">
        <f>C18*0.8+C14*0.2</f>
        <v>3633662.4020000002</v>
      </c>
      <c r="I23" s="201">
        <v>2400000</v>
      </c>
      <c r="J23" s="200">
        <f t="shared" si="5"/>
        <v>24240000</v>
      </c>
      <c r="K23" s="226">
        <f t="shared" si="6"/>
        <v>4557771.1780000012</v>
      </c>
      <c r="L23" s="200">
        <f t="shared" si="0"/>
        <v>16317634.549999997</v>
      </c>
      <c r="M23" s="216" t="s">
        <v>4770</v>
      </c>
    </row>
    <row r="24" spans="1:13" ht="30" customHeight="1">
      <c r="A24" s="217">
        <v>42917</v>
      </c>
      <c r="B24" s="200">
        <v>3502.5</v>
      </c>
      <c r="C24" s="200">
        <v>910060.49</v>
      </c>
      <c r="D24" s="200">
        <f t="shared" si="1"/>
        <v>140405.02000000002</v>
      </c>
      <c r="E24" s="200">
        <f t="shared" si="2"/>
        <v>41467695.039999999</v>
      </c>
      <c r="F24" s="201"/>
      <c r="G24" s="200">
        <f>C17*0.2+C18*0.2+C19*0.2+C22*0.2+C23+C24</f>
        <v>4123118.4820000008</v>
      </c>
      <c r="H24" s="228">
        <f>C19*0.8+C15*0.2</f>
        <v>4559656.79</v>
      </c>
      <c r="I24" s="201">
        <v>4200000</v>
      </c>
      <c r="J24" s="200">
        <f t="shared" si="5"/>
        <v>28440000</v>
      </c>
      <c r="K24" s="226">
        <f t="shared" si="6"/>
        <v>4917427.9680000022</v>
      </c>
      <c r="L24" s="200">
        <f t="shared" si="0"/>
        <v>13027695.039999999</v>
      </c>
      <c r="M24" s="233" t="s">
        <v>4771</v>
      </c>
    </row>
    <row r="25" spans="1:13" ht="30" customHeight="1">
      <c r="A25" s="217">
        <v>42948</v>
      </c>
      <c r="B25" s="200">
        <v>4606.5</v>
      </c>
      <c r="C25" s="200">
        <v>1175811.83</v>
      </c>
      <c r="D25" s="200">
        <f t="shared" si="1"/>
        <v>145011.52000000002</v>
      </c>
      <c r="E25" s="200">
        <f t="shared" si="2"/>
        <v>42643506.869999997</v>
      </c>
      <c r="F25" s="201"/>
      <c r="G25" s="200">
        <f>C18*0.2+C19*0.2+C22*0.2+C23*0.2+C24+C25</f>
        <v>4260117.4939999999</v>
      </c>
      <c r="H25" s="228">
        <f>C22*0.8+C16*0.2</f>
        <v>3987148.5900000003</v>
      </c>
      <c r="I25" s="201">
        <f>2700000+2000000</f>
        <v>4700000</v>
      </c>
      <c r="J25" s="200">
        <f t="shared" si="5"/>
        <v>33140000</v>
      </c>
      <c r="K25" s="226">
        <f t="shared" si="6"/>
        <v>4204576.5580000021</v>
      </c>
      <c r="L25" s="200">
        <f t="shared" si="0"/>
        <v>9503506.8699999973</v>
      </c>
      <c r="M25" s="231" t="s">
        <v>4772</v>
      </c>
    </row>
    <row r="26" spans="1:13" ht="30" customHeight="1">
      <c r="A26" s="217"/>
      <c r="B26" s="200"/>
      <c r="C26" s="200"/>
      <c r="D26" s="200"/>
      <c r="E26" s="180"/>
      <c r="F26" s="201"/>
      <c r="G26" s="200"/>
      <c r="H26" s="228">
        <f>C23*0.8+C17*0.2</f>
        <v>1038812.8180000002</v>
      </c>
      <c r="I26" s="201"/>
      <c r="J26" s="200"/>
      <c r="K26" s="226">
        <f t="shared" si="6"/>
        <v>5243389.376000002</v>
      </c>
      <c r="L26" s="216"/>
      <c r="M26" s="216" t="s">
        <v>4773</v>
      </c>
    </row>
    <row r="27" spans="1:13" ht="30" customHeight="1">
      <c r="A27" s="217"/>
      <c r="B27" s="200"/>
      <c r="C27" s="200"/>
      <c r="D27" s="200"/>
      <c r="E27" s="180"/>
      <c r="F27" s="201"/>
      <c r="G27" s="200"/>
      <c r="H27" s="228"/>
      <c r="I27" s="201"/>
      <c r="J27" s="200"/>
      <c r="K27" s="234"/>
      <c r="L27" s="216"/>
      <c r="M27" s="216"/>
    </row>
    <row r="28" spans="1:13" ht="30" customHeight="1">
      <c r="A28" s="217"/>
      <c r="B28" s="200"/>
      <c r="C28" s="200"/>
      <c r="D28" s="200"/>
      <c r="E28" s="180"/>
      <c r="F28" s="201"/>
      <c r="G28" s="200"/>
      <c r="H28" s="228"/>
      <c r="I28" s="201"/>
      <c r="J28" s="200"/>
      <c r="K28" s="234"/>
      <c r="L28" s="216"/>
      <c r="M28" s="216"/>
    </row>
    <row r="29" spans="1:13" ht="30" customHeight="1">
      <c r="A29" s="202"/>
      <c r="B29" s="200"/>
      <c r="C29" s="200"/>
      <c r="D29" s="200"/>
      <c r="E29" s="180"/>
      <c r="F29" s="201"/>
      <c r="G29" s="200"/>
      <c r="H29" s="200"/>
      <c r="I29" s="200"/>
      <c r="J29" s="200"/>
      <c r="K29" s="215"/>
      <c r="L29" s="216"/>
      <c r="M29" s="216"/>
    </row>
  </sheetData>
  <mergeCells count="13">
    <mergeCell ref="B4:E4"/>
    <mergeCell ref="G4:I4"/>
    <mergeCell ref="A5:C5"/>
    <mergeCell ref="D5:F5"/>
    <mergeCell ref="G5:I5"/>
    <mergeCell ref="O5:T5"/>
    <mergeCell ref="E1:F1"/>
    <mergeCell ref="G1:H1"/>
    <mergeCell ref="J1:L1"/>
    <mergeCell ref="B2:C2"/>
    <mergeCell ref="J2:M2"/>
    <mergeCell ref="B3:C3"/>
    <mergeCell ref="J3:K3"/>
  </mergeCells>
  <phoneticPr fontId="84" type="noConversion"/>
  <pageMargins left="0.75" right="0.75" top="1" bottom="1" header="0.51" footer="0.51"/>
  <pageSetup paperSize="9" orientation="portrait" horizontalDpi="0" verticalDpi="0"/>
</worksheet>
</file>

<file path=xl/worksheets/sheet2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18" zoomScaleSheetLayoutView="100" workbookViewId="0">
      <selection activeCell="H27" sqref="H27"/>
    </sheetView>
  </sheetViews>
  <sheetFormatPr defaultColWidth="9" defaultRowHeight="14.25"/>
  <cols>
    <col min="1" max="12" width="14.625" customWidth="1"/>
    <col min="13" max="13" width="34.75" customWidth="1"/>
    <col min="14" max="14" width="9.375" bestFit="1" customWidth="1"/>
  </cols>
  <sheetData>
    <row r="1" spans="1:13" ht="66" customHeight="1">
      <c r="A1" s="130" t="s">
        <v>556</v>
      </c>
      <c r="B1" s="194">
        <v>42546</v>
      </c>
      <c r="C1" s="195" t="s">
        <v>4740</v>
      </c>
      <c r="D1" s="131" t="s">
        <v>236</v>
      </c>
      <c r="E1" s="2267">
        <v>42461</v>
      </c>
      <c r="F1" s="2267"/>
      <c r="G1" s="2116" t="s">
        <v>4741</v>
      </c>
      <c r="H1" s="2116"/>
      <c r="I1" s="220" t="s">
        <v>4342</v>
      </c>
      <c r="J1" s="1701" t="s">
        <v>4742</v>
      </c>
      <c r="K1" s="1701"/>
      <c r="L1" s="1701"/>
      <c r="M1" s="221" t="s">
        <v>4774</v>
      </c>
    </row>
    <row r="2" spans="1:13" ht="54.95" customHeight="1">
      <c r="A2" s="133" t="s">
        <v>240</v>
      </c>
      <c r="B2" s="1682" t="s">
        <v>4744</v>
      </c>
      <c r="C2" s="1682"/>
      <c r="D2" s="134" t="s">
        <v>242</v>
      </c>
      <c r="E2" s="1706"/>
      <c r="F2" s="1706"/>
      <c r="G2" s="1706"/>
      <c r="H2" s="1706"/>
      <c r="I2" s="166" t="s">
        <v>425</v>
      </c>
      <c r="J2" s="2260" t="s">
        <v>4742</v>
      </c>
      <c r="K2" s="2261"/>
      <c r="L2" s="2261"/>
      <c r="M2" s="2268"/>
    </row>
    <row r="3" spans="1:13" ht="54.95" customHeight="1">
      <c r="A3" s="133" t="s">
        <v>247</v>
      </c>
      <c r="B3" s="1682" t="s">
        <v>4746</v>
      </c>
      <c r="C3" s="1682"/>
      <c r="D3" s="134" t="s">
        <v>249</v>
      </c>
      <c r="E3" s="197" t="s">
        <v>4747</v>
      </c>
      <c r="F3" s="134" t="s">
        <v>251</v>
      </c>
      <c r="G3" s="134" t="s">
        <v>4748</v>
      </c>
      <c r="H3" s="134" t="s">
        <v>252</v>
      </c>
      <c r="I3" s="166" t="s">
        <v>243</v>
      </c>
      <c r="J3" s="1707" t="s">
        <v>421</v>
      </c>
      <c r="K3" s="1708"/>
      <c r="L3" s="166" t="s">
        <v>245</v>
      </c>
      <c r="M3" s="222" t="s">
        <v>4749</v>
      </c>
    </row>
    <row r="4" spans="1:13" ht="99" customHeight="1">
      <c r="A4" s="133" t="s">
        <v>260</v>
      </c>
      <c r="B4" s="1697" t="s">
        <v>4750</v>
      </c>
      <c r="C4" s="1697"/>
      <c r="D4" s="1697"/>
      <c r="E4" s="1697"/>
      <c r="F4" s="198" t="s">
        <v>4775</v>
      </c>
      <c r="G4" s="1697" t="s">
        <v>4751</v>
      </c>
      <c r="H4" s="1697"/>
      <c r="I4" s="1697"/>
      <c r="J4" s="41" t="s">
        <v>565</v>
      </c>
      <c r="K4" s="15" t="s">
        <v>4776</v>
      </c>
      <c r="L4" s="15" t="s">
        <v>255</v>
      </c>
      <c r="M4" s="207" t="s">
        <v>4753</v>
      </c>
    </row>
    <row r="5" spans="1:13" ht="54.95" customHeight="1">
      <c r="A5" s="1688" t="s">
        <v>660</v>
      </c>
      <c r="B5" s="1689"/>
      <c r="C5" s="1689"/>
      <c r="D5" s="1690"/>
      <c r="E5" s="1690"/>
      <c r="F5" s="1690"/>
      <c r="G5" s="1690" t="s">
        <v>4777</v>
      </c>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42461</v>
      </c>
      <c r="B7" s="200">
        <v>600</v>
      </c>
      <c r="C7" s="200">
        <v>10800</v>
      </c>
      <c r="D7" s="200">
        <f>B7</f>
        <v>600</v>
      </c>
      <c r="E7" s="200">
        <f>C7</f>
        <v>10800</v>
      </c>
      <c r="F7" s="200"/>
      <c r="G7" s="180"/>
      <c r="H7" s="201"/>
      <c r="I7" s="200"/>
      <c r="J7" s="200"/>
      <c r="K7" s="200"/>
      <c r="L7" s="200">
        <f t="shared" ref="L7:L22" si="0">E7-J7</f>
        <v>10800</v>
      </c>
      <c r="M7" s="210"/>
    </row>
    <row r="8" spans="1:13" ht="30" customHeight="1">
      <c r="A8" s="199">
        <v>42491</v>
      </c>
      <c r="B8" s="200">
        <v>450</v>
      </c>
      <c r="C8" s="200">
        <v>8100</v>
      </c>
      <c r="D8" s="200">
        <f t="shared" ref="D8:D22" si="1">B8+D7</f>
        <v>1050</v>
      </c>
      <c r="E8" s="200">
        <f t="shared" ref="E8:E22" si="2">C8+E7</f>
        <v>18900</v>
      </c>
      <c r="F8" s="200"/>
      <c r="G8" s="180"/>
      <c r="H8" s="201"/>
      <c r="I8" s="200"/>
      <c r="J8" s="200"/>
      <c r="K8" s="200"/>
      <c r="L8" s="200">
        <f t="shared" si="0"/>
        <v>18900</v>
      </c>
      <c r="M8" s="210"/>
    </row>
    <row r="9" spans="1:13" ht="30" customHeight="1">
      <c r="A9" s="199">
        <v>42522</v>
      </c>
      <c r="B9" s="200">
        <v>209</v>
      </c>
      <c r="C9" s="200">
        <v>3762</v>
      </c>
      <c r="D9" s="200">
        <f t="shared" si="1"/>
        <v>1259</v>
      </c>
      <c r="E9" s="200">
        <f t="shared" si="2"/>
        <v>22662</v>
      </c>
      <c r="F9" s="200"/>
      <c r="G9" s="180"/>
      <c r="H9" s="201"/>
      <c r="I9" s="200"/>
      <c r="J9" s="200"/>
      <c r="K9" s="200"/>
      <c r="L9" s="200">
        <f t="shared" si="0"/>
        <v>22662</v>
      </c>
      <c r="M9" s="212"/>
    </row>
    <row r="10" spans="1:13" ht="30" customHeight="1">
      <c r="A10" s="199">
        <v>42552</v>
      </c>
      <c r="B10" s="200">
        <v>602</v>
      </c>
      <c r="C10" s="200">
        <v>10836</v>
      </c>
      <c r="D10" s="200">
        <f t="shared" si="1"/>
        <v>1861</v>
      </c>
      <c r="E10" s="200">
        <f t="shared" si="2"/>
        <v>33498</v>
      </c>
      <c r="F10" s="200"/>
      <c r="G10" s="180"/>
      <c r="H10" s="201"/>
      <c r="I10" s="200"/>
      <c r="J10" s="200"/>
      <c r="K10" s="200">
        <f t="shared" ref="K10:K20" si="3">K9+H10-I10</f>
        <v>0</v>
      </c>
      <c r="L10" s="200">
        <f t="shared" si="0"/>
        <v>33498</v>
      </c>
      <c r="M10" s="214"/>
    </row>
    <row r="11" spans="1:13" ht="30" customHeight="1">
      <c r="A11" s="199">
        <v>42583</v>
      </c>
      <c r="B11" s="200">
        <v>400</v>
      </c>
      <c r="C11" s="200">
        <v>7200</v>
      </c>
      <c r="D11" s="200">
        <f t="shared" si="1"/>
        <v>2261</v>
      </c>
      <c r="E11" s="200">
        <f t="shared" si="2"/>
        <v>40698</v>
      </c>
      <c r="F11" s="200"/>
      <c r="G11" s="180"/>
      <c r="H11" s="201"/>
      <c r="I11" s="200"/>
      <c r="J11" s="200"/>
      <c r="K11" s="200">
        <f t="shared" si="3"/>
        <v>0</v>
      </c>
      <c r="L11" s="200">
        <f t="shared" si="0"/>
        <v>40698</v>
      </c>
      <c r="M11" s="214"/>
    </row>
    <row r="12" spans="1:13" ht="30" customHeight="1">
      <c r="A12" s="199">
        <v>42614</v>
      </c>
      <c r="B12" s="200">
        <v>861</v>
      </c>
      <c r="C12" s="200">
        <v>15498</v>
      </c>
      <c r="D12" s="200">
        <f t="shared" si="1"/>
        <v>3122</v>
      </c>
      <c r="E12" s="200">
        <f t="shared" si="2"/>
        <v>56196</v>
      </c>
      <c r="F12" s="201"/>
      <c r="G12" s="180"/>
      <c r="H12" s="201"/>
      <c r="I12" s="201"/>
      <c r="J12" s="200"/>
      <c r="K12" s="200">
        <f t="shared" si="3"/>
        <v>0</v>
      </c>
      <c r="L12" s="200">
        <f t="shared" si="0"/>
        <v>56196</v>
      </c>
      <c r="M12" s="216"/>
    </row>
    <row r="13" spans="1:13" ht="30" customHeight="1">
      <c r="A13" s="217">
        <v>42644</v>
      </c>
      <c r="B13" s="200">
        <v>200</v>
      </c>
      <c r="C13" s="200">
        <v>3600</v>
      </c>
      <c r="D13" s="200">
        <f t="shared" si="1"/>
        <v>3322</v>
      </c>
      <c r="E13" s="200">
        <f t="shared" si="2"/>
        <v>59796</v>
      </c>
      <c r="F13" s="201"/>
      <c r="G13" s="180"/>
      <c r="H13" s="201"/>
      <c r="I13" s="201"/>
      <c r="J13" s="200"/>
      <c r="K13" s="200">
        <f t="shared" si="3"/>
        <v>0</v>
      </c>
      <c r="L13" s="200">
        <f t="shared" si="0"/>
        <v>59796</v>
      </c>
      <c r="M13" s="216"/>
    </row>
    <row r="14" spans="1:13" ht="30" customHeight="1">
      <c r="A14" s="217">
        <v>42675</v>
      </c>
      <c r="B14" s="200">
        <v>13140</v>
      </c>
      <c r="C14" s="200">
        <v>236520</v>
      </c>
      <c r="D14" s="200">
        <f t="shared" si="1"/>
        <v>16462</v>
      </c>
      <c r="E14" s="200">
        <f t="shared" si="2"/>
        <v>296316</v>
      </c>
      <c r="F14" s="201"/>
      <c r="G14" s="180"/>
      <c r="H14" s="201"/>
      <c r="I14" s="201"/>
      <c r="J14" s="200"/>
      <c r="K14" s="200">
        <f t="shared" si="3"/>
        <v>0</v>
      </c>
      <c r="L14" s="200">
        <f t="shared" si="0"/>
        <v>296316</v>
      </c>
      <c r="M14" s="216"/>
    </row>
    <row r="15" spans="1:13" ht="30" customHeight="1">
      <c r="A15" s="217">
        <v>42705</v>
      </c>
      <c r="B15" s="200">
        <v>27104</v>
      </c>
      <c r="C15" s="200">
        <v>487872</v>
      </c>
      <c r="D15" s="200">
        <f t="shared" si="1"/>
        <v>43566</v>
      </c>
      <c r="E15" s="200">
        <f t="shared" si="2"/>
        <v>784188</v>
      </c>
      <c r="F15" s="201"/>
      <c r="G15" s="180"/>
      <c r="H15" s="201"/>
      <c r="I15" s="201"/>
      <c r="J15" s="200"/>
      <c r="K15" s="200">
        <f t="shared" si="3"/>
        <v>0</v>
      </c>
      <c r="L15" s="200">
        <f t="shared" si="0"/>
        <v>784188</v>
      </c>
      <c r="M15" s="216"/>
    </row>
    <row r="16" spans="1:13" ht="30" customHeight="1">
      <c r="A16" s="217">
        <v>42736</v>
      </c>
      <c r="B16" s="200">
        <v>27795</v>
      </c>
      <c r="C16" s="200">
        <v>500310</v>
      </c>
      <c r="D16" s="200">
        <f t="shared" si="1"/>
        <v>71361</v>
      </c>
      <c r="E16" s="200">
        <f t="shared" si="2"/>
        <v>1284498</v>
      </c>
      <c r="F16" s="201"/>
      <c r="G16" s="180"/>
      <c r="H16" s="201"/>
      <c r="I16" s="201"/>
      <c r="J16" s="200"/>
      <c r="K16" s="200">
        <f t="shared" si="3"/>
        <v>0</v>
      </c>
      <c r="L16" s="200">
        <f t="shared" si="0"/>
        <v>1284498</v>
      </c>
      <c r="M16" s="216"/>
    </row>
    <row r="17" spans="1:13" ht="30" customHeight="1">
      <c r="A17" s="217">
        <v>42767</v>
      </c>
      <c r="B17" s="200">
        <v>4634</v>
      </c>
      <c r="C17" s="200">
        <v>83412</v>
      </c>
      <c r="D17" s="200">
        <f t="shared" si="1"/>
        <v>75995</v>
      </c>
      <c r="E17" s="200">
        <f t="shared" si="2"/>
        <v>1367910</v>
      </c>
      <c r="F17" s="201"/>
      <c r="G17" s="180"/>
      <c r="H17" s="201"/>
      <c r="I17" s="201"/>
      <c r="J17" s="200"/>
      <c r="K17" s="200">
        <f t="shared" si="3"/>
        <v>0</v>
      </c>
      <c r="L17" s="200">
        <f t="shared" si="0"/>
        <v>1367910</v>
      </c>
      <c r="M17" s="216"/>
    </row>
    <row r="18" spans="1:13" ht="30" customHeight="1">
      <c r="A18" s="217">
        <v>42795</v>
      </c>
      <c r="B18" s="200">
        <v>11818</v>
      </c>
      <c r="C18" s="218">
        <v>213174</v>
      </c>
      <c r="D18" s="200">
        <f t="shared" si="1"/>
        <v>87813</v>
      </c>
      <c r="E18" s="200">
        <f t="shared" si="2"/>
        <v>1581084</v>
      </c>
      <c r="F18" s="201"/>
      <c r="G18" s="180"/>
      <c r="H18" s="201"/>
      <c r="I18" s="201"/>
      <c r="J18" s="200"/>
      <c r="K18" s="200">
        <f t="shared" si="3"/>
        <v>0</v>
      </c>
      <c r="L18" s="200">
        <f t="shared" si="0"/>
        <v>1581084</v>
      </c>
      <c r="M18" s="216"/>
    </row>
    <row r="19" spans="1:13" ht="30" customHeight="1">
      <c r="A19" s="217">
        <v>42826</v>
      </c>
      <c r="B19" s="200">
        <v>13312</v>
      </c>
      <c r="C19" s="200">
        <v>239616</v>
      </c>
      <c r="D19" s="200">
        <f t="shared" si="1"/>
        <v>101125</v>
      </c>
      <c r="E19" s="200">
        <f t="shared" si="2"/>
        <v>1820700</v>
      </c>
      <c r="F19" s="201"/>
      <c r="G19" s="180"/>
      <c r="H19" s="201"/>
      <c r="I19" s="201"/>
      <c r="J19" s="200"/>
      <c r="K19" s="200">
        <f t="shared" si="3"/>
        <v>0</v>
      </c>
      <c r="L19" s="200">
        <f t="shared" si="0"/>
        <v>1820700</v>
      </c>
      <c r="M19" s="216"/>
    </row>
    <row r="20" spans="1:13" ht="30" customHeight="1">
      <c r="A20" s="219">
        <v>42856</v>
      </c>
      <c r="B20" s="200">
        <v>10868</v>
      </c>
      <c r="C20" s="200">
        <v>195624</v>
      </c>
      <c r="D20" s="200">
        <f t="shared" si="1"/>
        <v>111993</v>
      </c>
      <c r="E20" s="200">
        <f t="shared" si="2"/>
        <v>2016324</v>
      </c>
      <c r="F20" s="201"/>
      <c r="G20" s="180"/>
      <c r="H20" s="201"/>
      <c r="I20" s="201"/>
      <c r="J20" s="200"/>
      <c r="K20" s="200">
        <f t="shared" si="3"/>
        <v>0</v>
      </c>
      <c r="L20" s="200">
        <f t="shared" si="0"/>
        <v>2016324</v>
      </c>
      <c r="M20" s="216"/>
    </row>
    <row r="21" spans="1:13" ht="30" customHeight="1">
      <c r="A21" s="217">
        <v>42887</v>
      </c>
      <c r="B21" s="200">
        <v>2589</v>
      </c>
      <c r="C21" s="200">
        <v>47402</v>
      </c>
      <c r="D21" s="200">
        <f t="shared" si="1"/>
        <v>114582</v>
      </c>
      <c r="E21" s="200">
        <f t="shared" si="2"/>
        <v>2063726</v>
      </c>
      <c r="F21" s="201"/>
      <c r="G21" s="180"/>
      <c r="H21" s="201"/>
      <c r="I21" s="201"/>
      <c r="J21" s="200"/>
      <c r="K21" s="200"/>
      <c r="L21" s="200">
        <f t="shared" si="0"/>
        <v>2063726</v>
      </c>
      <c r="M21" s="216"/>
    </row>
    <row r="22" spans="1:13" ht="30" customHeight="1">
      <c r="A22" s="217">
        <v>42917</v>
      </c>
      <c r="B22" s="200">
        <v>1132</v>
      </c>
      <c r="C22" s="200">
        <v>20376</v>
      </c>
      <c r="D22" s="200">
        <f t="shared" si="1"/>
        <v>115714</v>
      </c>
      <c r="E22" s="200">
        <f t="shared" si="2"/>
        <v>2084102</v>
      </c>
      <c r="F22" s="201"/>
      <c r="G22" s="180"/>
      <c r="H22" s="201"/>
      <c r="I22" s="201"/>
      <c r="J22" s="200"/>
      <c r="K22" s="200"/>
      <c r="L22" s="200">
        <f t="shared" si="0"/>
        <v>2084102</v>
      </c>
      <c r="M22" s="216"/>
    </row>
    <row r="23" spans="1:13" ht="30" customHeight="1">
      <c r="A23" s="217"/>
      <c r="B23" s="200"/>
      <c r="C23" s="200"/>
      <c r="D23" s="200"/>
      <c r="E23" s="200"/>
      <c r="F23" s="201"/>
      <c r="G23" s="180"/>
      <c r="H23" s="201"/>
      <c r="I23" s="201"/>
      <c r="J23" s="200"/>
      <c r="K23" s="200"/>
      <c r="L23" s="200"/>
      <c r="M23" s="216"/>
    </row>
    <row r="24" spans="1:13" ht="30" customHeight="1">
      <c r="A24" s="217"/>
      <c r="B24" s="200"/>
      <c r="C24" s="200"/>
      <c r="D24" s="200"/>
      <c r="E24" s="200"/>
      <c r="F24" s="201"/>
      <c r="G24" s="180"/>
      <c r="H24" s="201"/>
      <c r="I24" s="201"/>
      <c r="J24" s="200"/>
      <c r="K24" s="200"/>
      <c r="L24" s="200"/>
      <c r="M24" s="216"/>
    </row>
    <row r="25" spans="1:13" ht="30" customHeight="1">
      <c r="A25" s="217"/>
      <c r="B25" s="200"/>
      <c r="C25" s="200"/>
      <c r="D25" s="200"/>
      <c r="E25" s="200"/>
      <c r="F25" s="201"/>
      <c r="G25" s="180"/>
      <c r="H25" s="201"/>
      <c r="I25" s="201"/>
      <c r="J25" s="200"/>
      <c r="K25" s="200"/>
      <c r="L25" s="200"/>
      <c r="M25" s="216"/>
    </row>
    <row r="26" spans="1:13" ht="30" customHeight="1">
      <c r="A26" s="217"/>
      <c r="B26" s="200"/>
      <c r="C26" s="200"/>
      <c r="D26" s="200"/>
      <c r="E26" s="200"/>
      <c r="F26" s="201"/>
      <c r="G26" s="180"/>
      <c r="H26" s="201"/>
      <c r="I26" s="201"/>
      <c r="J26" s="200"/>
      <c r="K26" s="200"/>
      <c r="L26" s="200"/>
      <c r="M26" s="216"/>
    </row>
    <row r="27" spans="1:13" ht="30" customHeight="1">
      <c r="A27" s="217"/>
      <c r="B27" s="200"/>
      <c r="C27" s="200"/>
      <c r="D27" s="200"/>
      <c r="E27" s="200"/>
      <c r="F27" s="201"/>
      <c r="G27" s="180"/>
      <c r="H27" s="201"/>
      <c r="I27" s="201"/>
      <c r="J27" s="200"/>
      <c r="K27" s="200"/>
      <c r="L27" s="200"/>
      <c r="M27" s="216"/>
    </row>
    <row r="28" spans="1:13" ht="30" customHeight="1">
      <c r="A28" s="217"/>
      <c r="B28" s="200"/>
      <c r="C28" s="200"/>
      <c r="D28" s="200"/>
      <c r="E28" s="200"/>
      <c r="F28" s="201"/>
      <c r="G28" s="180"/>
      <c r="H28" s="201"/>
      <c r="I28" s="201"/>
      <c r="J28" s="200"/>
      <c r="K28" s="200"/>
      <c r="L28" s="200"/>
      <c r="M28" s="216"/>
    </row>
    <row r="29" spans="1:13" ht="30" customHeight="1">
      <c r="A29" s="217"/>
      <c r="B29" s="200"/>
      <c r="C29" s="200"/>
      <c r="D29" s="200"/>
      <c r="E29" s="200"/>
      <c r="F29" s="201"/>
      <c r="G29" s="180"/>
      <c r="H29" s="201"/>
      <c r="I29" s="201"/>
      <c r="J29" s="200"/>
      <c r="K29" s="200"/>
      <c r="L29" s="200"/>
      <c r="M29" s="216"/>
    </row>
  </sheetData>
  <mergeCells count="13">
    <mergeCell ref="B3:C3"/>
    <mergeCell ref="J3:K3"/>
    <mergeCell ref="B4:E4"/>
    <mergeCell ref="G4:I4"/>
    <mergeCell ref="A5:C5"/>
    <mergeCell ref="D5:F5"/>
    <mergeCell ref="G5:I5"/>
    <mergeCell ref="E1:F1"/>
    <mergeCell ref="G1:H1"/>
    <mergeCell ref="J1:L1"/>
    <mergeCell ref="B2:C2"/>
    <mergeCell ref="E2:H2"/>
    <mergeCell ref="J2:M2"/>
  </mergeCells>
  <phoneticPr fontId="84" type="noConversion"/>
  <pageMargins left="0.75" right="0.75" top="1" bottom="1" header="0.51" footer="0.51"/>
</worksheet>
</file>

<file path=xl/worksheets/sheet2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3"/>
  <sheetViews>
    <sheetView topLeftCell="C4" zoomScaleSheetLayoutView="100" workbookViewId="0">
      <selection activeCell="K8" sqref="K8"/>
    </sheetView>
  </sheetViews>
  <sheetFormatPr defaultColWidth="9" defaultRowHeight="14.25"/>
  <cols>
    <col min="1" max="8" width="14.625" customWidth="1"/>
    <col min="9" max="9" width="16.25" customWidth="1"/>
    <col min="10" max="13" width="14.625" customWidth="1"/>
  </cols>
  <sheetData>
    <row r="1" spans="1:13" ht="54.95" customHeight="1">
      <c r="A1" s="130" t="s">
        <v>556</v>
      </c>
      <c r="B1" s="194"/>
      <c r="C1" s="195" t="s">
        <v>1388</v>
      </c>
      <c r="D1" s="131" t="s">
        <v>236</v>
      </c>
      <c r="E1" s="2095"/>
      <c r="F1" s="2095"/>
      <c r="G1" s="2263"/>
      <c r="H1" s="2263"/>
      <c r="I1" s="164" t="s">
        <v>4342</v>
      </c>
      <c r="J1" s="2229" t="s">
        <v>4778</v>
      </c>
      <c r="K1" s="2229"/>
      <c r="L1" s="2229"/>
      <c r="M1" s="203"/>
    </row>
    <row r="2" spans="1:13" ht="54.95" customHeight="1">
      <c r="A2" s="133" t="s">
        <v>240</v>
      </c>
      <c r="B2" s="1682" t="s">
        <v>4779</v>
      </c>
      <c r="C2" s="1682"/>
      <c r="D2" s="134" t="s">
        <v>242</v>
      </c>
      <c r="E2" s="1706"/>
      <c r="F2" s="1706"/>
      <c r="G2" s="1706"/>
      <c r="H2" s="1706"/>
      <c r="I2" s="166" t="s">
        <v>243</v>
      </c>
      <c r="J2" s="1707"/>
      <c r="K2" s="1708"/>
      <c r="L2" s="166" t="s">
        <v>245</v>
      </c>
      <c r="M2" s="205"/>
    </row>
    <row r="3" spans="1:13" ht="54.95" customHeight="1">
      <c r="A3" s="133" t="s">
        <v>247</v>
      </c>
      <c r="B3" s="1682" t="s">
        <v>4780</v>
      </c>
      <c r="C3" s="1682"/>
      <c r="D3" s="134" t="s">
        <v>249</v>
      </c>
      <c r="E3" s="197"/>
      <c r="F3" s="134" t="s">
        <v>251</v>
      </c>
      <c r="G3" s="134"/>
      <c r="H3" s="134" t="s">
        <v>252</v>
      </c>
      <c r="I3" s="206"/>
      <c r="J3" s="41" t="s">
        <v>565</v>
      </c>
      <c r="K3" s="15"/>
      <c r="L3" s="15" t="s">
        <v>255</v>
      </c>
      <c r="M3" s="207"/>
    </row>
    <row r="4" spans="1:13" ht="54.95" customHeight="1">
      <c r="A4" s="133" t="s">
        <v>260</v>
      </c>
      <c r="B4" s="1726"/>
      <c r="C4" s="1726"/>
      <c r="D4" s="1726"/>
      <c r="E4" s="1726"/>
      <c r="F4" s="1726"/>
      <c r="G4" s="1726"/>
      <c r="H4" s="1726"/>
      <c r="I4" s="1726"/>
      <c r="J4" s="1726"/>
      <c r="K4" s="1726"/>
      <c r="L4" s="1726"/>
      <c r="M4" s="208"/>
    </row>
    <row r="5" spans="1:13" ht="54.95" customHeight="1">
      <c r="A5" s="1688" t="s">
        <v>660</v>
      </c>
      <c r="B5" s="1689"/>
      <c r="C5" s="1689"/>
      <c r="D5" s="1690"/>
      <c r="E5" s="1690"/>
      <c r="F5" s="1690"/>
      <c r="G5" s="1690"/>
      <c r="H5" s="1690"/>
      <c r="I5" s="1690"/>
      <c r="J5" s="138"/>
      <c r="K5" s="138"/>
      <c r="L5" s="138"/>
      <c r="M5" s="209"/>
    </row>
    <row r="6" spans="1:13" ht="56.1"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199">
        <v>42491</v>
      </c>
      <c r="B7" s="200">
        <v>747.5</v>
      </c>
      <c r="C7" s="200">
        <v>171712.5</v>
      </c>
      <c r="D7" s="200">
        <f>B7</f>
        <v>747.5</v>
      </c>
      <c r="E7" s="200">
        <f>C7</f>
        <v>171712.5</v>
      </c>
      <c r="F7" s="200"/>
      <c r="G7" s="180"/>
      <c r="H7" s="201"/>
      <c r="I7" s="200"/>
      <c r="J7" s="200"/>
      <c r="K7" s="200"/>
      <c r="L7" s="200">
        <f>E7-J7</f>
        <v>171712.5</v>
      </c>
      <c r="M7" s="210"/>
    </row>
    <row r="8" spans="1:13" ht="30" customHeight="1">
      <c r="A8" s="199">
        <v>42705</v>
      </c>
      <c r="B8" s="200"/>
      <c r="C8" s="200"/>
      <c r="D8" s="200">
        <f>B8+D7</f>
        <v>747.5</v>
      </c>
      <c r="E8" s="200">
        <f>C8+E7</f>
        <v>171712.5</v>
      </c>
      <c r="F8" s="200"/>
      <c r="G8" s="180"/>
      <c r="H8" s="201">
        <f>C7</f>
        <v>171712.5</v>
      </c>
      <c r="I8" s="200"/>
      <c r="J8" s="200">
        <v>171712.5</v>
      </c>
      <c r="K8" s="200">
        <v>0</v>
      </c>
      <c r="L8" s="200">
        <f>E8-J8</f>
        <v>0</v>
      </c>
      <c r="M8" s="210" t="s">
        <v>4781</v>
      </c>
    </row>
    <row r="9" spans="1:13" ht="30" customHeight="1">
      <c r="A9" s="199"/>
      <c r="B9" s="200"/>
      <c r="C9" s="200"/>
      <c r="D9" s="200"/>
      <c r="E9" s="200"/>
      <c r="F9" s="200"/>
      <c r="G9" s="180"/>
      <c r="H9" s="201">
        <f>C8</f>
        <v>0</v>
      </c>
      <c r="I9" s="200"/>
      <c r="J9" s="200"/>
      <c r="K9" s="200"/>
      <c r="L9" s="211"/>
      <c r="M9" s="212" t="s">
        <v>4782</v>
      </c>
    </row>
    <row r="10" spans="1:13" ht="30" customHeight="1">
      <c r="A10" s="199"/>
      <c r="B10" s="200"/>
      <c r="C10" s="200"/>
      <c r="D10" s="200"/>
      <c r="E10" s="200"/>
      <c r="F10" s="200"/>
      <c r="G10" s="180"/>
      <c r="H10" s="201"/>
      <c r="I10" s="200"/>
      <c r="J10" s="200"/>
      <c r="K10" s="213"/>
      <c r="L10" s="200"/>
      <c r="M10" s="214"/>
    </row>
    <row r="11" spans="1:13" ht="30" customHeight="1">
      <c r="A11" s="199"/>
      <c r="B11" s="200"/>
      <c r="C11" s="200"/>
      <c r="D11" s="200"/>
      <c r="E11" s="200"/>
      <c r="F11" s="200"/>
      <c r="G11" s="180"/>
      <c r="H11" s="201"/>
      <c r="I11" s="200"/>
      <c r="J11" s="200"/>
      <c r="K11" s="213"/>
      <c r="L11" s="200"/>
      <c r="M11" s="214"/>
    </row>
    <row r="12" spans="1:13" ht="30" customHeight="1">
      <c r="A12" s="199"/>
      <c r="B12" s="200"/>
      <c r="C12" s="200"/>
      <c r="D12" s="200"/>
      <c r="E12" s="180"/>
      <c r="F12" s="201"/>
      <c r="G12" s="200"/>
      <c r="H12" s="200"/>
      <c r="I12" s="200"/>
      <c r="J12" s="200"/>
      <c r="K12" s="215"/>
      <c r="L12" s="216"/>
      <c r="M12" s="216"/>
    </row>
    <row r="13" spans="1:13" ht="30" customHeight="1">
      <c r="A13" s="202"/>
      <c r="B13" s="200"/>
      <c r="C13" s="200"/>
      <c r="D13" s="200"/>
      <c r="E13" s="180"/>
      <c r="F13" s="201"/>
      <c r="G13" s="200"/>
      <c r="H13" s="200"/>
      <c r="I13" s="200"/>
      <c r="J13" s="200"/>
      <c r="K13" s="215"/>
      <c r="L13" s="216"/>
      <c r="M13" s="216"/>
    </row>
  </sheetData>
  <mergeCells count="13">
    <mergeCell ref="B3:C3"/>
    <mergeCell ref="B4:E4"/>
    <mergeCell ref="F4:I4"/>
    <mergeCell ref="J4:L4"/>
    <mergeCell ref="A5:C5"/>
    <mergeCell ref="D5:F5"/>
    <mergeCell ref="G5:I5"/>
    <mergeCell ref="E1:F1"/>
    <mergeCell ref="G1:H1"/>
    <mergeCell ref="J1:L1"/>
    <mergeCell ref="B2:C2"/>
    <mergeCell ref="E2:H2"/>
    <mergeCell ref="J2:K2"/>
  </mergeCells>
  <phoneticPr fontId="84" type="noConversion"/>
  <pageMargins left="0.75" right="0.75" top="1" bottom="1" header="0.51" footer="0.51"/>
</worksheet>
</file>

<file path=xl/worksheets/sheet2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A4" zoomScaleSheetLayoutView="100" workbookViewId="0">
      <selection activeCell="B12" sqref="B12"/>
    </sheetView>
  </sheetViews>
  <sheetFormatPr defaultColWidth="9" defaultRowHeight="14.25"/>
  <cols>
    <col min="1" max="2" width="14.375" customWidth="1"/>
    <col min="3" max="3" width="14.625" customWidth="1"/>
    <col min="4" max="4" width="16.75" customWidth="1"/>
    <col min="5" max="5" width="14.375" customWidth="1"/>
    <col min="6" max="6" width="12.5" customWidth="1"/>
    <col min="7" max="7" width="13.375" customWidth="1"/>
    <col min="8" max="8" width="14" customWidth="1"/>
    <col min="9" max="9" width="13.5" customWidth="1"/>
    <col min="10" max="10" width="12.625" customWidth="1"/>
    <col min="11" max="11" width="13.125" customWidth="1"/>
    <col min="12" max="12" width="13.625" customWidth="1"/>
    <col min="13" max="13" width="27.25" customWidth="1"/>
  </cols>
  <sheetData>
    <row r="1" spans="1:15" ht="72" customHeight="1">
      <c r="A1" s="34" t="s">
        <v>556</v>
      </c>
      <c r="B1" s="35"/>
      <c r="C1" s="2256" t="s">
        <v>4783</v>
      </c>
      <c r="D1" s="2256"/>
      <c r="E1" s="38" t="s">
        <v>236</v>
      </c>
      <c r="F1" s="2270"/>
      <c r="G1" s="2270"/>
      <c r="H1" s="2270"/>
      <c r="I1" s="57" t="s">
        <v>237</v>
      </c>
      <c r="J1" s="1636" t="s">
        <v>4784</v>
      </c>
      <c r="K1" s="1636"/>
      <c r="L1" s="1636"/>
      <c r="M1" s="88"/>
      <c r="N1" s="4"/>
      <c r="O1" s="4"/>
    </row>
    <row r="2" spans="1:15" ht="36.950000000000003" customHeight="1">
      <c r="A2" s="39" t="s">
        <v>240</v>
      </c>
      <c r="B2" s="1637" t="s">
        <v>4785</v>
      </c>
      <c r="C2" s="1637"/>
      <c r="D2" s="41" t="s">
        <v>242</v>
      </c>
      <c r="E2" s="1637"/>
      <c r="F2" s="1637"/>
      <c r="G2" s="1637"/>
      <c r="H2" s="2258"/>
      <c r="I2" s="2258"/>
      <c r="J2" s="41" t="s">
        <v>321</v>
      </c>
      <c r="K2" s="40" t="s">
        <v>4786</v>
      </c>
      <c r="L2" s="41" t="s">
        <v>245</v>
      </c>
      <c r="M2" s="89"/>
      <c r="N2" s="4"/>
      <c r="O2" s="4"/>
    </row>
    <row r="3" spans="1:15" ht="36" customHeight="1">
      <c r="A3" s="39" t="s">
        <v>247</v>
      </c>
      <c r="B3" s="1637" t="s">
        <v>4787</v>
      </c>
      <c r="C3" s="1637"/>
      <c r="D3" s="41" t="s">
        <v>249</v>
      </c>
      <c r="E3" s="186">
        <v>10000</v>
      </c>
      <c r="F3" s="41" t="s">
        <v>251</v>
      </c>
      <c r="G3" s="41"/>
      <c r="H3" s="41" t="s">
        <v>252</v>
      </c>
      <c r="I3" s="90"/>
      <c r="J3" s="91" t="s">
        <v>253</v>
      </c>
      <c r="K3" s="15"/>
      <c r="L3" s="15" t="s">
        <v>255</v>
      </c>
      <c r="M3" s="105"/>
      <c r="N3" s="4"/>
      <c r="O3" s="4"/>
    </row>
    <row r="4" spans="1:15" ht="56.1" customHeight="1">
      <c r="A4" s="39" t="s">
        <v>260</v>
      </c>
      <c r="B4" s="2156" t="s">
        <v>4788</v>
      </c>
      <c r="C4" s="2156"/>
      <c r="D4" s="2156"/>
      <c r="E4" s="2156"/>
      <c r="F4" s="2156" t="s">
        <v>4432</v>
      </c>
      <c r="G4" s="2156"/>
      <c r="H4" s="2156"/>
      <c r="I4" s="191"/>
      <c r="J4" s="2132"/>
      <c r="K4" s="2132"/>
      <c r="L4" s="2132"/>
      <c r="M4" s="93"/>
      <c r="N4" s="4"/>
      <c r="O4" s="4"/>
    </row>
    <row r="5" spans="1:15" ht="39.950000000000003" customHeight="1">
      <c r="A5" s="19" t="s">
        <v>266</v>
      </c>
      <c r="B5" s="20" t="s">
        <v>267</v>
      </c>
      <c r="C5" s="20" t="s">
        <v>268</v>
      </c>
      <c r="D5" s="20" t="s">
        <v>269</v>
      </c>
      <c r="E5" s="20" t="s">
        <v>270</v>
      </c>
      <c r="F5" s="20" t="s">
        <v>271</v>
      </c>
      <c r="G5" s="21" t="s">
        <v>272</v>
      </c>
      <c r="H5" s="22" t="s">
        <v>273</v>
      </c>
      <c r="I5" s="20" t="s">
        <v>274</v>
      </c>
      <c r="J5" s="70" t="s">
        <v>275</v>
      </c>
      <c r="K5" s="70" t="s">
        <v>276</v>
      </c>
      <c r="L5" s="20" t="s">
        <v>277</v>
      </c>
      <c r="M5" s="71" t="s">
        <v>278</v>
      </c>
      <c r="N5" s="4"/>
      <c r="O5" s="4"/>
    </row>
    <row r="6" spans="1:15" s="185" customFormat="1" ht="30.95" customHeight="1">
      <c r="A6" s="188">
        <v>42644</v>
      </c>
      <c r="B6" s="180"/>
      <c r="C6" s="180"/>
      <c r="D6" s="180">
        <f>B6</f>
        <v>0</v>
      </c>
      <c r="E6" s="180">
        <f>C6</f>
        <v>0</v>
      </c>
      <c r="F6" s="180"/>
      <c r="G6" s="181"/>
      <c r="H6" s="181"/>
      <c r="I6" s="181"/>
      <c r="J6" s="181"/>
      <c r="K6" s="181"/>
      <c r="L6" s="181"/>
      <c r="M6" s="192"/>
      <c r="N6" s="6"/>
      <c r="O6" s="6"/>
    </row>
    <row r="7" spans="1:15" s="185" customFormat="1" ht="30.95" customHeight="1">
      <c r="A7" s="188"/>
      <c r="B7" s="180"/>
      <c r="C7" s="180"/>
      <c r="D7" s="180">
        <f t="shared" ref="D7:D14" si="0">D6+B7</f>
        <v>0</v>
      </c>
      <c r="E7" s="180">
        <f t="shared" ref="E7:E14" si="1">E6+C7</f>
        <v>0</v>
      </c>
      <c r="F7" s="180"/>
      <c r="G7" s="181"/>
      <c r="H7" s="181"/>
      <c r="I7" s="181"/>
      <c r="J7" s="181"/>
      <c r="K7" s="181">
        <f>K6+H7-I7</f>
        <v>0</v>
      </c>
      <c r="L7" s="181">
        <f t="shared" ref="L7:L14" si="2">E7-J7</f>
        <v>0</v>
      </c>
      <c r="M7" s="193"/>
      <c r="N7" s="6"/>
      <c r="O7" s="6"/>
    </row>
    <row r="8" spans="1:15" s="185" customFormat="1" ht="30.95" customHeight="1">
      <c r="A8" s="188"/>
      <c r="B8" s="180"/>
      <c r="C8" s="180"/>
      <c r="D8" s="180">
        <f t="shared" si="0"/>
        <v>0</v>
      </c>
      <c r="E8" s="180">
        <f t="shared" si="1"/>
        <v>0</v>
      </c>
      <c r="F8" s="180"/>
      <c r="G8" s="181"/>
      <c r="H8" s="181"/>
      <c r="I8" s="181"/>
      <c r="J8" s="181"/>
      <c r="K8" s="181">
        <f>K7+H8-I8</f>
        <v>0</v>
      </c>
      <c r="L8" s="181">
        <f t="shared" si="2"/>
        <v>0</v>
      </c>
      <c r="M8" s="193"/>
      <c r="N8" s="6"/>
      <c r="O8" s="6"/>
    </row>
    <row r="9" spans="1:15" s="185" customFormat="1" ht="30.95" customHeight="1">
      <c r="A9" s="188"/>
      <c r="B9" s="180"/>
      <c r="C9" s="180"/>
      <c r="D9" s="180">
        <f t="shared" si="0"/>
        <v>0</v>
      </c>
      <c r="E9" s="180">
        <f t="shared" si="1"/>
        <v>0</v>
      </c>
      <c r="F9" s="180"/>
      <c r="G9" s="181"/>
      <c r="H9" s="181"/>
      <c r="I9" s="181"/>
      <c r="J9" s="181"/>
      <c r="K9" s="181">
        <f>K8+H9-I9</f>
        <v>0</v>
      </c>
      <c r="L9" s="181">
        <f t="shared" si="2"/>
        <v>0</v>
      </c>
      <c r="M9" s="193"/>
      <c r="N9" s="6"/>
      <c r="O9" s="6"/>
    </row>
    <row r="10" spans="1:15" s="185" customFormat="1" ht="30.95" customHeight="1">
      <c r="A10" s="188"/>
      <c r="B10" s="180"/>
      <c r="C10" s="180"/>
      <c r="D10" s="180">
        <f t="shared" si="0"/>
        <v>0</v>
      </c>
      <c r="E10" s="180">
        <f t="shared" si="1"/>
        <v>0</v>
      </c>
      <c r="F10" s="180"/>
      <c r="G10" s="181"/>
      <c r="H10" s="181"/>
      <c r="I10" s="181"/>
      <c r="J10" s="181"/>
      <c r="K10" s="181"/>
      <c r="L10" s="181">
        <f t="shared" si="2"/>
        <v>0</v>
      </c>
      <c r="M10" s="193"/>
      <c r="N10" s="6"/>
      <c r="O10" s="6"/>
    </row>
    <row r="11" spans="1:15" s="185" customFormat="1" ht="30.95" customHeight="1">
      <c r="A11" s="189"/>
      <c r="B11" s="180"/>
      <c r="C11" s="180"/>
      <c r="D11" s="180">
        <f t="shared" si="0"/>
        <v>0</v>
      </c>
      <c r="E11" s="180">
        <f t="shared" si="1"/>
        <v>0</v>
      </c>
      <c r="F11" s="180"/>
      <c r="G11" s="181"/>
      <c r="H11" s="181"/>
      <c r="I11" s="181"/>
      <c r="J11" s="181"/>
      <c r="K11" s="181"/>
      <c r="L11" s="181">
        <f t="shared" si="2"/>
        <v>0</v>
      </c>
      <c r="M11" s="193"/>
      <c r="N11" s="6"/>
      <c r="O11" s="6"/>
    </row>
    <row r="12" spans="1:15" s="185" customFormat="1" ht="30.95" customHeight="1">
      <c r="A12" s="189"/>
      <c r="B12" s="180"/>
      <c r="C12" s="180"/>
      <c r="D12" s="180">
        <f t="shared" si="0"/>
        <v>0</v>
      </c>
      <c r="E12" s="180">
        <f t="shared" si="1"/>
        <v>0</v>
      </c>
      <c r="F12" s="180"/>
      <c r="G12" s="181"/>
      <c r="H12" s="181"/>
      <c r="I12" s="181"/>
      <c r="J12" s="181"/>
      <c r="K12" s="181"/>
      <c r="L12" s="181">
        <f t="shared" si="2"/>
        <v>0</v>
      </c>
      <c r="M12" s="193"/>
      <c r="N12" s="6"/>
      <c r="O12" s="6"/>
    </row>
    <row r="13" spans="1:15" s="185" customFormat="1" ht="30.95" customHeight="1">
      <c r="A13" s="189"/>
      <c r="B13" s="180"/>
      <c r="C13" s="180"/>
      <c r="D13" s="180">
        <f t="shared" si="0"/>
        <v>0</v>
      </c>
      <c r="E13" s="180">
        <f t="shared" si="1"/>
        <v>0</v>
      </c>
      <c r="F13" s="180"/>
      <c r="G13" s="181"/>
      <c r="H13" s="181"/>
      <c r="I13" s="181"/>
      <c r="J13" s="181">
        <f>I13</f>
        <v>0</v>
      </c>
      <c r="K13" s="181"/>
      <c r="L13" s="181">
        <f t="shared" si="2"/>
        <v>0</v>
      </c>
      <c r="M13" s="193" t="s">
        <v>4789</v>
      </c>
      <c r="N13" s="6"/>
      <c r="O13" s="6"/>
    </row>
    <row r="14" spans="1:15" s="185" customFormat="1" ht="30.95" customHeight="1">
      <c r="A14" s="189"/>
      <c r="B14" s="180"/>
      <c r="C14" s="180"/>
      <c r="D14" s="180">
        <f t="shared" si="0"/>
        <v>0</v>
      </c>
      <c r="E14" s="180">
        <f t="shared" si="1"/>
        <v>0</v>
      </c>
      <c r="F14" s="180"/>
      <c r="G14" s="181"/>
      <c r="H14" s="181"/>
      <c r="I14" s="181"/>
      <c r="J14" s="181">
        <f>J13+I14</f>
        <v>0</v>
      </c>
      <c r="K14" s="181"/>
      <c r="L14" s="181">
        <f t="shared" si="2"/>
        <v>0</v>
      </c>
      <c r="M14" s="193"/>
      <c r="N14" s="6"/>
      <c r="O14" s="6"/>
    </row>
    <row r="15" spans="1:15" s="185" customFormat="1" ht="30.95" customHeight="1">
      <c r="A15" s="189"/>
      <c r="B15" s="180"/>
      <c r="C15" s="180"/>
      <c r="D15" s="180"/>
      <c r="E15" s="180"/>
      <c r="F15" s="180"/>
      <c r="G15" s="181"/>
      <c r="H15" s="181"/>
      <c r="I15" s="181"/>
      <c r="J15" s="181"/>
      <c r="K15" s="181"/>
      <c r="L15" s="181"/>
      <c r="M15" s="193"/>
      <c r="N15" s="6"/>
      <c r="O15" s="6"/>
    </row>
    <row r="16" spans="1:15" s="185" customFormat="1" ht="30.95" customHeight="1">
      <c r="A16" s="189"/>
      <c r="B16" s="180"/>
      <c r="C16" s="180"/>
      <c r="D16" s="180"/>
      <c r="E16" s="180"/>
      <c r="F16" s="180"/>
      <c r="G16" s="181"/>
      <c r="H16" s="181"/>
      <c r="I16" s="181"/>
      <c r="J16" s="181"/>
      <c r="K16" s="181"/>
      <c r="L16" s="181"/>
      <c r="M16" s="193"/>
      <c r="N16" s="6"/>
      <c r="O16" s="6"/>
    </row>
    <row r="17" spans="1:15" s="185" customFormat="1" ht="30.95" customHeight="1">
      <c r="A17" s="189"/>
      <c r="B17" s="180"/>
      <c r="C17" s="180"/>
      <c r="D17" s="180"/>
      <c r="E17" s="180"/>
      <c r="F17" s="180"/>
      <c r="G17" s="181"/>
      <c r="H17" s="181"/>
      <c r="I17" s="181"/>
      <c r="J17" s="181"/>
      <c r="K17" s="181"/>
      <c r="L17" s="181"/>
      <c r="M17" s="193"/>
      <c r="N17" s="6"/>
      <c r="O17" s="6"/>
    </row>
    <row r="18" spans="1:15" s="185" customFormat="1" ht="30.95" customHeight="1">
      <c r="A18" s="190"/>
      <c r="B18" s="180"/>
      <c r="C18" s="180"/>
      <c r="D18" s="180"/>
      <c r="E18" s="180"/>
      <c r="F18" s="180"/>
      <c r="G18" s="181"/>
      <c r="H18" s="181"/>
      <c r="I18" s="181"/>
      <c r="J18" s="181"/>
      <c r="K18" s="181"/>
      <c r="L18" s="181"/>
      <c r="M18" s="193"/>
      <c r="N18" s="6"/>
      <c r="O18" s="6"/>
    </row>
  </sheetData>
  <mergeCells count="11">
    <mergeCell ref="C1:D1"/>
    <mergeCell ref="F1:H1"/>
    <mergeCell ref="J1:L1"/>
    <mergeCell ref="B2:C2"/>
    <mergeCell ref="E2:G2"/>
    <mergeCell ref="H2:I2"/>
    <mergeCell ref="B3:C3"/>
    <mergeCell ref="B4:C4"/>
    <mergeCell ref="D4:E4"/>
    <mergeCell ref="F4:H4"/>
    <mergeCell ref="J4:L4"/>
  </mergeCells>
  <phoneticPr fontId="84" type="noConversion"/>
  <pageMargins left="0.75" right="0.75" top="1" bottom="1" header="0.51" footer="0.51"/>
  <pageSetup paperSize="9" orientation="portrait" horizontalDpi="200" verticalDpi="200"/>
</worksheet>
</file>

<file path=xl/worksheets/sheet2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0"/>
  <sheetViews>
    <sheetView topLeftCell="A118" zoomScaleSheetLayoutView="100" workbookViewId="0">
      <selection activeCell="A159" sqref="A159"/>
    </sheetView>
  </sheetViews>
  <sheetFormatPr defaultRowHeight="14.25"/>
  <cols>
    <col min="1" max="1" width="15.375" style="11" customWidth="1"/>
    <col min="2" max="2" width="11.5" style="11" customWidth="1"/>
    <col min="3" max="3" width="13.875" style="11" customWidth="1"/>
    <col min="4" max="4" width="14.75" style="11" customWidth="1"/>
    <col min="5" max="5" width="14" style="11" customWidth="1"/>
    <col min="6" max="6" width="15" style="11" customWidth="1"/>
    <col min="7" max="7" width="13.25" style="12" customWidth="1"/>
    <col min="8" max="8" width="14.25" style="11" customWidth="1"/>
    <col min="9" max="9" width="14" style="11" customWidth="1"/>
    <col min="10" max="10" width="18.75" style="11" customWidth="1"/>
    <col min="11" max="11" width="17.375" style="11" customWidth="1"/>
    <col min="12" max="12" width="20.375" style="11" customWidth="1"/>
    <col min="13" max="13" width="36" style="11" customWidth="1"/>
    <col min="14" max="14" width="16.375" style="11" customWidth="1"/>
    <col min="15" max="15" width="9.25" style="11" bestFit="1" customWidth="1"/>
    <col min="16" max="16" width="14.625" style="11" customWidth="1"/>
    <col min="17" max="16384" width="9" style="11"/>
  </cols>
  <sheetData>
    <row r="1" spans="1:15" s="1" customFormat="1" ht="28.5" customHeight="1">
      <c r="A1" s="2271" t="s">
        <v>4790</v>
      </c>
      <c r="B1" s="2272"/>
      <c r="C1" s="2272"/>
      <c r="D1" s="13" t="s">
        <v>4791</v>
      </c>
      <c r="E1" s="13"/>
      <c r="F1" s="13"/>
      <c r="G1" s="13"/>
      <c r="H1" s="13"/>
      <c r="I1" s="13"/>
      <c r="J1" s="62" t="s">
        <v>237</v>
      </c>
      <c r="K1" s="2273" t="s">
        <v>4792</v>
      </c>
      <c r="L1" s="2273"/>
      <c r="M1" s="2274"/>
      <c r="N1" s="63"/>
      <c r="O1" s="63"/>
    </row>
    <row r="2" spans="1:15" s="1" customFormat="1" ht="30.75" customHeight="1">
      <c r="A2" s="14" t="s">
        <v>240</v>
      </c>
      <c r="B2" s="2275" t="s">
        <v>4793</v>
      </c>
      <c r="C2" s="2275"/>
      <c r="D2" s="16" t="s">
        <v>242</v>
      </c>
      <c r="E2" s="2276" t="s">
        <v>4793</v>
      </c>
      <c r="F2" s="2276"/>
      <c r="G2" s="2276"/>
      <c r="H2" s="2276"/>
      <c r="I2" s="2276"/>
      <c r="J2" s="64" t="s">
        <v>253</v>
      </c>
      <c r="K2" s="65" t="s">
        <v>4794</v>
      </c>
      <c r="L2" s="66" t="s">
        <v>255</v>
      </c>
      <c r="M2" s="67" t="s">
        <v>4795</v>
      </c>
      <c r="N2" s="63"/>
      <c r="O2" s="63"/>
    </row>
    <row r="3" spans="1:15" s="1" customFormat="1" ht="32.25" customHeight="1">
      <c r="A3" s="14" t="s">
        <v>247</v>
      </c>
      <c r="B3" s="2275" t="s">
        <v>4796</v>
      </c>
      <c r="C3" s="2275"/>
      <c r="D3" s="16" t="s">
        <v>249</v>
      </c>
      <c r="E3" s="17" t="s">
        <v>4797</v>
      </c>
      <c r="F3" s="16" t="s">
        <v>251</v>
      </c>
      <c r="G3" s="16" t="s">
        <v>4798</v>
      </c>
      <c r="H3" s="18" t="s">
        <v>252</v>
      </c>
      <c r="I3" s="28">
        <v>13826290956</v>
      </c>
      <c r="J3" s="41" t="s">
        <v>243</v>
      </c>
      <c r="K3" s="68"/>
      <c r="L3" s="40" t="s">
        <v>4799</v>
      </c>
      <c r="M3" s="69"/>
      <c r="N3" s="63"/>
      <c r="O3" s="63"/>
    </row>
    <row r="4" spans="1:15" s="1" customFormat="1" ht="33" customHeight="1">
      <c r="A4" s="14" t="s">
        <v>260</v>
      </c>
      <c r="B4" s="2277" t="s">
        <v>4800</v>
      </c>
      <c r="C4" s="2277"/>
      <c r="D4" s="2277"/>
      <c r="E4" s="2277"/>
      <c r="F4" s="2277"/>
      <c r="G4" s="2277"/>
      <c r="H4" s="2277"/>
      <c r="I4" s="2277"/>
      <c r="J4" s="2277"/>
      <c r="K4" s="2277"/>
      <c r="L4" s="2277"/>
      <c r="M4" s="2278"/>
      <c r="N4" s="63"/>
      <c r="O4" s="63"/>
    </row>
    <row r="5" spans="1:15" s="2" customFormat="1" ht="36.75" customHeight="1">
      <c r="A5" s="19" t="s">
        <v>266</v>
      </c>
      <c r="B5" s="20" t="s">
        <v>267</v>
      </c>
      <c r="C5" s="20" t="s">
        <v>268</v>
      </c>
      <c r="D5" s="20" t="s">
        <v>269</v>
      </c>
      <c r="E5" s="20" t="s">
        <v>270</v>
      </c>
      <c r="F5" s="20" t="s">
        <v>271</v>
      </c>
      <c r="G5" s="21" t="s">
        <v>272</v>
      </c>
      <c r="H5" s="22" t="s">
        <v>273</v>
      </c>
      <c r="I5" s="22" t="s">
        <v>274</v>
      </c>
      <c r="J5" s="70" t="s">
        <v>275</v>
      </c>
      <c r="K5" s="70" t="s">
        <v>276</v>
      </c>
      <c r="L5" s="20" t="s">
        <v>277</v>
      </c>
      <c r="M5" s="71" t="s">
        <v>278</v>
      </c>
      <c r="N5" s="72"/>
      <c r="O5" s="72"/>
    </row>
    <row r="6" spans="1:15" s="3" customFormat="1" ht="27.75" customHeight="1">
      <c r="A6" s="23" t="s">
        <v>4801</v>
      </c>
      <c r="B6" s="24">
        <v>176.5</v>
      </c>
      <c r="C6" s="24">
        <v>40767.5</v>
      </c>
      <c r="D6" s="24">
        <f>B6</f>
        <v>176.5</v>
      </c>
      <c r="E6" s="24">
        <f>C6</f>
        <v>40767.5</v>
      </c>
      <c r="F6" s="24">
        <f>6000-176.5</f>
        <v>5823.5</v>
      </c>
      <c r="G6" s="25">
        <v>0</v>
      </c>
      <c r="H6" s="24">
        <v>0</v>
      </c>
      <c r="I6" s="73">
        <v>0</v>
      </c>
      <c r="J6" s="24">
        <v>0</v>
      </c>
      <c r="K6" s="74"/>
      <c r="L6" s="24">
        <f t="shared" ref="L6:L13" si="0">E6-J6</f>
        <v>40767.5</v>
      </c>
      <c r="M6" s="75"/>
      <c r="N6" s="76"/>
      <c r="O6" s="76"/>
    </row>
    <row r="7" spans="1:15" s="3" customFormat="1" ht="27.75" customHeight="1">
      <c r="A7" s="23">
        <v>39417</v>
      </c>
      <c r="B7" s="24">
        <v>231</v>
      </c>
      <c r="C7" s="24">
        <v>58315</v>
      </c>
      <c r="D7" s="24">
        <f t="shared" ref="D7:D13" si="1">D6+B7</f>
        <v>407.5</v>
      </c>
      <c r="E7" s="24">
        <f t="shared" ref="E7:E13" si="2">E6+C7</f>
        <v>99082.5</v>
      </c>
      <c r="F7" s="24">
        <f t="shared" ref="F7:F13" si="3">F6-B7</f>
        <v>5592.5</v>
      </c>
      <c r="G7" s="25">
        <v>0</v>
      </c>
      <c r="H7" s="24">
        <f t="shared" ref="H7:H13" si="4">C6</f>
        <v>40767.5</v>
      </c>
      <c r="I7" s="73">
        <v>0</v>
      </c>
      <c r="J7" s="24">
        <v>0</v>
      </c>
      <c r="K7" s="74">
        <f t="shared" ref="K7:K13" si="5">H7-I7+K6</f>
        <v>40767.5</v>
      </c>
      <c r="L7" s="24">
        <f t="shared" si="0"/>
        <v>99082.5</v>
      </c>
      <c r="M7" s="77" t="s">
        <v>4802</v>
      </c>
      <c r="N7" s="76"/>
      <c r="O7" s="76"/>
    </row>
    <row r="8" spans="1:15" s="3" customFormat="1" ht="27.75" customHeight="1">
      <c r="A8" s="26" t="s">
        <v>4803</v>
      </c>
      <c r="B8" s="24">
        <v>217.5</v>
      </c>
      <c r="C8" s="24">
        <v>55632.5</v>
      </c>
      <c r="D8" s="24">
        <f t="shared" si="1"/>
        <v>625</v>
      </c>
      <c r="E8" s="24">
        <f t="shared" si="2"/>
        <v>154715</v>
      </c>
      <c r="F8" s="24">
        <f t="shared" si="3"/>
        <v>5375</v>
      </c>
      <c r="G8" s="25">
        <v>0</v>
      </c>
      <c r="H8" s="24">
        <f t="shared" si="4"/>
        <v>58315</v>
      </c>
      <c r="I8" s="73">
        <v>98882.5</v>
      </c>
      <c r="J8" s="24">
        <v>98882.5</v>
      </c>
      <c r="K8" s="74">
        <f t="shared" si="5"/>
        <v>200</v>
      </c>
      <c r="L8" s="24">
        <f t="shared" si="0"/>
        <v>55832.5</v>
      </c>
      <c r="M8" s="78"/>
      <c r="N8" s="76">
        <v>243</v>
      </c>
      <c r="O8" s="76">
        <v>62135</v>
      </c>
    </row>
    <row r="9" spans="1:15" s="3" customFormat="1" ht="27.75" customHeight="1">
      <c r="A9" s="23" t="s">
        <v>4804</v>
      </c>
      <c r="B9" s="24">
        <v>62.5</v>
      </c>
      <c r="C9" s="24">
        <v>16062.5</v>
      </c>
      <c r="D9" s="24">
        <f t="shared" si="1"/>
        <v>687.5</v>
      </c>
      <c r="E9" s="24">
        <f t="shared" si="2"/>
        <v>170777.5</v>
      </c>
      <c r="F9" s="24">
        <f t="shared" si="3"/>
        <v>5312.5</v>
      </c>
      <c r="G9" s="25">
        <v>0</v>
      </c>
      <c r="H9" s="24">
        <f t="shared" si="4"/>
        <v>55632.5</v>
      </c>
      <c r="I9" s="73">
        <v>0</v>
      </c>
      <c r="J9" s="24">
        <v>98882.5</v>
      </c>
      <c r="K9" s="74">
        <f t="shared" si="5"/>
        <v>55832.5</v>
      </c>
      <c r="L9" s="24">
        <f t="shared" si="0"/>
        <v>71895</v>
      </c>
      <c r="M9" s="79" t="s">
        <v>4805</v>
      </c>
      <c r="N9" s="76"/>
      <c r="O9" s="76"/>
    </row>
    <row r="10" spans="1:15" s="1" customFormat="1" ht="27.75" customHeight="1">
      <c r="A10" s="27">
        <v>39508</v>
      </c>
      <c r="B10" s="28">
        <v>375</v>
      </c>
      <c r="C10" s="28">
        <v>95740</v>
      </c>
      <c r="D10" s="28">
        <f t="shared" si="1"/>
        <v>1062.5</v>
      </c>
      <c r="E10" s="28">
        <f t="shared" si="2"/>
        <v>266517.5</v>
      </c>
      <c r="F10" s="28">
        <f t="shared" si="3"/>
        <v>4937.5</v>
      </c>
      <c r="G10" s="29">
        <v>0</v>
      </c>
      <c r="H10" s="28">
        <f t="shared" si="4"/>
        <v>16062.5</v>
      </c>
      <c r="I10" s="80">
        <v>86105</v>
      </c>
      <c r="J10" s="28">
        <f>J9+I10</f>
        <v>184987.5</v>
      </c>
      <c r="K10" s="81">
        <f t="shared" si="5"/>
        <v>-14210</v>
      </c>
      <c r="L10" s="28">
        <f t="shared" si="0"/>
        <v>81530</v>
      </c>
      <c r="M10" s="82"/>
      <c r="N10" s="63"/>
      <c r="O10" s="63"/>
    </row>
    <row r="11" spans="1:15" s="1" customFormat="1" ht="27.75" customHeight="1">
      <c r="A11" s="27">
        <v>39539</v>
      </c>
      <c r="B11" s="28">
        <v>125</v>
      </c>
      <c r="C11" s="28">
        <v>33285</v>
      </c>
      <c r="D11" s="28">
        <f t="shared" si="1"/>
        <v>1187.5</v>
      </c>
      <c r="E11" s="28">
        <f t="shared" si="2"/>
        <v>299802.5</v>
      </c>
      <c r="F11" s="28">
        <f t="shared" si="3"/>
        <v>4812.5</v>
      </c>
      <c r="G11" s="29">
        <v>0</v>
      </c>
      <c r="H11" s="28">
        <f t="shared" si="4"/>
        <v>95740</v>
      </c>
      <c r="I11" s="80">
        <v>0</v>
      </c>
      <c r="J11" s="28">
        <f>J10+I11</f>
        <v>184987.5</v>
      </c>
      <c r="K11" s="81">
        <f t="shared" si="5"/>
        <v>81530</v>
      </c>
      <c r="L11" s="28">
        <f t="shared" si="0"/>
        <v>114815</v>
      </c>
      <c r="M11" s="69"/>
      <c r="N11" s="63"/>
      <c r="O11" s="63"/>
    </row>
    <row r="12" spans="1:15" s="1" customFormat="1" ht="27.75" customHeight="1">
      <c r="A12" s="27">
        <v>39569</v>
      </c>
      <c r="B12" s="28">
        <v>0</v>
      </c>
      <c r="C12" s="28">
        <v>0</v>
      </c>
      <c r="D12" s="28">
        <f t="shared" si="1"/>
        <v>1187.5</v>
      </c>
      <c r="E12" s="28">
        <f t="shared" si="2"/>
        <v>299802.5</v>
      </c>
      <c r="F12" s="28">
        <f t="shared" si="3"/>
        <v>4812.5</v>
      </c>
      <c r="G12" s="29">
        <v>0</v>
      </c>
      <c r="H12" s="28">
        <f t="shared" si="4"/>
        <v>33285</v>
      </c>
      <c r="I12" s="80">
        <v>0</v>
      </c>
      <c r="J12" s="28">
        <f>J11+I12</f>
        <v>184987.5</v>
      </c>
      <c r="K12" s="81">
        <f t="shared" si="5"/>
        <v>114815</v>
      </c>
      <c r="L12" s="28">
        <f t="shared" si="0"/>
        <v>114815</v>
      </c>
      <c r="M12" s="82" t="s">
        <v>4806</v>
      </c>
      <c r="N12" s="63"/>
      <c r="O12" s="63"/>
    </row>
    <row r="13" spans="1:15" s="1" customFormat="1" ht="27.75" customHeight="1">
      <c r="A13" s="30">
        <v>39600</v>
      </c>
      <c r="B13" s="31">
        <v>0</v>
      </c>
      <c r="C13" s="31">
        <v>0</v>
      </c>
      <c r="D13" s="31">
        <f t="shared" si="1"/>
        <v>1187.5</v>
      </c>
      <c r="E13" s="31">
        <f t="shared" si="2"/>
        <v>299802.5</v>
      </c>
      <c r="F13" s="31">
        <f t="shared" si="3"/>
        <v>4812.5</v>
      </c>
      <c r="G13" s="32">
        <v>0</v>
      </c>
      <c r="H13" s="31">
        <f t="shared" si="4"/>
        <v>0</v>
      </c>
      <c r="I13" s="83">
        <v>0</v>
      </c>
      <c r="J13" s="31">
        <f>J12+I13</f>
        <v>184987.5</v>
      </c>
      <c r="K13" s="84">
        <f t="shared" si="5"/>
        <v>114815</v>
      </c>
      <c r="L13" s="31">
        <f t="shared" si="0"/>
        <v>114815</v>
      </c>
      <c r="M13" s="85" t="s">
        <v>4807</v>
      </c>
      <c r="N13" s="63"/>
      <c r="O13" s="63"/>
    </row>
    <row r="14" spans="1:15" s="1" customFormat="1" ht="28.5" customHeight="1">
      <c r="A14" s="2271" t="s">
        <v>4790</v>
      </c>
      <c r="B14" s="2272"/>
      <c r="C14" s="2272"/>
      <c r="D14" s="13" t="s">
        <v>4791</v>
      </c>
      <c r="E14" s="13"/>
      <c r="F14" s="13"/>
      <c r="G14" s="13"/>
      <c r="H14" s="13"/>
      <c r="I14" s="13"/>
      <c r="J14" s="86" t="s">
        <v>237</v>
      </c>
      <c r="K14" s="2279" t="s">
        <v>4792</v>
      </c>
      <c r="L14" s="2279"/>
      <c r="M14" s="2280"/>
      <c r="N14" s="63"/>
      <c r="O14" s="63"/>
    </row>
    <row r="15" spans="1:15" s="1" customFormat="1" ht="30.75" customHeight="1">
      <c r="A15" s="14" t="s">
        <v>240</v>
      </c>
      <c r="B15" s="2275" t="s">
        <v>4793</v>
      </c>
      <c r="C15" s="2275"/>
      <c r="D15" s="16" t="s">
        <v>242</v>
      </c>
      <c r="E15" s="2276" t="s">
        <v>4793</v>
      </c>
      <c r="F15" s="2276"/>
      <c r="G15" s="2276"/>
      <c r="H15" s="2276"/>
      <c r="I15" s="2276"/>
      <c r="J15" s="64" t="s">
        <v>253</v>
      </c>
      <c r="K15" s="65" t="s">
        <v>4808</v>
      </c>
      <c r="L15" s="66" t="s">
        <v>255</v>
      </c>
      <c r="M15" s="67" t="s">
        <v>4809</v>
      </c>
      <c r="N15" s="63"/>
      <c r="O15" s="63"/>
    </row>
    <row r="16" spans="1:15" s="1" customFormat="1" ht="32.25" customHeight="1">
      <c r="A16" s="14" t="s">
        <v>247</v>
      </c>
      <c r="B16" s="2275" t="s">
        <v>4810</v>
      </c>
      <c r="C16" s="2275"/>
      <c r="D16" s="16" t="s">
        <v>249</v>
      </c>
      <c r="E16" s="17" t="s">
        <v>4797</v>
      </c>
      <c r="F16" s="16" t="s">
        <v>251</v>
      </c>
      <c r="G16" s="16" t="s">
        <v>4798</v>
      </c>
      <c r="H16" s="18" t="s">
        <v>252</v>
      </c>
      <c r="I16" s="28">
        <v>13826290956</v>
      </c>
      <c r="J16" s="41" t="s">
        <v>243</v>
      </c>
      <c r="K16" s="68"/>
      <c r="L16" s="40" t="s">
        <v>4799</v>
      </c>
      <c r="M16" s="69"/>
      <c r="N16" s="63"/>
      <c r="O16" s="63"/>
    </row>
    <row r="17" spans="1:17" s="1" customFormat="1" ht="33" customHeight="1">
      <c r="A17" s="14" t="s">
        <v>260</v>
      </c>
      <c r="B17" s="2277" t="s">
        <v>4800</v>
      </c>
      <c r="C17" s="2277"/>
      <c r="D17" s="2277"/>
      <c r="E17" s="2277"/>
      <c r="F17" s="2277"/>
      <c r="G17" s="2277"/>
      <c r="H17" s="2277"/>
      <c r="I17" s="2277"/>
      <c r="J17" s="2277"/>
      <c r="K17" s="2277"/>
      <c r="L17" s="2277"/>
      <c r="M17" s="2278"/>
      <c r="N17" s="63"/>
      <c r="O17" s="63"/>
    </row>
    <row r="18" spans="1:17" s="2" customFormat="1" ht="36.75" customHeight="1">
      <c r="A18" s="19" t="s">
        <v>266</v>
      </c>
      <c r="B18" s="20" t="s">
        <v>267</v>
      </c>
      <c r="C18" s="20" t="s">
        <v>268</v>
      </c>
      <c r="D18" s="20" t="s">
        <v>269</v>
      </c>
      <c r="E18" s="20" t="s">
        <v>270</v>
      </c>
      <c r="F18" s="20" t="s">
        <v>271</v>
      </c>
      <c r="G18" s="21" t="s">
        <v>272</v>
      </c>
      <c r="H18" s="22" t="s">
        <v>273</v>
      </c>
      <c r="I18" s="22" t="s">
        <v>274</v>
      </c>
      <c r="J18" s="70" t="s">
        <v>275</v>
      </c>
      <c r="K18" s="70" t="s">
        <v>276</v>
      </c>
      <c r="L18" s="20" t="s">
        <v>277</v>
      </c>
      <c r="M18" s="71" t="s">
        <v>278</v>
      </c>
      <c r="N18" s="72"/>
      <c r="O18" s="72"/>
    </row>
    <row r="19" spans="1:17" s="3" customFormat="1" ht="27.75" customHeight="1">
      <c r="A19" s="33">
        <v>39417</v>
      </c>
      <c r="B19" s="24">
        <v>132</v>
      </c>
      <c r="C19" s="24">
        <v>33625</v>
      </c>
      <c r="D19" s="24">
        <v>132</v>
      </c>
      <c r="E19" s="24">
        <v>33625</v>
      </c>
      <c r="F19" s="24">
        <f t="shared" ref="F19:F25" si="6">6000-D19</f>
        <v>5868</v>
      </c>
      <c r="G19" s="25">
        <v>0</v>
      </c>
      <c r="H19" s="24">
        <v>0</v>
      </c>
      <c r="I19" s="24">
        <v>0</v>
      </c>
      <c r="J19" s="24">
        <v>0</v>
      </c>
      <c r="K19" s="74">
        <v>0</v>
      </c>
      <c r="L19" s="24">
        <f t="shared" ref="L19:L25" si="7">E19-J19</f>
        <v>33625</v>
      </c>
      <c r="M19" s="87" t="s">
        <v>4811</v>
      </c>
      <c r="N19" s="76"/>
      <c r="O19" s="76"/>
    </row>
    <row r="20" spans="1:17" s="3" customFormat="1" ht="27.75" customHeight="1">
      <c r="A20" s="26" t="s">
        <v>4803</v>
      </c>
      <c r="B20" s="24">
        <v>119.5</v>
      </c>
      <c r="C20" s="24">
        <v>30472.5</v>
      </c>
      <c r="D20" s="24">
        <f t="shared" ref="D20:D25" si="8">D19+B20</f>
        <v>251.5</v>
      </c>
      <c r="E20" s="24">
        <f t="shared" ref="E20:E25" si="9">E19+C20</f>
        <v>64097.5</v>
      </c>
      <c r="F20" s="24">
        <f t="shared" si="6"/>
        <v>5748.5</v>
      </c>
      <c r="G20" s="25">
        <v>0</v>
      </c>
      <c r="H20" s="24">
        <f t="shared" ref="H20:H25" si="10">C19</f>
        <v>33625</v>
      </c>
      <c r="I20" s="24">
        <v>33625</v>
      </c>
      <c r="J20" s="24">
        <v>33625</v>
      </c>
      <c r="K20" s="74">
        <f>H20-I20+K19</f>
        <v>0</v>
      </c>
      <c r="L20" s="24">
        <f t="shared" si="7"/>
        <v>30472.5</v>
      </c>
      <c r="M20" s="75"/>
      <c r="N20" s="76">
        <v>142.5</v>
      </c>
      <c r="O20" s="76">
        <v>36337.5</v>
      </c>
    </row>
    <row r="21" spans="1:17" s="3" customFormat="1" ht="27.75" customHeight="1">
      <c r="A21" s="23" t="s">
        <v>4804</v>
      </c>
      <c r="B21" s="24">
        <v>41.5</v>
      </c>
      <c r="C21" s="24">
        <v>10397.5</v>
      </c>
      <c r="D21" s="24">
        <f t="shared" si="8"/>
        <v>293</v>
      </c>
      <c r="E21" s="24">
        <f t="shared" si="9"/>
        <v>74495</v>
      </c>
      <c r="F21" s="24">
        <f t="shared" si="6"/>
        <v>5707</v>
      </c>
      <c r="G21" s="25">
        <v>0</v>
      </c>
      <c r="H21" s="24">
        <f t="shared" si="10"/>
        <v>30472.5</v>
      </c>
      <c r="I21" s="24">
        <v>0</v>
      </c>
      <c r="J21" s="24">
        <v>33625</v>
      </c>
      <c r="K21" s="74">
        <f>H21-I21+K20</f>
        <v>30472.5</v>
      </c>
      <c r="L21" s="24">
        <f t="shared" si="7"/>
        <v>40870</v>
      </c>
      <c r="M21" s="79" t="s">
        <v>4812</v>
      </c>
      <c r="N21" s="76"/>
      <c r="O21" s="76"/>
    </row>
    <row r="22" spans="1:17" s="1" customFormat="1" ht="27.75" customHeight="1">
      <c r="A22" s="27">
        <v>39508</v>
      </c>
      <c r="B22" s="28">
        <v>80</v>
      </c>
      <c r="C22" s="28">
        <v>19640</v>
      </c>
      <c r="D22" s="28">
        <f t="shared" si="8"/>
        <v>373</v>
      </c>
      <c r="E22" s="28">
        <f t="shared" si="9"/>
        <v>94135</v>
      </c>
      <c r="F22" s="28">
        <f t="shared" si="6"/>
        <v>5627</v>
      </c>
      <c r="G22" s="29">
        <v>0</v>
      </c>
      <c r="H22" s="28">
        <f t="shared" si="10"/>
        <v>10397.5</v>
      </c>
      <c r="I22" s="28">
        <v>26460</v>
      </c>
      <c r="J22" s="28">
        <f>J21+I22</f>
        <v>60085</v>
      </c>
      <c r="K22" s="81">
        <f>H22-I22+K21</f>
        <v>14410</v>
      </c>
      <c r="L22" s="28">
        <f t="shared" si="7"/>
        <v>34050</v>
      </c>
      <c r="M22" s="69"/>
      <c r="N22" s="63"/>
      <c r="O22" s="63"/>
    </row>
    <row r="23" spans="1:17" s="1" customFormat="1" ht="27.75" customHeight="1">
      <c r="A23" s="27">
        <v>39539</v>
      </c>
      <c r="B23" s="28">
        <v>37</v>
      </c>
      <c r="C23" s="28">
        <v>9065</v>
      </c>
      <c r="D23" s="28">
        <f t="shared" si="8"/>
        <v>410</v>
      </c>
      <c r="E23" s="28">
        <f t="shared" si="9"/>
        <v>103200</v>
      </c>
      <c r="F23" s="28">
        <f t="shared" si="6"/>
        <v>5590</v>
      </c>
      <c r="G23" s="29">
        <v>0</v>
      </c>
      <c r="H23" s="28">
        <f t="shared" si="10"/>
        <v>19640</v>
      </c>
      <c r="I23" s="28">
        <v>0</v>
      </c>
      <c r="J23" s="28">
        <f>J22+I23</f>
        <v>60085</v>
      </c>
      <c r="K23" s="81">
        <f>H23-I23+K22</f>
        <v>34050</v>
      </c>
      <c r="L23" s="28">
        <f t="shared" si="7"/>
        <v>43115</v>
      </c>
      <c r="M23" s="69"/>
      <c r="N23" s="63"/>
      <c r="O23" s="63"/>
    </row>
    <row r="24" spans="1:17" s="1" customFormat="1" ht="27.75" customHeight="1">
      <c r="A24" s="27">
        <v>39569</v>
      </c>
      <c r="B24" s="28">
        <v>0</v>
      </c>
      <c r="C24" s="28">
        <v>0</v>
      </c>
      <c r="D24" s="28">
        <f t="shared" si="8"/>
        <v>410</v>
      </c>
      <c r="E24" s="28">
        <f t="shared" si="9"/>
        <v>103200</v>
      </c>
      <c r="F24" s="28">
        <f t="shared" si="6"/>
        <v>5590</v>
      </c>
      <c r="G24" s="29">
        <v>0</v>
      </c>
      <c r="H24" s="28">
        <f t="shared" si="10"/>
        <v>9065</v>
      </c>
      <c r="I24" s="28">
        <v>0</v>
      </c>
      <c r="J24" s="28">
        <f>J23+I24</f>
        <v>60085</v>
      </c>
      <c r="K24" s="81">
        <f>K23+H24</f>
        <v>43115</v>
      </c>
      <c r="L24" s="28">
        <f t="shared" si="7"/>
        <v>43115</v>
      </c>
      <c r="M24" s="82" t="s">
        <v>4806</v>
      </c>
      <c r="N24" s="63"/>
      <c r="O24" s="63"/>
    </row>
    <row r="25" spans="1:17" s="1" customFormat="1" ht="27.75" customHeight="1">
      <c r="A25" s="30">
        <v>39600</v>
      </c>
      <c r="B25" s="31">
        <v>0</v>
      </c>
      <c r="C25" s="31">
        <v>0</v>
      </c>
      <c r="D25" s="31">
        <f t="shared" si="8"/>
        <v>410</v>
      </c>
      <c r="E25" s="31">
        <f t="shared" si="9"/>
        <v>103200</v>
      </c>
      <c r="F25" s="31">
        <f t="shared" si="6"/>
        <v>5590</v>
      </c>
      <c r="G25" s="32">
        <v>0</v>
      </c>
      <c r="H25" s="31">
        <f t="shared" si="10"/>
        <v>0</v>
      </c>
      <c r="I25" s="31">
        <v>0</v>
      </c>
      <c r="J25" s="31">
        <f>J24+I25</f>
        <v>60085</v>
      </c>
      <c r="K25" s="84">
        <f>K24+H25</f>
        <v>43115</v>
      </c>
      <c r="L25" s="31">
        <f t="shared" si="7"/>
        <v>43115</v>
      </c>
      <c r="M25" s="85" t="s">
        <v>4813</v>
      </c>
      <c r="N25" s="63"/>
      <c r="O25" s="63"/>
    </row>
    <row r="26" spans="1:17" s="4" customFormat="1" ht="50.25" customHeight="1">
      <c r="A26" s="34" t="s">
        <v>4814</v>
      </c>
      <c r="B26" s="35"/>
      <c r="C26" s="36" t="s">
        <v>4815</v>
      </c>
      <c r="D26" s="37"/>
      <c r="E26" s="38" t="s">
        <v>236</v>
      </c>
      <c r="F26" s="38"/>
      <c r="G26" s="38"/>
      <c r="H26" s="38"/>
      <c r="I26" s="57" t="s">
        <v>237</v>
      </c>
      <c r="J26" s="1636" t="s">
        <v>4816</v>
      </c>
      <c r="K26" s="1636"/>
      <c r="L26" s="1636"/>
      <c r="M26" s="88" t="s">
        <v>4817</v>
      </c>
    </row>
    <row r="27" spans="1:17" s="4" customFormat="1" ht="27.75" customHeight="1">
      <c r="A27" s="39" t="s">
        <v>240</v>
      </c>
      <c r="B27" s="1637" t="s">
        <v>4818</v>
      </c>
      <c r="C27" s="1637"/>
      <c r="D27" s="41" t="s">
        <v>242</v>
      </c>
      <c r="E27" s="1746" t="s">
        <v>4818</v>
      </c>
      <c r="F27" s="1746"/>
      <c r="G27" s="1746"/>
      <c r="H27" s="1746"/>
      <c r="I27" s="1746"/>
      <c r="J27" s="41" t="s">
        <v>243</v>
      </c>
      <c r="K27" s="41"/>
      <c r="L27" s="41" t="s">
        <v>245</v>
      </c>
      <c r="M27" s="89"/>
    </row>
    <row r="28" spans="1:17" s="4" customFormat="1" ht="27.75" customHeight="1">
      <c r="A28" s="39" t="s">
        <v>247</v>
      </c>
      <c r="B28" s="1637" t="s">
        <v>4819</v>
      </c>
      <c r="C28" s="1637"/>
      <c r="D28" s="41" t="s">
        <v>249</v>
      </c>
      <c r="E28" s="43" t="s">
        <v>4820</v>
      </c>
      <c r="F28" s="41" t="s">
        <v>251</v>
      </c>
      <c r="G28" s="41" t="s">
        <v>4821</v>
      </c>
      <c r="H28" s="41" t="s">
        <v>252</v>
      </c>
      <c r="I28" s="90">
        <v>13560065998</v>
      </c>
      <c r="J28" s="91" t="s">
        <v>253</v>
      </c>
      <c r="K28" s="15" t="s">
        <v>4822</v>
      </c>
      <c r="L28" s="15" t="s">
        <v>255</v>
      </c>
      <c r="M28" s="92" t="s">
        <v>4823</v>
      </c>
    </row>
    <row r="29" spans="1:17" s="4" customFormat="1" ht="27.75" customHeight="1">
      <c r="A29" s="39" t="s">
        <v>260</v>
      </c>
      <c r="B29" s="2132" t="s">
        <v>4824</v>
      </c>
      <c r="C29" s="2132"/>
      <c r="D29" s="2132"/>
      <c r="E29" s="2132"/>
      <c r="F29" s="2132" t="s">
        <v>4825</v>
      </c>
      <c r="G29" s="2132"/>
      <c r="H29" s="2132"/>
      <c r="I29" s="2132"/>
      <c r="J29" s="2132"/>
      <c r="K29" s="2132"/>
      <c r="L29" s="2132"/>
      <c r="M29" s="93"/>
    </row>
    <row r="30" spans="1:17" s="4" customFormat="1" ht="27.75" customHeight="1">
      <c r="A30" s="19" t="s">
        <v>266</v>
      </c>
      <c r="B30" s="20" t="s">
        <v>267</v>
      </c>
      <c r="C30" s="20" t="s">
        <v>268</v>
      </c>
      <c r="D30" s="20" t="s">
        <v>269</v>
      </c>
      <c r="E30" s="20" t="s">
        <v>270</v>
      </c>
      <c r="F30" s="20" t="s">
        <v>271</v>
      </c>
      <c r="G30" s="21" t="s">
        <v>272</v>
      </c>
      <c r="H30" s="22" t="s">
        <v>273</v>
      </c>
      <c r="I30" s="20" t="s">
        <v>274</v>
      </c>
      <c r="J30" s="70" t="s">
        <v>275</v>
      </c>
      <c r="K30" s="70" t="s">
        <v>276</v>
      </c>
      <c r="L30" s="20" t="s">
        <v>277</v>
      </c>
      <c r="M30" s="71" t="s">
        <v>278</v>
      </c>
    </row>
    <row r="31" spans="1:17" s="5" customFormat="1" ht="36.75" customHeight="1">
      <c r="A31" s="45" t="s">
        <v>4826</v>
      </c>
      <c r="B31" s="46">
        <v>848</v>
      </c>
      <c r="C31" s="46">
        <v>211594</v>
      </c>
      <c r="D31" s="46">
        <f>B31</f>
        <v>848</v>
      </c>
      <c r="E31" s="46">
        <f>C31</f>
        <v>211594</v>
      </c>
      <c r="F31" s="46">
        <f>2500-D31</f>
        <v>1652</v>
      </c>
      <c r="G31" s="47">
        <v>0</v>
      </c>
      <c r="H31" s="47">
        <v>0</v>
      </c>
      <c r="I31" s="47">
        <v>0</v>
      </c>
      <c r="J31" s="47">
        <v>0</v>
      </c>
      <c r="K31" s="47">
        <v>0</v>
      </c>
      <c r="L31" s="47">
        <f t="shared" ref="L31:L41" si="11">E31-J31</f>
        <v>211594</v>
      </c>
      <c r="M31" s="94" t="s">
        <v>4827</v>
      </c>
    </row>
    <row r="32" spans="1:17" s="5" customFormat="1" ht="27.75" customHeight="1">
      <c r="A32" s="48">
        <v>40391</v>
      </c>
      <c r="B32" s="46">
        <v>1608.5</v>
      </c>
      <c r="C32" s="46">
        <v>392560.5</v>
      </c>
      <c r="D32" s="46">
        <f t="shared" ref="D32:D41" si="12">D31+B32</f>
        <v>2456.5</v>
      </c>
      <c r="E32" s="46">
        <f t="shared" ref="E32:E41" si="13">E31+C32</f>
        <v>604154.5</v>
      </c>
      <c r="F32" s="46">
        <f>2500-D32</f>
        <v>43.5</v>
      </c>
      <c r="G32" s="47">
        <v>0</v>
      </c>
      <c r="H32" s="47">
        <f t="shared" ref="H32:H41" si="14">C31</f>
        <v>211594</v>
      </c>
      <c r="I32" s="47">
        <v>100000</v>
      </c>
      <c r="J32" s="47">
        <f t="shared" ref="J32:J41" si="15">J31+I32</f>
        <v>100000</v>
      </c>
      <c r="K32" s="47">
        <f t="shared" ref="K32:K42" si="16">K31+H32-I32</f>
        <v>111594</v>
      </c>
      <c r="L32" s="47">
        <f t="shared" si="11"/>
        <v>504154.5</v>
      </c>
      <c r="M32" s="95" t="s">
        <v>4828</v>
      </c>
      <c r="P32" s="96"/>
      <c r="Q32" s="96"/>
    </row>
    <row r="33" spans="1:17" s="5" customFormat="1" ht="27.75" customHeight="1">
      <c r="A33" s="48">
        <v>40422</v>
      </c>
      <c r="B33" s="46">
        <v>1026</v>
      </c>
      <c r="C33" s="46">
        <v>239618</v>
      </c>
      <c r="D33" s="46">
        <f t="shared" si="12"/>
        <v>3482.5</v>
      </c>
      <c r="E33" s="46">
        <f t="shared" si="13"/>
        <v>843772.5</v>
      </c>
      <c r="F33" s="46">
        <v>0</v>
      </c>
      <c r="G33" s="47">
        <v>0</v>
      </c>
      <c r="H33" s="47">
        <f t="shared" si="14"/>
        <v>392560.5</v>
      </c>
      <c r="I33" s="47">
        <v>390000</v>
      </c>
      <c r="J33" s="47">
        <f t="shared" si="15"/>
        <v>490000</v>
      </c>
      <c r="K33" s="47">
        <f t="shared" si="16"/>
        <v>114154.5</v>
      </c>
      <c r="L33" s="47">
        <f t="shared" si="11"/>
        <v>353772.5</v>
      </c>
      <c r="M33" s="97" t="s">
        <v>4829</v>
      </c>
      <c r="P33" s="96"/>
      <c r="Q33" s="96"/>
    </row>
    <row r="34" spans="1:17" s="5" customFormat="1" ht="27.75" customHeight="1">
      <c r="A34" s="48">
        <v>40452</v>
      </c>
      <c r="B34" s="46">
        <v>0</v>
      </c>
      <c r="C34" s="46">
        <v>0</v>
      </c>
      <c r="D34" s="46">
        <f t="shared" si="12"/>
        <v>3482.5</v>
      </c>
      <c r="E34" s="46">
        <f t="shared" si="13"/>
        <v>843772.5</v>
      </c>
      <c r="F34" s="46">
        <v>0</v>
      </c>
      <c r="G34" s="47">
        <v>0</v>
      </c>
      <c r="H34" s="47">
        <f t="shared" si="14"/>
        <v>239618</v>
      </c>
      <c r="I34" s="47">
        <v>100000</v>
      </c>
      <c r="J34" s="47">
        <f t="shared" si="15"/>
        <v>590000</v>
      </c>
      <c r="K34" s="47">
        <f t="shared" si="16"/>
        <v>253772.5</v>
      </c>
      <c r="L34" s="47">
        <f t="shared" si="11"/>
        <v>253772.5</v>
      </c>
      <c r="M34" s="98" t="s">
        <v>4830</v>
      </c>
      <c r="P34" s="96"/>
      <c r="Q34" s="96"/>
    </row>
    <row r="35" spans="1:17" s="5" customFormat="1" ht="27.75" customHeight="1">
      <c r="A35" s="48">
        <v>40483</v>
      </c>
      <c r="B35" s="46">
        <v>0</v>
      </c>
      <c r="C35" s="46">
        <v>0</v>
      </c>
      <c r="D35" s="46">
        <f t="shared" si="12"/>
        <v>3482.5</v>
      </c>
      <c r="E35" s="46">
        <f t="shared" si="13"/>
        <v>843772.5</v>
      </c>
      <c r="F35" s="46">
        <v>0</v>
      </c>
      <c r="G35" s="47">
        <v>0</v>
      </c>
      <c r="H35" s="47">
        <f t="shared" si="14"/>
        <v>0</v>
      </c>
      <c r="I35" s="47">
        <v>50000</v>
      </c>
      <c r="J35" s="47">
        <f t="shared" si="15"/>
        <v>640000</v>
      </c>
      <c r="K35" s="47">
        <f t="shared" si="16"/>
        <v>203772.5</v>
      </c>
      <c r="L35" s="47">
        <f t="shared" si="11"/>
        <v>203772.5</v>
      </c>
      <c r="M35" s="97"/>
      <c r="P35" s="96"/>
      <c r="Q35" s="96"/>
    </row>
    <row r="36" spans="1:17" s="5" customFormat="1" ht="27.75" customHeight="1">
      <c r="A36" s="48">
        <v>40513</v>
      </c>
      <c r="B36" s="46">
        <v>0</v>
      </c>
      <c r="C36" s="46">
        <v>0</v>
      </c>
      <c r="D36" s="46">
        <f t="shared" si="12"/>
        <v>3482.5</v>
      </c>
      <c r="E36" s="46">
        <f t="shared" si="13"/>
        <v>843772.5</v>
      </c>
      <c r="F36" s="46">
        <v>0</v>
      </c>
      <c r="G36" s="47">
        <v>0</v>
      </c>
      <c r="H36" s="47">
        <f t="shared" si="14"/>
        <v>0</v>
      </c>
      <c r="I36" s="47">
        <v>0</v>
      </c>
      <c r="J36" s="47">
        <f t="shared" si="15"/>
        <v>640000</v>
      </c>
      <c r="K36" s="47">
        <f t="shared" si="16"/>
        <v>203772.5</v>
      </c>
      <c r="L36" s="47">
        <f t="shared" si="11"/>
        <v>203772.5</v>
      </c>
      <c r="M36" s="97" t="s">
        <v>4831</v>
      </c>
      <c r="P36" s="96"/>
      <c r="Q36" s="96"/>
    </row>
    <row r="37" spans="1:17" s="5" customFormat="1" ht="27.75" customHeight="1">
      <c r="A37" s="48">
        <v>40544</v>
      </c>
      <c r="B37" s="46">
        <v>156</v>
      </c>
      <c r="C37" s="46">
        <v>43153</v>
      </c>
      <c r="D37" s="46">
        <f t="shared" si="12"/>
        <v>3638.5</v>
      </c>
      <c r="E37" s="46">
        <f t="shared" si="13"/>
        <v>886925.5</v>
      </c>
      <c r="F37" s="46">
        <v>0</v>
      </c>
      <c r="G37" s="47">
        <v>0</v>
      </c>
      <c r="H37" s="47">
        <f t="shared" si="14"/>
        <v>0</v>
      </c>
      <c r="I37" s="47">
        <v>107532</v>
      </c>
      <c r="J37" s="47">
        <f t="shared" si="15"/>
        <v>747532</v>
      </c>
      <c r="K37" s="47">
        <f t="shared" si="16"/>
        <v>96240.5</v>
      </c>
      <c r="L37" s="47">
        <f t="shared" si="11"/>
        <v>139393.5</v>
      </c>
      <c r="M37" s="97" t="s">
        <v>4832</v>
      </c>
      <c r="P37" s="96"/>
      <c r="Q37" s="96"/>
    </row>
    <row r="38" spans="1:17" s="5" customFormat="1" ht="27.75" customHeight="1">
      <c r="A38" s="48">
        <v>40575</v>
      </c>
      <c r="B38" s="46">
        <v>0</v>
      </c>
      <c r="C38" s="46">
        <v>0</v>
      </c>
      <c r="D38" s="46">
        <f t="shared" si="12"/>
        <v>3638.5</v>
      </c>
      <c r="E38" s="46">
        <f t="shared" si="13"/>
        <v>886925.5</v>
      </c>
      <c r="F38" s="46">
        <v>0</v>
      </c>
      <c r="G38" s="47">
        <v>0</v>
      </c>
      <c r="H38" s="47">
        <f t="shared" si="14"/>
        <v>43153</v>
      </c>
      <c r="I38" s="47">
        <v>50000</v>
      </c>
      <c r="J38" s="47">
        <f t="shared" si="15"/>
        <v>797532</v>
      </c>
      <c r="K38" s="47">
        <f t="shared" si="16"/>
        <v>89393.5</v>
      </c>
      <c r="L38" s="47">
        <f t="shared" si="11"/>
        <v>89393.5</v>
      </c>
      <c r="M38" s="97"/>
      <c r="P38" s="96"/>
      <c r="Q38" s="96"/>
    </row>
    <row r="39" spans="1:17" s="5" customFormat="1" ht="27.75" customHeight="1">
      <c r="A39" s="48">
        <v>40603</v>
      </c>
      <c r="B39" s="46">
        <v>176</v>
      </c>
      <c r="C39" s="46">
        <v>45638</v>
      </c>
      <c r="D39" s="46">
        <f t="shared" si="12"/>
        <v>3814.5</v>
      </c>
      <c r="E39" s="46">
        <f t="shared" si="13"/>
        <v>932563.5</v>
      </c>
      <c r="F39" s="46">
        <v>0</v>
      </c>
      <c r="G39" s="47">
        <v>0</v>
      </c>
      <c r="H39" s="47">
        <f t="shared" si="14"/>
        <v>0</v>
      </c>
      <c r="I39" s="47">
        <v>0</v>
      </c>
      <c r="J39" s="47">
        <f t="shared" si="15"/>
        <v>797532</v>
      </c>
      <c r="K39" s="47">
        <f t="shared" si="16"/>
        <v>89393.5</v>
      </c>
      <c r="L39" s="47">
        <f t="shared" si="11"/>
        <v>135031.5</v>
      </c>
      <c r="M39" s="97"/>
      <c r="P39" s="96"/>
      <c r="Q39" s="96"/>
    </row>
    <row r="40" spans="1:17" s="5" customFormat="1" ht="27.75" customHeight="1">
      <c r="A40" s="48">
        <v>40634</v>
      </c>
      <c r="B40" s="46">
        <v>0</v>
      </c>
      <c r="C40" s="46">
        <v>0</v>
      </c>
      <c r="D40" s="46">
        <f t="shared" si="12"/>
        <v>3814.5</v>
      </c>
      <c r="E40" s="46">
        <f t="shared" si="13"/>
        <v>932563.5</v>
      </c>
      <c r="F40" s="46">
        <v>0</v>
      </c>
      <c r="G40" s="47">
        <v>0</v>
      </c>
      <c r="H40" s="47">
        <f t="shared" si="14"/>
        <v>45638</v>
      </c>
      <c r="I40" s="47">
        <v>0</v>
      </c>
      <c r="J40" s="47">
        <f t="shared" si="15"/>
        <v>797532</v>
      </c>
      <c r="K40" s="47">
        <f t="shared" si="16"/>
        <v>135031.5</v>
      </c>
      <c r="L40" s="47">
        <f t="shared" si="11"/>
        <v>135031.5</v>
      </c>
      <c r="M40" s="97" t="s">
        <v>4833</v>
      </c>
      <c r="P40" s="96"/>
      <c r="Q40" s="96"/>
    </row>
    <row r="41" spans="1:17" s="5" customFormat="1" ht="27.75" customHeight="1">
      <c r="A41" s="48">
        <v>40664</v>
      </c>
      <c r="B41" s="46">
        <v>0</v>
      </c>
      <c r="C41" s="46">
        <v>0</v>
      </c>
      <c r="D41" s="46">
        <f t="shared" si="12"/>
        <v>3814.5</v>
      </c>
      <c r="E41" s="46">
        <f t="shared" si="13"/>
        <v>932563.5</v>
      </c>
      <c r="F41" s="46">
        <v>0</v>
      </c>
      <c r="G41" s="47">
        <v>0</v>
      </c>
      <c r="H41" s="47">
        <f t="shared" si="14"/>
        <v>0</v>
      </c>
      <c r="I41" s="47">
        <v>0</v>
      </c>
      <c r="J41" s="47">
        <f t="shared" si="15"/>
        <v>797532</v>
      </c>
      <c r="K41" s="47">
        <f t="shared" si="16"/>
        <v>135031.5</v>
      </c>
      <c r="L41" s="47">
        <f t="shared" si="11"/>
        <v>135031.5</v>
      </c>
      <c r="M41" s="97" t="s">
        <v>4834</v>
      </c>
      <c r="P41" s="96"/>
      <c r="Q41" s="96"/>
    </row>
    <row r="42" spans="1:17" s="6" customFormat="1" ht="27.75" customHeight="1">
      <c r="A42" s="49">
        <v>40725</v>
      </c>
      <c r="B42" s="50"/>
      <c r="C42" s="50"/>
      <c r="D42" s="50"/>
      <c r="E42" s="50"/>
      <c r="F42" s="50"/>
      <c r="G42" s="51"/>
      <c r="H42" s="51"/>
      <c r="I42" s="51">
        <v>40000</v>
      </c>
      <c r="J42" s="51"/>
      <c r="K42" s="51">
        <f t="shared" si="16"/>
        <v>95031.5</v>
      </c>
      <c r="L42" s="51"/>
      <c r="M42" s="99"/>
      <c r="P42" s="100"/>
      <c r="Q42" s="100"/>
    </row>
    <row r="43" spans="1:17" s="4" customFormat="1" ht="27.75" customHeight="1">
      <c r="A43" s="34" t="s">
        <v>4835</v>
      </c>
      <c r="B43" s="35"/>
      <c r="C43" s="36" t="s">
        <v>4836</v>
      </c>
      <c r="D43" s="37"/>
      <c r="E43" s="38" t="s">
        <v>236</v>
      </c>
      <c r="F43" s="1790"/>
      <c r="G43" s="1790"/>
      <c r="H43" s="1790"/>
      <c r="I43" s="57" t="s">
        <v>237</v>
      </c>
      <c r="J43" s="1636" t="s">
        <v>4837</v>
      </c>
      <c r="K43" s="1636"/>
      <c r="L43" s="1636"/>
      <c r="M43" s="88" t="s">
        <v>4838</v>
      </c>
    </row>
    <row r="44" spans="1:17" s="4" customFormat="1" ht="27.75" customHeight="1">
      <c r="A44" s="39" t="s">
        <v>240</v>
      </c>
      <c r="B44" s="1637" t="s">
        <v>896</v>
      </c>
      <c r="C44" s="1637"/>
      <c r="D44" s="41" t="s">
        <v>242</v>
      </c>
      <c r="E44" s="1637" t="s">
        <v>896</v>
      </c>
      <c r="F44" s="1637"/>
      <c r="G44" s="1637"/>
      <c r="H44" s="1637"/>
      <c r="I44" s="1637"/>
      <c r="J44" s="41" t="s">
        <v>243</v>
      </c>
      <c r="K44" s="41" t="s">
        <v>4839</v>
      </c>
      <c r="L44" s="41" t="s">
        <v>4840</v>
      </c>
      <c r="M44" s="89"/>
    </row>
    <row r="45" spans="1:17" s="4" customFormat="1" ht="27.75" customHeight="1">
      <c r="A45" s="39" t="s">
        <v>247</v>
      </c>
      <c r="B45" s="1637" t="s">
        <v>4841</v>
      </c>
      <c r="C45" s="1637"/>
      <c r="D45" s="41" t="s">
        <v>249</v>
      </c>
      <c r="E45" s="43" t="s">
        <v>3610</v>
      </c>
      <c r="F45" s="41" t="s">
        <v>251</v>
      </c>
      <c r="G45" s="41" t="s">
        <v>4842</v>
      </c>
      <c r="H45" s="41" t="s">
        <v>252</v>
      </c>
      <c r="I45" s="90">
        <v>13326853198</v>
      </c>
      <c r="J45" s="91" t="s">
        <v>253</v>
      </c>
      <c r="K45" s="15" t="s">
        <v>4843</v>
      </c>
      <c r="L45" s="15" t="s">
        <v>255</v>
      </c>
      <c r="M45" s="101" t="s">
        <v>4844</v>
      </c>
    </row>
    <row r="46" spans="1:17" s="4" customFormat="1" ht="27.75" customHeight="1">
      <c r="A46" s="39" t="s">
        <v>260</v>
      </c>
      <c r="B46" s="2132" t="s">
        <v>4845</v>
      </c>
      <c r="C46" s="2132"/>
      <c r="D46" s="2132"/>
      <c r="E46" s="2132"/>
      <c r="F46" s="2132"/>
      <c r="G46" s="2132"/>
      <c r="H46" s="2132"/>
      <c r="I46" s="2132"/>
      <c r="J46" s="2132"/>
      <c r="K46" s="2132"/>
      <c r="L46" s="2132"/>
      <c r="M46" s="2184"/>
    </row>
    <row r="47" spans="1:17" s="4" customFormat="1" ht="27.75" customHeight="1">
      <c r="A47" s="19" t="s">
        <v>266</v>
      </c>
      <c r="B47" s="20" t="s">
        <v>267</v>
      </c>
      <c r="C47" s="20" t="s">
        <v>268</v>
      </c>
      <c r="D47" s="20" t="s">
        <v>269</v>
      </c>
      <c r="E47" s="20" t="s">
        <v>270</v>
      </c>
      <c r="F47" s="20" t="s">
        <v>271</v>
      </c>
      <c r="G47" s="21" t="s">
        <v>272</v>
      </c>
      <c r="H47" s="22" t="s">
        <v>273</v>
      </c>
      <c r="I47" s="20" t="s">
        <v>274</v>
      </c>
      <c r="J47" s="70" t="s">
        <v>275</v>
      </c>
      <c r="K47" s="70" t="s">
        <v>276</v>
      </c>
      <c r="L47" s="20" t="s">
        <v>277</v>
      </c>
      <c r="M47" s="71" t="s">
        <v>278</v>
      </c>
    </row>
    <row r="48" spans="1:17" s="5" customFormat="1" ht="27.75" customHeight="1">
      <c r="A48" s="48">
        <v>40238</v>
      </c>
      <c r="B48" s="46">
        <v>88.5</v>
      </c>
      <c r="C48" s="46">
        <v>18522</v>
      </c>
      <c r="D48" s="46">
        <f>B48</f>
        <v>88.5</v>
      </c>
      <c r="E48" s="46">
        <f>C48</f>
        <v>18522</v>
      </c>
      <c r="F48" s="46">
        <f t="shared" ref="F48:F58" si="17">5000-D48</f>
        <v>4911.5</v>
      </c>
      <c r="G48" s="47">
        <v>0</v>
      </c>
      <c r="H48" s="47">
        <v>0</v>
      </c>
      <c r="I48" s="47">
        <v>0</v>
      </c>
      <c r="J48" s="47">
        <v>0</v>
      </c>
      <c r="K48" s="47">
        <v>0</v>
      </c>
      <c r="L48" s="47">
        <f t="shared" ref="L48:L58" si="18">E48-J48</f>
        <v>18522</v>
      </c>
      <c r="M48" s="94" t="s">
        <v>4846</v>
      </c>
    </row>
    <row r="49" spans="1:18" s="5" customFormat="1" ht="27.75" customHeight="1">
      <c r="A49" s="48">
        <v>40269</v>
      </c>
      <c r="B49" s="46">
        <v>1468</v>
      </c>
      <c r="C49" s="46">
        <v>352931</v>
      </c>
      <c r="D49" s="46">
        <f t="shared" ref="D49:D58" si="19">D48+B49</f>
        <v>1556.5</v>
      </c>
      <c r="E49" s="46">
        <f t="shared" ref="E49:E58" si="20">E48+C49</f>
        <v>371453</v>
      </c>
      <c r="F49" s="46">
        <f t="shared" si="17"/>
        <v>3443.5</v>
      </c>
      <c r="G49" s="47">
        <v>0</v>
      </c>
      <c r="H49" s="47">
        <f t="shared" ref="H49:H58" si="21">C48</f>
        <v>18522</v>
      </c>
      <c r="I49" s="47">
        <v>150000</v>
      </c>
      <c r="J49" s="47">
        <f t="shared" ref="J49:J58" si="22">J48+I49</f>
        <v>150000</v>
      </c>
      <c r="K49" s="47">
        <f t="shared" ref="K49:K58" si="23">K48+H49-I49</f>
        <v>-131478</v>
      </c>
      <c r="L49" s="47">
        <f t="shared" si="18"/>
        <v>221453</v>
      </c>
      <c r="M49" s="97"/>
      <c r="P49" s="96"/>
      <c r="Q49" s="96"/>
    </row>
    <row r="50" spans="1:18" s="5" customFormat="1" ht="27.75" customHeight="1">
      <c r="A50" s="48">
        <v>40299</v>
      </c>
      <c r="B50" s="46">
        <v>1204</v>
      </c>
      <c r="C50" s="46">
        <v>286238</v>
      </c>
      <c r="D50" s="46">
        <f t="shared" si="19"/>
        <v>2760.5</v>
      </c>
      <c r="E50" s="46">
        <f t="shared" si="20"/>
        <v>657691</v>
      </c>
      <c r="F50" s="46">
        <f t="shared" si="17"/>
        <v>2239.5</v>
      </c>
      <c r="G50" s="47">
        <v>0</v>
      </c>
      <c r="H50" s="47">
        <f t="shared" si="21"/>
        <v>352931</v>
      </c>
      <c r="I50" s="47">
        <v>0</v>
      </c>
      <c r="J50" s="47">
        <f t="shared" si="22"/>
        <v>150000</v>
      </c>
      <c r="K50" s="47">
        <f t="shared" si="23"/>
        <v>221453</v>
      </c>
      <c r="L50" s="47">
        <f t="shared" si="18"/>
        <v>507691</v>
      </c>
      <c r="M50" s="95" t="s">
        <v>4847</v>
      </c>
      <c r="P50" s="96"/>
      <c r="Q50" s="96"/>
    </row>
    <row r="51" spans="1:18" s="5" customFormat="1" ht="27.75" customHeight="1">
      <c r="A51" s="48">
        <v>40330</v>
      </c>
      <c r="B51" s="46">
        <v>430.5</v>
      </c>
      <c r="C51" s="46">
        <v>104743.5</v>
      </c>
      <c r="D51" s="46">
        <f t="shared" si="19"/>
        <v>3191</v>
      </c>
      <c r="E51" s="46">
        <f t="shared" si="20"/>
        <v>762434.5</v>
      </c>
      <c r="F51" s="46">
        <f t="shared" si="17"/>
        <v>1809</v>
      </c>
      <c r="G51" s="47">
        <v>0</v>
      </c>
      <c r="H51" s="47">
        <f t="shared" si="21"/>
        <v>286238</v>
      </c>
      <c r="I51" s="47">
        <f>200000+21453</f>
        <v>221453</v>
      </c>
      <c r="J51" s="47">
        <f t="shared" si="22"/>
        <v>371453</v>
      </c>
      <c r="K51" s="47">
        <f t="shared" si="23"/>
        <v>286238</v>
      </c>
      <c r="L51" s="47">
        <f t="shared" si="18"/>
        <v>390981.5</v>
      </c>
      <c r="M51" s="97" t="s">
        <v>4848</v>
      </c>
      <c r="P51" s="96"/>
      <c r="Q51" s="96"/>
    </row>
    <row r="52" spans="1:18" s="5" customFormat="1" ht="27.75" customHeight="1">
      <c r="A52" s="48">
        <v>40360</v>
      </c>
      <c r="B52" s="46">
        <v>529.5</v>
      </c>
      <c r="C52" s="46">
        <v>126709</v>
      </c>
      <c r="D52" s="46">
        <f t="shared" si="19"/>
        <v>3720.5</v>
      </c>
      <c r="E52" s="46">
        <f t="shared" si="20"/>
        <v>889143.5</v>
      </c>
      <c r="F52" s="46">
        <f t="shared" si="17"/>
        <v>1279.5</v>
      </c>
      <c r="G52" s="47">
        <v>0</v>
      </c>
      <c r="H52" s="47">
        <f t="shared" si="21"/>
        <v>104743.5</v>
      </c>
      <c r="I52" s="47">
        <v>286000</v>
      </c>
      <c r="J52" s="47">
        <f t="shared" si="22"/>
        <v>657453</v>
      </c>
      <c r="K52" s="47">
        <f t="shared" si="23"/>
        <v>104981.5</v>
      </c>
      <c r="L52" s="47">
        <f t="shared" si="18"/>
        <v>231690.5</v>
      </c>
      <c r="M52" s="97" t="s">
        <v>4849</v>
      </c>
      <c r="P52" s="96"/>
      <c r="Q52" s="96"/>
    </row>
    <row r="53" spans="1:18" s="5" customFormat="1" ht="27.75" customHeight="1">
      <c r="A53" s="48">
        <v>40391</v>
      </c>
      <c r="B53" s="46">
        <v>129.5</v>
      </c>
      <c r="C53" s="46">
        <v>29746.5</v>
      </c>
      <c r="D53" s="46">
        <f t="shared" si="19"/>
        <v>3850</v>
      </c>
      <c r="E53" s="46">
        <f t="shared" si="20"/>
        <v>918890</v>
      </c>
      <c r="F53" s="46">
        <f t="shared" si="17"/>
        <v>1150</v>
      </c>
      <c r="G53" s="47">
        <v>0</v>
      </c>
      <c r="H53" s="47">
        <f t="shared" si="21"/>
        <v>126709</v>
      </c>
      <c r="I53" s="47">
        <v>100000</v>
      </c>
      <c r="J53" s="47">
        <f t="shared" si="22"/>
        <v>757453</v>
      </c>
      <c r="K53" s="47">
        <f t="shared" si="23"/>
        <v>131690.5</v>
      </c>
      <c r="L53" s="47">
        <f t="shared" si="18"/>
        <v>161437</v>
      </c>
      <c r="M53" s="97" t="s">
        <v>4850</v>
      </c>
      <c r="P53" s="96"/>
      <c r="Q53" s="96"/>
    </row>
    <row r="54" spans="1:18" s="5" customFormat="1" ht="27.75" customHeight="1">
      <c r="A54" s="48">
        <v>40422</v>
      </c>
      <c r="B54" s="46">
        <v>263</v>
      </c>
      <c r="C54" s="46">
        <v>63801</v>
      </c>
      <c r="D54" s="46">
        <f t="shared" si="19"/>
        <v>4113</v>
      </c>
      <c r="E54" s="46">
        <f t="shared" si="20"/>
        <v>982691</v>
      </c>
      <c r="F54" s="46">
        <f t="shared" si="17"/>
        <v>887</v>
      </c>
      <c r="G54" s="47">
        <v>0</v>
      </c>
      <c r="H54" s="47">
        <f t="shared" si="21"/>
        <v>29746.5</v>
      </c>
      <c r="I54" s="47">
        <v>80000</v>
      </c>
      <c r="J54" s="47">
        <f t="shared" si="22"/>
        <v>837453</v>
      </c>
      <c r="K54" s="47">
        <f t="shared" si="23"/>
        <v>81437</v>
      </c>
      <c r="L54" s="47">
        <f t="shared" si="18"/>
        <v>145238</v>
      </c>
      <c r="M54" s="97" t="s">
        <v>4851</v>
      </c>
      <c r="P54" s="96"/>
      <c r="Q54" s="96"/>
    </row>
    <row r="55" spans="1:18" s="5" customFormat="1" ht="27.75" customHeight="1">
      <c r="A55" s="48">
        <v>40452</v>
      </c>
      <c r="B55" s="46">
        <v>3</v>
      </c>
      <c r="C55" s="46">
        <v>741</v>
      </c>
      <c r="D55" s="46">
        <f t="shared" si="19"/>
        <v>4116</v>
      </c>
      <c r="E55" s="46">
        <f t="shared" si="20"/>
        <v>983432</v>
      </c>
      <c r="F55" s="46">
        <f t="shared" si="17"/>
        <v>884</v>
      </c>
      <c r="G55" s="47">
        <v>0</v>
      </c>
      <c r="H55" s="47">
        <f t="shared" si="21"/>
        <v>63801</v>
      </c>
      <c r="I55" s="47">
        <v>80000</v>
      </c>
      <c r="J55" s="47">
        <f t="shared" si="22"/>
        <v>917453</v>
      </c>
      <c r="K55" s="47">
        <f t="shared" si="23"/>
        <v>65238</v>
      </c>
      <c r="L55" s="47">
        <f t="shared" si="18"/>
        <v>65979</v>
      </c>
      <c r="M55" s="97"/>
      <c r="P55" s="96"/>
      <c r="Q55" s="96"/>
    </row>
    <row r="56" spans="1:18" s="5" customFormat="1" ht="27.75" customHeight="1">
      <c r="A56" s="48">
        <v>40483</v>
      </c>
      <c r="B56" s="46">
        <v>0</v>
      </c>
      <c r="C56" s="46">
        <v>0</v>
      </c>
      <c r="D56" s="46">
        <f t="shared" si="19"/>
        <v>4116</v>
      </c>
      <c r="E56" s="46">
        <f t="shared" si="20"/>
        <v>983432</v>
      </c>
      <c r="F56" s="46">
        <f t="shared" si="17"/>
        <v>884</v>
      </c>
      <c r="G56" s="47">
        <v>0</v>
      </c>
      <c r="H56" s="47">
        <f t="shared" si="21"/>
        <v>741</v>
      </c>
      <c r="I56" s="47">
        <v>0</v>
      </c>
      <c r="J56" s="47">
        <f t="shared" si="22"/>
        <v>917453</v>
      </c>
      <c r="K56" s="47">
        <f t="shared" si="23"/>
        <v>65979</v>
      </c>
      <c r="L56" s="47">
        <f t="shared" si="18"/>
        <v>65979</v>
      </c>
      <c r="M56" s="97"/>
      <c r="P56" s="96"/>
      <c r="Q56" s="96"/>
    </row>
    <row r="57" spans="1:18" s="5" customFormat="1" ht="27.75" customHeight="1">
      <c r="A57" s="48">
        <v>40513</v>
      </c>
      <c r="B57" s="46">
        <v>0</v>
      </c>
      <c r="C57" s="46">
        <v>0</v>
      </c>
      <c r="D57" s="46">
        <f t="shared" si="19"/>
        <v>4116</v>
      </c>
      <c r="E57" s="46">
        <f t="shared" si="20"/>
        <v>983432</v>
      </c>
      <c r="F57" s="46">
        <f t="shared" si="17"/>
        <v>884</v>
      </c>
      <c r="G57" s="47">
        <v>0</v>
      </c>
      <c r="H57" s="47">
        <f t="shared" si="21"/>
        <v>0</v>
      </c>
      <c r="I57" s="47">
        <v>0</v>
      </c>
      <c r="J57" s="47">
        <f t="shared" si="22"/>
        <v>917453</v>
      </c>
      <c r="K57" s="47">
        <f t="shared" si="23"/>
        <v>65979</v>
      </c>
      <c r="L57" s="47">
        <f t="shared" si="18"/>
        <v>65979</v>
      </c>
      <c r="M57" s="97" t="s">
        <v>4852</v>
      </c>
      <c r="P57" s="96"/>
      <c r="Q57" s="96"/>
    </row>
    <row r="58" spans="1:18" s="5" customFormat="1" ht="30" customHeight="1">
      <c r="A58" s="52">
        <v>40664</v>
      </c>
      <c r="B58" s="53">
        <v>0</v>
      </c>
      <c r="C58" s="53">
        <v>0</v>
      </c>
      <c r="D58" s="53">
        <f t="shared" si="19"/>
        <v>4116</v>
      </c>
      <c r="E58" s="53">
        <f t="shared" si="20"/>
        <v>983432</v>
      </c>
      <c r="F58" s="53">
        <f t="shared" si="17"/>
        <v>884</v>
      </c>
      <c r="G58" s="54">
        <v>0</v>
      </c>
      <c r="H58" s="54">
        <f t="shared" si="21"/>
        <v>0</v>
      </c>
      <c r="I58" s="54">
        <v>85000</v>
      </c>
      <c r="J58" s="54">
        <f t="shared" si="22"/>
        <v>1002453</v>
      </c>
      <c r="K58" s="54">
        <f t="shared" si="23"/>
        <v>-19021</v>
      </c>
      <c r="L58" s="54">
        <f t="shared" si="18"/>
        <v>-19021</v>
      </c>
      <c r="M58" s="102" t="s">
        <v>4853</v>
      </c>
      <c r="P58" s="96"/>
      <c r="Q58" s="96"/>
    </row>
    <row r="59" spans="1:18" ht="60" customHeight="1">
      <c r="A59" s="34" t="s">
        <v>4854</v>
      </c>
      <c r="B59" s="55"/>
      <c r="C59" s="56" t="s">
        <v>4855</v>
      </c>
      <c r="D59" s="38" t="s">
        <v>236</v>
      </c>
      <c r="E59" s="1790"/>
      <c r="F59" s="1790"/>
      <c r="G59" s="1790"/>
      <c r="H59" s="57" t="s">
        <v>237</v>
      </c>
      <c r="I59" s="1791" t="s">
        <v>4856</v>
      </c>
      <c r="J59" s="1791"/>
      <c r="K59" s="1791"/>
      <c r="L59" s="1791" t="s">
        <v>4857</v>
      </c>
      <c r="M59" s="1798"/>
      <c r="Q59" s="7"/>
      <c r="R59" s="106"/>
    </row>
    <row r="60" spans="1:18" ht="31.5" customHeight="1">
      <c r="A60" s="39" t="s">
        <v>240</v>
      </c>
      <c r="B60" s="1637" t="s">
        <v>2484</v>
      </c>
      <c r="C60" s="1637"/>
      <c r="D60" s="41" t="s">
        <v>242</v>
      </c>
      <c r="E60" s="1637" t="s">
        <v>2484</v>
      </c>
      <c r="F60" s="1637"/>
      <c r="G60" s="1637"/>
      <c r="H60" s="58"/>
      <c r="I60" s="58"/>
      <c r="J60" s="41" t="s">
        <v>243</v>
      </c>
      <c r="K60" s="41" t="s">
        <v>1050</v>
      </c>
      <c r="L60" s="103" t="s">
        <v>245</v>
      </c>
      <c r="M60" s="104" t="s">
        <v>4858</v>
      </c>
      <c r="Q60" s="7"/>
      <c r="R60" s="106"/>
    </row>
    <row r="61" spans="1:18" ht="31.5" customHeight="1">
      <c r="A61" s="39" t="s">
        <v>247</v>
      </c>
      <c r="B61" s="1637" t="s">
        <v>4859</v>
      </c>
      <c r="C61" s="1637"/>
      <c r="D61" s="41" t="s">
        <v>249</v>
      </c>
      <c r="E61" s="59" t="s">
        <v>4860</v>
      </c>
      <c r="F61" s="41" t="s">
        <v>251</v>
      </c>
      <c r="G61" s="41" t="s">
        <v>4861</v>
      </c>
      <c r="H61" s="41" t="s">
        <v>252</v>
      </c>
      <c r="I61" s="41" t="s">
        <v>4862</v>
      </c>
      <c r="J61" s="91" t="s">
        <v>253</v>
      </c>
      <c r="K61" s="15" t="s">
        <v>4863</v>
      </c>
      <c r="L61" s="15" t="s">
        <v>255</v>
      </c>
      <c r="M61" s="105" t="s">
        <v>4864</v>
      </c>
      <c r="Q61" s="7"/>
      <c r="R61" s="106"/>
    </row>
    <row r="62" spans="1:18" ht="57" customHeight="1">
      <c r="A62" s="39" t="s">
        <v>260</v>
      </c>
      <c r="B62" s="1633" t="s">
        <v>4865</v>
      </c>
      <c r="C62" s="1633"/>
      <c r="D62" s="1633"/>
      <c r="E62" s="1633"/>
      <c r="F62" s="1633"/>
      <c r="G62" s="1633"/>
      <c r="H62" s="1633"/>
      <c r="I62" s="1633"/>
      <c r="J62" s="1633"/>
      <c r="K62" s="58"/>
      <c r="L62" s="58"/>
      <c r="M62" s="104"/>
      <c r="Q62" s="7"/>
      <c r="R62" s="106"/>
    </row>
    <row r="63" spans="1:18" ht="31.5" customHeight="1">
      <c r="A63" s="39" t="s">
        <v>1022</v>
      </c>
      <c r="B63" s="1648"/>
      <c r="C63" s="1648"/>
      <c r="D63" s="1648"/>
      <c r="E63" s="1648"/>
      <c r="F63" s="1648"/>
      <c r="G63" s="1648"/>
      <c r="H63" s="1648"/>
      <c r="I63" s="1664"/>
      <c r="J63" s="1664"/>
      <c r="K63" s="1664"/>
      <c r="L63" s="1664"/>
      <c r="M63" s="104"/>
      <c r="Q63" s="7"/>
      <c r="R63" s="106"/>
    </row>
    <row r="64" spans="1:18" s="2" customFormat="1" ht="31.5" customHeight="1">
      <c r="A64" s="19" t="s">
        <v>266</v>
      </c>
      <c r="B64" s="20" t="s">
        <v>267</v>
      </c>
      <c r="C64" s="20" t="s">
        <v>268</v>
      </c>
      <c r="D64" s="20" t="s">
        <v>269</v>
      </c>
      <c r="E64" s="20" t="s">
        <v>270</v>
      </c>
      <c r="F64" s="20" t="s">
        <v>271</v>
      </c>
      <c r="G64" s="21" t="s">
        <v>272</v>
      </c>
      <c r="H64" s="22" t="s">
        <v>273</v>
      </c>
      <c r="I64" s="20" t="s">
        <v>274</v>
      </c>
      <c r="J64" s="70" t="s">
        <v>275</v>
      </c>
      <c r="K64" s="70" t="s">
        <v>276</v>
      </c>
      <c r="L64" s="20" t="s">
        <v>277</v>
      </c>
      <c r="M64" s="71" t="s">
        <v>278</v>
      </c>
      <c r="Q64" s="7"/>
      <c r="R64" s="106"/>
    </row>
    <row r="65" spans="1:19" s="7" customFormat="1" ht="31.5" customHeight="1">
      <c r="A65" s="107">
        <v>40634</v>
      </c>
      <c r="B65" s="46">
        <v>2048.5</v>
      </c>
      <c r="C65" s="46">
        <v>498690</v>
      </c>
      <c r="D65" s="46">
        <f>B65</f>
        <v>2048.5</v>
      </c>
      <c r="E65" s="46">
        <f>C65</f>
        <v>498690</v>
      </c>
      <c r="F65" s="46">
        <f t="shared" ref="F65:F76" si="24">90000-D65</f>
        <v>87951.5</v>
      </c>
      <c r="G65" s="47">
        <f>C65</f>
        <v>498690</v>
      </c>
      <c r="H65" s="47">
        <v>0</v>
      </c>
      <c r="I65" s="47"/>
      <c r="J65" s="47"/>
      <c r="K65" s="47"/>
      <c r="L65" s="47">
        <f t="shared" ref="L65:L76" si="25">E65-J65</f>
        <v>498690</v>
      </c>
      <c r="M65" s="94"/>
      <c r="R65" s="106"/>
    </row>
    <row r="66" spans="1:19" s="7" customFormat="1" ht="31.5" customHeight="1">
      <c r="A66" s="107">
        <v>40664</v>
      </c>
      <c r="B66" s="46">
        <v>1450</v>
      </c>
      <c r="C66" s="46">
        <v>359920</v>
      </c>
      <c r="D66" s="46">
        <f t="shared" ref="D66:D76" si="26">D65+B66</f>
        <v>3498.5</v>
      </c>
      <c r="E66" s="46">
        <f t="shared" ref="E66:E76" si="27">E65+C66</f>
        <v>858610</v>
      </c>
      <c r="F66" s="46">
        <f t="shared" si="24"/>
        <v>86501.5</v>
      </c>
      <c r="G66" s="47">
        <f>C66</f>
        <v>359920</v>
      </c>
      <c r="H66" s="47">
        <v>0</v>
      </c>
      <c r="I66" s="47"/>
      <c r="J66" s="47"/>
      <c r="K66" s="47">
        <v>0</v>
      </c>
      <c r="L66" s="47">
        <f t="shared" si="25"/>
        <v>858610</v>
      </c>
      <c r="M66" s="94"/>
      <c r="R66" s="106"/>
    </row>
    <row r="67" spans="1:19" s="7" customFormat="1" ht="31.5" customHeight="1">
      <c r="A67" s="107">
        <v>40695</v>
      </c>
      <c r="B67" s="46">
        <v>1477</v>
      </c>
      <c r="C67" s="46">
        <v>373099</v>
      </c>
      <c r="D67" s="46">
        <f t="shared" si="26"/>
        <v>4975.5</v>
      </c>
      <c r="E67" s="46">
        <f t="shared" si="27"/>
        <v>1231709</v>
      </c>
      <c r="F67" s="46">
        <f t="shared" si="24"/>
        <v>85024.5</v>
      </c>
      <c r="G67" s="47">
        <f>E67*0.4</f>
        <v>492683.60000000003</v>
      </c>
      <c r="H67" s="47">
        <v>0</v>
      </c>
      <c r="I67" s="47"/>
      <c r="J67" s="47"/>
      <c r="K67" s="47">
        <v>0</v>
      </c>
      <c r="L67" s="47">
        <f t="shared" si="25"/>
        <v>1231709</v>
      </c>
      <c r="M67" s="142" t="s">
        <v>4866</v>
      </c>
      <c r="R67" s="106"/>
    </row>
    <row r="68" spans="1:19" s="8" customFormat="1" ht="31.5" customHeight="1">
      <c r="A68" s="108">
        <v>40725</v>
      </c>
      <c r="B68" s="109">
        <v>15633</v>
      </c>
      <c r="C68" s="109">
        <v>4562187.5</v>
      </c>
      <c r="D68" s="109">
        <f t="shared" si="26"/>
        <v>20608.5</v>
      </c>
      <c r="E68" s="109">
        <f t="shared" si="27"/>
        <v>5793896.5</v>
      </c>
      <c r="F68" s="109">
        <f t="shared" si="24"/>
        <v>69391.5</v>
      </c>
      <c r="G68" s="110">
        <f>E68*0.4</f>
        <v>2317558.6</v>
      </c>
      <c r="H68" s="110">
        <v>0</v>
      </c>
      <c r="I68" s="110"/>
      <c r="J68" s="110"/>
      <c r="K68" s="110">
        <f t="shared" ref="K68:K76" si="28">K67+H68-I68</f>
        <v>0</v>
      </c>
      <c r="L68" s="110">
        <f t="shared" si="25"/>
        <v>5793896.5</v>
      </c>
      <c r="M68" s="143" t="s">
        <v>4867</v>
      </c>
      <c r="R68" s="172"/>
    </row>
    <row r="69" spans="1:19" s="7" customFormat="1" ht="31.5" customHeight="1">
      <c r="A69" s="107">
        <v>40756</v>
      </c>
      <c r="B69" s="46">
        <v>9215</v>
      </c>
      <c r="C69" s="46">
        <v>2698210.5</v>
      </c>
      <c r="D69" s="46">
        <f t="shared" si="26"/>
        <v>29823.5</v>
      </c>
      <c r="E69" s="46">
        <f t="shared" si="27"/>
        <v>8492107</v>
      </c>
      <c r="F69" s="46">
        <f t="shared" si="24"/>
        <v>60176.5</v>
      </c>
      <c r="G69" s="47">
        <f>E68*0.4+C69*0.2</f>
        <v>2857200.7</v>
      </c>
      <c r="H69" s="47">
        <f>E68*0.6</f>
        <v>3476337.9</v>
      </c>
      <c r="I69" s="47">
        <v>1000000</v>
      </c>
      <c r="J69" s="47">
        <f t="shared" ref="J69:J76" si="29">J68+I69</f>
        <v>1000000</v>
      </c>
      <c r="K69" s="47">
        <f t="shared" si="28"/>
        <v>2476337.9</v>
      </c>
      <c r="L69" s="47">
        <f t="shared" si="25"/>
        <v>7492107</v>
      </c>
      <c r="M69" s="94" t="s">
        <v>4868</v>
      </c>
      <c r="R69" s="106"/>
    </row>
    <row r="70" spans="1:19" s="7" customFormat="1" ht="31.5" customHeight="1">
      <c r="A70" s="107">
        <v>40787</v>
      </c>
      <c r="B70" s="46">
        <v>9478.5</v>
      </c>
      <c r="C70" s="46">
        <v>2855125.75</v>
      </c>
      <c r="D70" s="46">
        <f t="shared" si="26"/>
        <v>39302</v>
      </c>
      <c r="E70" s="46">
        <f t="shared" si="27"/>
        <v>11347232.75</v>
      </c>
      <c r="F70" s="46">
        <f t="shared" si="24"/>
        <v>50698</v>
      </c>
      <c r="G70" s="47">
        <f>E68*0.4+(C69+C70)*0.2</f>
        <v>3428225.85</v>
      </c>
      <c r="H70" s="47">
        <f t="shared" ref="H70:H76" si="30">C69*0.8</f>
        <v>2158568.4</v>
      </c>
      <c r="I70" s="47">
        <v>1500000</v>
      </c>
      <c r="J70" s="47">
        <f t="shared" si="29"/>
        <v>2500000</v>
      </c>
      <c r="K70" s="47">
        <f t="shared" si="28"/>
        <v>3134906.3</v>
      </c>
      <c r="L70" s="47">
        <f t="shared" si="25"/>
        <v>8847232.75</v>
      </c>
      <c r="M70" s="94" t="s">
        <v>4869</v>
      </c>
      <c r="R70" s="106"/>
    </row>
    <row r="71" spans="1:19" s="7" customFormat="1" ht="31.5" customHeight="1">
      <c r="A71" s="107">
        <v>40817</v>
      </c>
      <c r="B71" s="46">
        <v>12728</v>
      </c>
      <c r="C71" s="46">
        <v>4004968.5</v>
      </c>
      <c r="D71" s="46">
        <f t="shared" si="26"/>
        <v>52030</v>
      </c>
      <c r="E71" s="46">
        <f t="shared" si="27"/>
        <v>15352201.25</v>
      </c>
      <c r="F71" s="46">
        <f t="shared" si="24"/>
        <v>37970</v>
      </c>
      <c r="G71" s="47">
        <f>E68*0.4+(C69+C70+C71)*0.2</f>
        <v>4229219.5500000007</v>
      </c>
      <c r="H71" s="47">
        <f t="shared" si="30"/>
        <v>2284100.6</v>
      </c>
      <c r="I71" s="47">
        <v>0</v>
      </c>
      <c r="J71" s="47">
        <f t="shared" si="29"/>
        <v>2500000</v>
      </c>
      <c r="K71" s="47">
        <f t="shared" si="28"/>
        <v>5419006.9000000004</v>
      </c>
      <c r="L71" s="47">
        <f t="shared" si="25"/>
        <v>12852201.25</v>
      </c>
      <c r="M71" s="94" t="s">
        <v>4870</v>
      </c>
      <c r="R71" s="106"/>
    </row>
    <row r="72" spans="1:19" s="7" customFormat="1" ht="31.5" customHeight="1">
      <c r="A72" s="107">
        <v>40848</v>
      </c>
      <c r="B72" s="109">
        <v>13443.5</v>
      </c>
      <c r="C72" s="46">
        <v>4348005.75</v>
      </c>
      <c r="D72" s="46">
        <f t="shared" si="26"/>
        <v>65473.5</v>
      </c>
      <c r="E72" s="46">
        <f t="shared" si="27"/>
        <v>19700207</v>
      </c>
      <c r="F72" s="46">
        <f t="shared" si="24"/>
        <v>24526.5</v>
      </c>
      <c r="G72" s="47">
        <f>E68*0.4+(C70+C71+C69+C72)*0.2</f>
        <v>5098820.7</v>
      </c>
      <c r="H72" s="47">
        <f t="shared" si="30"/>
        <v>3203974.8000000003</v>
      </c>
      <c r="I72" s="47">
        <v>1000000</v>
      </c>
      <c r="J72" s="47">
        <f t="shared" si="29"/>
        <v>3500000</v>
      </c>
      <c r="K72" s="47">
        <f t="shared" si="28"/>
        <v>7622981.7000000011</v>
      </c>
      <c r="L72" s="47">
        <f t="shared" si="25"/>
        <v>16200207</v>
      </c>
      <c r="M72" s="94" t="s">
        <v>4871</v>
      </c>
      <c r="R72" s="106"/>
    </row>
    <row r="73" spans="1:19" s="7" customFormat="1" ht="31.5" customHeight="1">
      <c r="A73" s="107">
        <v>40878</v>
      </c>
      <c r="B73" s="109">
        <v>8687.5</v>
      </c>
      <c r="C73" s="46">
        <v>2616502.5</v>
      </c>
      <c r="D73" s="46">
        <f t="shared" si="26"/>
        <v>74161</v>
      </c>
      <c r="E73" s="46">
        <f t="shared" si="27"/>
        <v>22316709.5</v>
      </c>
      <c r="F73" s="46">
        <f t="shared" si="24"/>
        <v>15839</v>
      </c>
      <c r="G73" s="47">
        <f>E68*0.4+(C71+C72+C70+C73+C69)*0.2</f>
        <v>5622121.2000000002</v>
      </c>
      <c r="H73" s="47">
        <f t="shared" si="30"/>
        <v>3478404.6</v>
      </c>
      <c r="I73" s="47">
        <v>8000000</v>
      </c>
      <c r="J73" s="47">
        <f t="shared" si="29"/>
        <v>11500000</v>
      </c>
      <c r="K73" s="47">
        <f t="shared" si="28"/>
        <v>3101386.3000000007</v>
      </c>
      <c r="L73" s="47">
        <f t="shared" si="25"/>
        <v>10816709.5</v>
      </c>
      <c r="M73" s="94" t="s">
        <v>4872</v>
      </c>
      <c r="R73" s="106"/>
    </row>
    <row r="74" spans="1:19" s="7" customFormat="1" ht="31.5" customHeight="1">
      <c r="A74" s="107">
        <v>40909</v>
      </c>
      <c r="B74" s="109">
        <v>4850.5</v>
      </c>
      <c r="C74" s="46">
        <v>1461235.5</v>
      </c>
      <c r="D74" s="46">
        <f t="shared" si="26"/>
        <v>79011.5</v>
      </c>
      <c r="E74" s="46">
        <f t="shared" si="27"/>
        <v>23777945</v>
      </c>
      <c r="F74" s="46">
        <f t="shared" si="24"/>
        <v>10988.5</v>
      </c>
      <c r="G74" s="47">
        <f>E68*0.4+(C72+C73+C71+C74+C70+C69)*0.2</f>
        <v>5914368.3000000007</v>
      </c>
      <c r="H74" s="47">
        <f t="shared" si="30"/>
        <v>2093202</v>
      </c>
      <c r="I74" s="47">
        <v>0</v>
      </c>
      <c r="J74" s="47">
        <f t="shared" si="29"/>
        <v>11500000</v>
      </c>
      <c r="K74" s="47">
        <f t="shared" si="28"/>
        <v>5194588.3000000007</v>
      </c>
      <c r="L74" s="47">
        <f t="shared" si="25"/>
        <v>12277945</v>
      </c>
      <c r="M74" s="94" t="s">
        <v>4873</v>
      </c>
      <c r="R74" s="106"/>
    </row>
    <row r="75" spans="1:19" s="7" customFormat="1" ht="31.5" customHeight="1">
      <c r="A75" s="107">
        <v>40940</v>
      </c>
      <c r="B75" s="46">
        <v>0</v>
      </c>
      <c r="C75" s="46">
        <v>0</v>
      </c>
      <c r="D75" s="46">
        <f t="shared" si="26"/>
        <v>79011.5</v>
      </c>
      <c r="E75" s="46">
        <f t="shared" si="27"/>
        <v>23777945</v>
      </c>
      <c r="F75" s="46">
        <f t="shared" si="24"/>
        <v>10988.5</v>
      </c>
      <c r="G75" s="47">
        <f>E68*0.4+(C73+C74+C72+C75+C71+C70+C69)*0.2</f>
        <v>5914368.3000000007</v>
      </c>
      <c r="H75" s="47">
        <f t="shared" si="30"/>
        <v>1168988.4000000001</v>
      </c>
      <c r="I75" s="47">
        <v>0</v>
      </c>
      <c r="J75" s="47">
        <f t="shared" si="29"/>
        <v>11500000</v>
      </c>
      <c r="K75" s="47">
        <f t="shared" si="28"/>
        <v>6363576.7000000011</v>
      </c>
      <c r="L75" s="47">
        <f t="shared" si="25"/>
        <v>12277945</v>
      </c>
      <c r="M75" s="94" t="s">
        <v>4874</v>
      </c>
      <c r="R75" s="106"/>
    </row>
    <row r="76" spans="1:19" s="7" customFormat="1" ht="31.5" customHeight="1">
      <c r="A76" s="111">
        <v>40969</v>
      </c>
      <c r="B76" s="53">
        <v>0</v>
      </c>
      <c r="C76" s="53">
        <v>0</v>
      </c>
      <c r="D76" s="53">
        <f t="shared" si="26"/>
        <v>79011.5</v>
      </c>
      <c r="E76" s="53">
        <f t="shared" si="27"/>
        <v>23777945</v>
      </c>
      <c r="F76" s="53">
        <f t="shared" si="24"/>
        <v>10988.5</v>
      </c>
      <c r="G76" s="54">
        <f>E69*0.4+(C74+C75+C73+C76+C72+C71+C70)*0.2</f>
        <v>6454010.4000000004</v>
      </c>
      <c r="H76" s="54">
        <f t="shared" si="30"/>
        <v>0</v>
      </c>
      <c r="I76" s="54">
        <v>0</v>
      </c>
      <c r="J76" s="54">
        <f t="shared" si="29"/>
        <v>11500000</v>
      </c>
      <c r="K76" s="54">
        <f t="shared" si="28"/>
        <v>6363576.7000000011</v>
      </c>
      <c r="L76" s="54">
        <f t="shared" si="25"/>
        <v>12277945</v>
      </c>
      <c r="M76" s="144" t="s">
        <v>4875</v>
      </c>
      <c r="R76" s="106"/>
    </row>
    <row r="77" spans="1:19" s="2" customFormat="1" ht="36.75" customHeight="1">
      <c r="A77" s="112" t="s">
        <v>608</v>
      </c>
      <c r="B77" s="113" t="s">
        <v>267</v>
      </c>
      <c r="C77" s="113" t="s">
        <v>268</v>
      </c>
      <c r="D77" s="113" t="s">
        <v>269</v>
      </c>
      <c r="E77" s="113" t="s">
        <v>270</v>
      </c>
      <c r="F77" s="113" t="s">
        <v>271</v>
      </c>
      <c r="G77" s="114" t="s">
        <v>272</v>
      </c>
      <c r="H77" s="115" t="s">
        <v>273</v>
      </c>
      <c r="I77" s="113" t="s">
        <v>274</v>
      </c>
      <c r="J77" s="145" t="s">
        <v>275</v>
      </c>
      <c r="K77" s="145" t="s">
        <v>276</v>
      </c>
      <c r="L77" s="113" t="s">
        <v>277</v>
      </c>
      <c r="M77" s="146" t="s">
        <v>278</v>
      </c>
    </row>
    <row r="78" spans="1:19" s="9" customFormat="1" ht="27" customHeight="1">
      <c r="A78" s="116" t="s">
        <v>4876</v>
      </c>
      <c r="B78" s="117"/>
      <c r="C78" s="117"/>
      <c r="D78" s="117"/>
      <c r="E78" s="117"/>
      <c r="F78" s="117"/>
      <c r="G78" s="117"/>
      <c r="H78" s="118"/>
      <c r="I78" s="118"/>
      <c r="J78" s="118"/>
      <c r="K78" s="118"/>
      <c r="L78" s="118"/>
      <c r="M78" s="147"/>
      <c r="N78" s="2"/>
      <c r="O78" s="2"/>
      <c r="P78" s="2"/>
      <c r="Q78" s="2"/>
      <c r="R78" s="2"/>
      <c r="S78" s="2"/>
    </row>
    <row r="79" spans="1:19" ht="23.1" customHeight="1">
      <c r="A79" s="119" t="s">
        <v>4877</v>
      </c>
      <c r="B79" s="36"/>
      <c r="C79" s="36" t="s">
        <v>4878</v>
      </c>
      <c r="D79" s="37"/>
      <c r="E79" s="38" t="s">
        <v>236</v>
      </c>
      <c r="F79" s="1860" t="s">
        <v>4879</v>
      </c>
      <c r="G79" s="1860"/>
      <c r="H79" s="120" t="s">
        <v>237</v>
      </c>
      <c r="I79" s="1791" t="s">
        <v>4880</v>
      </c>
      <c r="J79" s="1791"/>
      <c r="K79" s="1791"/>
      <c r="L79" s="2281" t="s">
        <v>4881</v>
      </c>
      <c r="M79" s="2282"/>
      <c r="N79" s="4"/>
      <c r="O79" s="4"/>
      <c r="P79" s="4"/>
      <c r="Q79" s="4"/>
      <c r="R79" s="4"/>
      <c r="S79" s="4"/>
    </row>
    <row r="80" spans="1:19" ht="29.1" customHeight="1">
      <c r="A80" s="39" t="s">
        <v>240</v>
      </c>
      <c r="B80" s="1637" t="s">
        <v>4882</v>
      </c>
      <c r="C80" s="1637"/>
      <c r="D80" s="41" t="s">
        <v>242</v>
      </c>
      <c r="E80" s="1637" t="s">
        <v>4882</v>
      </c>
      <c r="F80" s="1637"/>
      <c r="G80" s="1637"/>
      <c r="H80" s="41" t="s">
        <v>243</v>
      </c>
      <c r="I80" s="40" t="s">
        <v>1050</v>
      </c>
      <c r="J80" s="41"/>
      <c r="K80" s="41" t="s">
        <v>4840</v>
      </c>
      <c r="L80" s="1958"/>
      <c r="M80" s="2283"/>
      <c r="N80" s="4"/>
      <c r="O80" s="4"/>
      <c r="P80" s="4"/>
      <c r="Q80" s="4"/>
      <c r="R80" s="4"/>
      <c r="S80" s="4"/>
    </row>
    <row r="81" spans="1:19" ht="21" customHeight="1">
      <c r="A81" s="39" t="s">
        <v>247</v>
      </c>
      <c r="B81" s="1637" t="s">
        <v>4883</v>
      </c>
      <c r="C81" s="1637"/>
      <c r="D81" s="41" t="s">
        <v>249</v>
      </c>
      <c r="E81" s="43" t="s">
        <v>2929</v>
      </c>
      <c r="F81" s="41" t="s">
        <v>251</v>
      </c>
      <c r="G81" s="41" t="s">
        <v>4884</v>
      </c>
      <c r="H81" s="41" t="s">
        <v>252</v>
      </c>
      <c r="I81" s="40">
        <v>13556129025</v>
      </c>
      <c r="J81" s="91" t="s">
        <v>253</v>
      </c>
      <c r="K81" s="15" t="s">
        <v>4885</v>
      </c>
      <c r="L81" s="15" t="s">
        <v>255</v>
      </c>
      <c r="M81" s="105" t="s">
        <v>4886</v>
      </c>
      <c r="N81" s="4"/>
      <c r="O81" s="4"/>
      <c r="P81" s="4"/>
      <c r="Q81" s="4"/>
      <c r="R81" s="4"/>
      <c r="S81" s="4"/>
    </row>
    <row r="82" spans="1:19" ht="39" customHeight="1">
      <c r="A82" s="39" t="s">
        <v>260</v>
      </c>
      <c r="B82" s="1633" t="s">
        <v>4887</v>
      </c>
      <c r="C82" s="1633"/>
      <c r="D82" s="1633"/>
      <c r="E82" s="1633"/>
      <c r="F82" s="1633"/>
      <c r="G82" s="1633" t="s">
        <v>4888</v>
      </c>
      <c r="H82" s="1633"/>
      <c r="I82" s="1633"/>
      <c r="J82" s="1633"/>
      <c r="K82" s="150"/>
      <c r="L82" s="150"/>
      <c r="M82" s="151"/>
      <c r="N82" s="4"/>
      <c r="O82" s="4"/>
      <c r="P82" s="4"/>
      <c r="Q82" s="4"/>
      <c r="R82" s="4"/>
      <c r="S82" s="4"/>
    </row>
    <row r="83" spans="1:19" ht="42.75">
      <c r="A83" s="19" t="s">
        <v>266</v>
      </c>
      <c r="B83" s="20" t="s">
        <v>267</v>
      </c>
      <c r="C83" s="20" t="s">
        <v>268</v>
      </c>
      <c r="D83" s="20" t="s">
        <v>269</v>
      </c>
      <c r="E83" s="20" t="s">
        <v>270</v>
      </c>
      <c r="F83" s="20" t="s">
        <v>271</v>
      </c>
      <c r="G83" s="21" t="s">
        <v>272</v>
      </c>
      <c r="H83" s="22" t="s">
        <v>273</v>
      </c>
      <c r="I83" s="20" t="s">
        <v>274</v>
      </c>
      <c r="J83" s="70" t="s">
        <v>275</v>
      </c>
      <c r="K83" s="70" t="s">
        <v>276</v>
      </c>
      <c r="L83" s="20" t="s">
        <v>277</v>
      </c>
      <c r="M83" s="71" t="s">
        <v>278</v>
      </c>
      <c r="N83" s="4"/>
      <c r="O83" s="4"/>
      <c r="P83" s="4"/>
      <c r="Q83" s="4"/>
      <c r="R83" s="4"/>
      <c r="S83" s="4"/>
    </row>
    <row r="84" spans="1:19" ht="39" customHeight="1">
      <c r="A84" s="45" t="s">
        <v>4889</v>
      </c>
      <c r="B84" s="46">
        <v>397</v>
      </c>
      <c r="C84" s="46">
        <v>113145</v>
      </c>
      <c r="D84" s="46">
        <f>B84</f>
        <v>397</v>
      </c>
      <c r="E84" s="46">
        <f>C84</f>
        <v>113145</v>
      </c>
      <c r="F84" s="46">
        <f t="shared" ref="F84:F117" si="31">33000-D84</f>
        <v>32603</v>
      </c>
      <c r="G84" s="47"/>
      <c r="H84" s="47"/>
      <c r="I84" s="47"/>
      <c r="J84" s="47"/>
      <c r="K84" s="47"/>
      <c r="L84" s="47">
        <f t="shared" ref="L84:L118" si="32">E84-J84</f>
        <v>113145</v>
      </c>
      <c r="M84" s="97"/>
      <c r="N84" s="5"/>
      <c r="O84" s="5"/>
      <c r="P84" s="96"/>
      <c r="Q84" s="96"/>
      <c r="R84" s="5"/>
      <c r="S84" s="5"/>
    </row>
    <row r="85" spans="1:19" ht="39" customHeight="1">
      <c r="A85" s="45">
        <v>40787</v>
      </c>
      <c r="B85" s="46">
        <v>394.5</v>
      </c>
      <c r="C85" s="46">
        <v>111911</v>
      </c>
      <c r="D85" s="46">
        <f t="shared" ref="D85:D117" si="33">D84+B85</f>
        <v>791.5</v>
      </c>
      <c r="E85" s="46">
        <f t="shared" ref="E85:E118" si="34">E84+C85</f>
        <v>225056</v>
      </c>
      <c r="F85" s="46">
        <f t="shared" si="31"/>
        <v>32208.5</v>
      </c>
      <c r="G85" s="47">
        <f>C84*0.2+C85</f>
        <v>134540</v>
      </c>
      <c r="H85" s="47">
        <v>0</v>
      </c>
      <c r="I85" s="47"/>
      <c r="J85" s="47"/>
      <c r="K85" s="47">
        <v>0</v>
      </c>
      <c r="L85" s="47">
        <f t="shared" si="32"/>
        <v>225056</v>
      </c>
      <c r="M85" s="97"/>
      <c r="N85" s="5"/>
      <c r="O85" s="5"/>
      <c r="P85" s="96"/>
      <c r="Q85" s="96"/>
      <c r="R85" s="5"/>
      <c r="S85" s="5"/>
    </row>
    <row r="86" spans="1:19" ht="39" customHeight="1">
      <c r="A86" s="45">
        <v>40817</v>
      </c>
      <c r="B86" s="46">
        <v>1837</v>
      </c>
      <c r="C86" s="46">
        <v>527892</v>
      </c>
      <c r="D86" s="46">
        <f t="shared" si="33"/>
        <v>2628.5</v>
      </c>
      <c r="E86" s="46">
        <f t="shared" si="34"/>
        <v>752948</v>
      </c>
      <c r="F86" s="46">
        <f t="shared" si="31"/>
        <v>30371.5</v>
      </c>
      <c r="G86" s="47">
        <f>C85*0.2+C86</f>
        <v>550274.19999999995</v>
      </c>
      <c r="H86" s="47">
        <f>C84*0.8</f>
        <v>90516</v>
      </c>
      <c r="I86" s="47"/>
      <c r="J86" s="47"/>
      <c r="K86" s="47">
        <f t="shared" ref="K86:K117" si="35">K85+H86-I86</f>
        <v>90516</v>
      </c>
      <c r="L86" s="47">
        <f t="shared" si="32"/>
        <v>752948</v>
      </c>
      <c r="M86" s="95" t="s">
        <v>4890</v>
      </c>
      <c r="N86" s="5"/>
      <c r="O86" s="5"/>
      <c r="P86" s="96"/>
      <c r="Q86" s="96"/>
      <c r="R86" s="5"/>
      <c r="S86" s="5"/>
    </row>
    <row r="87" spans="1:19" ht="39" customHeight="1">
      <c r="A87" s="45">
        <v>40848</v>
      </c>
      <c r="B87" s="46">
        <v>4381</v>
      </c>
      <c r="C87" s="46">
        <v>1269939</v>
      </c>
      <c r="D87" s="46">
        <f t="shared" si="33"/>
        <v>7009.5</v>
      </c>
      <c r="E87" s="46">
        <f t="shared" si="34"/>
        <v>2022887</v>
      </c>
      <c r="F87" s="46">
        <f t="shared" si="31"/>
        <v>25990.5</v>
      </c>
      <c r="G87" s="47">
        <f>C86*0.2+C87</f>
        <v>1375517.4</v>
      </c>
      <c r="H87" s="47">
        <f>C85*0.8+C84*0.2</f>
        <v>112157.8</v>
      </c>
      <c r="I87" s="47"/>
      <c r="J87" s="47"/>
      <c r="K87" s="47">
        <f t="shared" si="35"/>
        <v>202673.8</v>
      </c>
      <c r="L87" s="47">
        <f t="shared" si="32"/>
        <v>2022887</v>
      </c>
      <c r="M87" s="95" t="s">
        <v>4891</v>
      </c>
      <c r="N87" s="5"/>
      <c r="O87" s="5"/>
      <c r="P87" s="96"/>
      <c r="Q87" s="96"/>
      <c r="R87" s="5"/>
      <c r="S87" s="5"/>
    </row>
    <row r="88" spans="1:19" ht="39" customHeight="1">
      <c r="A88" s="45" t="s">
        <v>4892</v>
      </c>
      <c r="B88" s="46"/>
      <c r="C88" s="109">
        <v>31128.7</v>
      </c>
      <c r="D88" s="46">
        <f t="shared" si="33"/>
        <v>7009.5</v>
      </c>
      <c r="E88" s="46">
        <f t="shared" si="34"/>
        <v>2054015.7</v>
      </c>
      <c r="F88" s="46">
        <f t="shared" si="31"/>
        <v>25990.5</v>
      </c>
      <c r="G88" s="47"/>
      <c r="H88" s="47"/>
      <c r="I88" s="47"/>
      <c r="J88" s="47"/>
      <c r="K88" s="47">
        <f t="shared" si="35"/>
        <v>202673.8</v>
      </c>
      <c r="L88" s="47">
        <f t="shared" si="32"/>
        <v>2054015.7</v>
      </c>
      <c r="M88" s="95"/>
      <c r="N88" s="5"/>
      <c r="O88" s="5"/>
      <c r="P88" s="96"/>
      <c r="Q88" s="96"/>
      <c r="R88" s="5"/>
      <c r="S88" s="5"/>
    </row>
    <row r="89" spans="1:19" ht="39" customHeight="1">
      <c r="A89" s="45">
        <v>40878</v>
      </c>
      <c r="B89" s="46">
        <v>4715</v>
      </c>
      <c r="C89" s="46">
        <v>1362575</v>
      </c>
      <c r="D89" s="46">
        <f t="shared" si="33"/>
        <v>11724.5</v>
      </c>
      <c r="E89" s="46">
        <f t="shared" si="34"/>
        <v>3416590.7</v>
      </c>
      <c r="F89" s="46">
        <f t="shared" si="31"/>
        <v>21275.5</v>
      </c>
      <c r="G89" s="47">
        <f>C89+C87*0.2</f>
        <v>1616562.8</v>
      </c>
      <c r="H89" s="47">
        <f>C86*0.8+C85*0.2</f>
        <v>444695.80000000005</v>
      </c>
      <c r="I89" s="47">
        <f>112157.8+90516+444695.8</f>
        <v>647369.6</v>
      </c>
      <c r="J89" s="47">
        <f t="shared" ref="J89:J118" si="36">J88+I89</f>
        <v>647369.6</v>
      </c>
      <c r="K89" s="47">
        <f t="shared" si="35"/>
        <v>0</v>
      </c>
      <c r="L89" s="47">
        <f t="shared" si="32"/>
        <v>2769221.1</v>
      </c>
      <c r="M89" s="152" t="s">
        <v>4893</v>
      </c>
      <c r="N89" s="5"/>
      <c r="O89" s="5"/>
      <c r="P89" s="96"/>
      <c r="Q89" s="96"/>
      <c r="R89" s="5"/>
      <c r="S89" s="5"/>
    </row>
    <row r="90" spans="1:19" ht="39" customHeight="1">
      <c r="A90" s="45" t="s">
        <v>4892</v>
      </c>
      <c r="B90" s="46"/>
      <c r="C90" s="109">
        <v>84000</v>
      </c>
      <c r="D90" s="46">
        <f t="shared" si="33"/>
        <v>11724.5</v>
      </c>
      <c r="E90" s="46">
        <f t="shared" si="34"/>
        <v>3500590.7</v>
      </c>
      <c r="F90" s="46">
        <f t="shared" si="31"/>
        <v>21275.5</v>
      </c>
      <c r="G90" s="47"/>
      <c r="H90" s="47">
        <v>0</v>
      </c>
      <c r="I90" s="47">
        <v>0</v>
      </c>
      <c r="J90" s="47">
        <f t="shared" si="36"/>
        <v>647369.6</v>
      </c>
      <c r="K90" s="47">
        <f t="shared" si="35"/>
        <v>0</v>
      </c>
      <c r="L90" s="47">
        <f t="shared" si="32"/>
        <v>2853221.1</v>
      </c>
      <c r="M90" s="152" t="s">
        <v>4894</v>
      </c>
      <c r="N90" s="5"/>
      <c r="O90" s="5"/>
      <c r="P90" s="96"/>
      <c r="Q90" s="96"/>
      <c r="R90" s="5"/>
      <c r="S90" s="5"/>
    </row>
    <row r="91" spans="1:19" ht="39" customHeight="1">
      <c r="A91" s="45">
        <v>40909</v>
      </c>
      <c r="B91" s="46">
        <v>4439.5</v>
      </c>
      <c r="C91" s="46">
        <v>1320748.5</v>
      </c>
      <c r="D91" s="46">
        <f t="shared" si="33"/>
        <v>16164</v>
      </c>
      <c r="E91" s="46">
        <f t="shared" si="34"/>
        <v>4821339.2</v>
      </c>
      <c r="F91" s="46">
        <f t="shared" si="31"/>
        <v>16836</v>
      </c>
      <c r="G91" s="47">
        <f>C91+C89*0.2</f>
        <v>1593263.5</v>
      </c>
      <c r="H91" s="47">
        <f>C87*0.8+C86*0.2+C88</f>
        <v>1152658.3</v>
      </c>
      <c r="I91" s="47">
        <v>1150000</v>
      </c>
      <c r="J91" s="47">
        <f t="shared" si="36"/>
        <v>1797369.6</v>
      </c>
      <c r="K91" s="47">
        <f t="shared" si="35"/>
        <v>2658.3000000000466</v>
      </c>
      <c r="L91" s="47">
        <f t="shared" si="32"/>
        <v>3023969.6</v>
      </c>
      <c r="M91" s="97"/>
      <c r="N91" s="5"/>
      <c r="O91" s="5"/>
      <c r="P91" s="96"/>
      <c r="Q91" s="96"/>
      <c r="R91" s="5"/>
      <c r="S91" s="5"/>
    </row>
    <row r="92" spans="1:19" ht="39" customHeight="1">
      <c r="A92" s="45">
        <v>40940</v>
      </c>
      <c r="B92" s="46">
        <v>392</v>
      </c>
      <c r="C92" s="46">
        <v>119206</v>
      </c>
      <c r="D92" s="46">
        <f t="shared" si="33"/>
        <v>16556</v>
      </c>
      <c r="E92" s="46">
        <f t="shared" si="34"/>
        <v>4940545.2</v>
      </c>
      <c r="F92" s="46">
        <f t="shared" si="31"/>
        <v>16444</v>
      </c>
      <c r="G92" s="47">
        <f>C92+C91*0.2</f>
        <v>383355.7</v>
      </c>
      <c r="H92" s="47">
        <f>C89*0.8+C87*0.2+C90</f>
        <v>1428047.8</v>
      </c>
      <c r="I92" s="47">
        <v>0</v>
      </c>
      <c r="J92" s="47">
        <f t="shared" si="36"/>
        <v>1797369.6</v>
      </c>
      <c r="K92" s="47">
        <f t="shared" si="35"/>
        <v>1430706.1</v>
      </c>
      <c r="L92" s="47">
        <f t="shared" si="32"/>
        <v>3143175.6</v>
      </c>
      <c r="M92" s="95" t="s">
        <v>4895</v>
      </c>
      <c r="N92" s="5"/>
      <c r="O92" s="5" t="s">
        <v>4896</v>
      </c>
      <c r="P92" s="96"/>
      <c r="Q92" s="96"/>
      <c r="R92" s="5"/>
      <c r="S92" s="5"/>
    </row>
    <row r="93" spans="1:19" ht="39" customHeight="1">
      <c r="A93" s="45">
        <v>40969</v>
      </c>
      <c r="B93" s="46">
        <v>1331.5</v>
      </c>
      <c r="C93" s="121">
        <v>400037.5</v>
      </c>
      <c r="D93" s="46">
        <f t="shared" si="33"/>
        <v>17887.5</v>
      </c>
      <c r="E93" s="46">
        <f t="shared" si="34"/>
        <v>5340582.7</v>
      </c>
      <c r="F93" s="46">
        <f t="shared" si="31"/>
        <v>15112.5</v>
      </c>
      <c r="G93" s="47">
        <f>C93+C92*0.2</f>
        <v>423878.7</v>
      </c>
      <c r="H93" s="47">
        <f>C91*0.8+C89*0.2</f>
        <v>1329113.8</v>
      </c>
      <c r="I93" s="47">
        <v>1000000</v>
      </c>
      <c r="J93" s="47">
        <f t="shared" si="36"/>
        <v>2797369.6</v>
      </c>
      <c r="K93" s="47">
        <f t="shared" si="35"/>
        <v>1759819.9000000004</v>
      </c>
      <c r="L93" s="47">
        <f t="shared" si="32"/>
        <v>2543213.1</v>
      </c>
      <c r="M93" s="97" t="s">
        <v>4897</v>
      </c>
      <c r="N93" s="5"/>
      <c r="O93" s="5"/>
      <c r="P93" s="96"/>
      <c r="Q93" s="96"/>
      <c r="R93" s="5"/>
      <c r="S93" s="5"/>
    </row>
    <row r="94" spans="1:19" ht="39" customHeight="1">
      <c r="A94" s="45" t="s">
        <v>4898</v>
      </c>
      <c r="B94" s="46"/>
      <c r="C94" s="109">
        <v>30100</v>
      </c>
      <c r="D94" s="46">
        <f t="shared" si="33"/>
        <v>17887.5</v>
      </c>
      <c r="E94" s="46">
        <f t="shared" si="34"/>
        <v>5370682.7000000002</v>
      </c>
      <c r="F94" s="46">
        <f t="shared" si="31"/>
        <v>15112.5</v>
      </c>
      <c r="G94" s="47"/>
      <c r="H94" s="47">
        <v>0</v>
      </c>
      <c r="I94" s="47">
        <v>430000</v>
      </c>
      <c r="J94" s="47">
        <f t="shared" si="36"/>
        <v>3227369.6</v>
      </c>
      <c r="K94" s="47">
        <f t="shared" si="35"/>
        <v>1329819.9000000004</v>
      </c>
      <c r="L94" s="47">
        <f t="shared" si="32"/>
        <v>2143313.1</v>
      </c>
      <c r="M94" s="153" t="s">
        <v>4899</v>
      </c>
      <c r="N94" s="5"/>
      <c r="O94" s="5"/>
      <c r="P94" s="96"/>
      <c r="Q94" s="96"/>
      <c r="R94" s="5"/>
      <c r="S94" s="5"/>
    </row>
    <row r="95" spans="1:19" ht="39" customHeight="1">
      <c r="A95" s="122">
        <v>41000</v>
      </c>
      <c r="B95" s="123">
        <v>1230</v>
      </c>
      <c r="C95" s="123">
        <v>367370.5</v>
      </c>
      <c r="D95" s="123">
        <f t="shared" si="33"/>
        <v>19117.5</v>
      </c>
      <c r="E95" s="123">
        <f t="shared" si="34"/>
        <v>5738053.2000000002</v>
      </c>
      <c r="F95" s="123">
        <f t="shared" si="31"/>
        <v>13882.5</v>
      </c>
      <c r="G95" s="124">
        <f>C95+C93*0.2</f>
        <v>447378</v>
      </c>
      <c r="H95" s="124">
        <f>C92*0.8+C91*0.2+C94</f>
        <v>389614.5</v>
      </c>
      <c r="I95" s="124">
        <v>0</v>
      </c>
      <c r="J95" s="124">
        <f t="shared" si="36"/>
        <v>3227369.6</v>
      </c>
      <c r="K95" s="124">
        <f t="shared" si="35"/>
        <v>1719434.4000000004</v>
      </c>
      <c r="L95" s="124">
        <f t="shared" si="32"/>
        <v>2510683.6</v>
      </c>
      <c r="M95" s="154"/>
      <c r="N95" s="155"/>
      <c r="O95" s="155"/>
      <c r="P95" s="156"/>
      <c r="Q95" s="156"/>
      <c r="R95" s="155"/>
      <c r="S95" s="155"/>
    </row>
    <row r="96" spans="1:19" ht="39" customHeight="1">
      <c r="A96" s="45" t="s">
        <v>4900</v>
      </c>
      <c r="B96" s="46"/>
      <c r="C96" s="109">
        <v>14000</v>
      </c>
      <c r="D96" s="46">
        <f t="shared" si="33"/>
        <v>19117.5</v>
      </c>
      <c r="E96" s="46">
        <f t="shared" si="34"/>
        <v>5752053.2000000002</v>
      </c>
      <c r="F96" s="46">
        <f t="shared" si="31"/>
        <v>13882.5</v>
      </c>
      <c r="G96" s="47"/>
      <c r="H96" s="47"/>
      <c r="I96" s="47">
        <v>0</v>
      </c>
      <c r="J96" s="47">
        <f t="shared" si="36"/>
        <v>3227369.6</v>
      </c>
      <c r="K96" s="47">
        <f t="shared" si="35"/>
        <v>1719434.4000000004</v>
      </c>
      <c r="L96" s="47">
        <f t="shared" si="32"/>
        <v>2524683.6</v>
      </c>
      <c r="M96" s="153" t="s">
        <v>4901</v>
      </c>
      <c r="N96" s="5"/>
      <c r="O96" s="5"/>
      <c r="P96" s="96"/>
      <c r="Q96" s="96"/>
      <c r="R96" s="5"/>
      <c r="S96" s="5"/>
    </row>
    <row r="97" spans="1:19" ht="39" customHeight="1">
      <c r="A97" s="45">
        <v>41030</v>
      </c>
      <c r="B97" s="46">
        <v>870</v>
      </c>
      <c r="C97" s="46">
        <v>269615</v>
      </c>
      <c r="D97" s="46">
        <f t="shared" si="33"/>
        <v>19987.5</v>
      </c>
      <c r="E97" s="46">
        <f t="shared" si="34"/>
        <v>6021668.2000000002</v>
      </c>
      <c r="F97" s="46">
        <f t="shared" si="31"/>
        <v>13012.5</v>
      </c>
      <c r="G97" s="47"/>
      <c r="H97" s="47">
        <f>C93*0.8+C92*0.2+C96</f>
        <v>357871.2</v>
      </c>
      <c r="I97" s="47">
        <f>200000</f>
        <v>200000</v>
      </c>
      <c r="J97" s="47">
        <f t="shared" si="36"/>
        <v>3427369.6</v>
      </c>
      <c r="K97" s="47">
        <f t="shared" si="35"/>
        <v>1877305.6000000003</v>
      </c>
      <c r="L97" s="47">
        <f t="shared" si="32"/>
        <v>2594298.6</v>
      </c>
      <c r="M97" s="157" t="s">
        <v>4902</v>
      </c>
      <c r="N97" s="5"/>
      <c r="O97" s="5"/>
      <c r="P97" s="96"/>
      <c r="Q97" s="96"/>
      <c r="R97" s="5"/>
      <c r="S97" s="5"/>
    </row>
    <row r="98" spans="1:19" ht="39" customHeight="1">
      <c r="A98" s="45" t="s">
        <v>4903</v>
      </c>
      <c r="B98" s="46"/>
      <c r="C98" s="109">
        <v>56000</v>
      </c>
      <c r="D98" s="46">
        <f t="shared" si="33"/>
        <v>19987.5</v>
      </c>
      <c r="E98" s="46">
        <f t="shared" si="34"/>
        <v>6077668.2000000002</v>
      </c>
      <c r="F98" s="46">
        <f t="shared" si="31"/>
        <v>13012.5</v>
      </c>
      <c r="G98" s="47">
        <f>C97+C95*0.2</f>
        <v>343089.1</v>
      </c>
      <c r="H98" s="47"/>
      <c r="I98" s="47"/>
      <c r="J98" s="47">
        <f t="shared" si="36"/>
        <v>3427369.6</v>
      </c>
      <c r="K98" s="47">
        <f t="shared" si="35"/>
        <v>1877305.6000000003</v>
      </c>
      <c r="L98" s="47">
        <f t="shared" si="32"/>
        <v>2650298.6</v>
      </c>
      <c r="M98" s="95"/>
      <c r="N98" s="5"/>
      <c r="O98" s="5"/>
      <c r="P98" s="96"/>
      <c r="Q98" s="96"/>
      <c r="R98" s="5"/>
      <c r="S98" s="5"/>
    </row>
    <row r="99" spans="1:19" ht="39" customHeight="1">
      <c r="A99" s="45">
        <v>41061</v>
      </c>
      <c r="B99" s="46">
        <v>2042</v>
      </c>
      <c r="C99" s="46">
        <v>610079.5</v>
      </c>
      <c r="D99" s="46">
        <f t="shared" si="33"/>
        <v>22029.5</v>
      </c>
      <c r="E99" s="46">
        <f t="shared" si="34"/>
        <v>6687747.7000000002</v>
      </c>
      <c r="F99" s="46">
        <f t="shared" si="31"/>
        <v>10970.5</v>
      </c>
      <c r="G99" s="47">
        <f>C99+C97*0.2</f>
        <v>664002.5</v>
      </c>
      <c r="H99" s="47">
        <f>C93*0.2+C95*0.8+C98</f>
        <v>429903.9</v>
      </c>
      <c r="I99" s="47">
        <v>800000</v>
      </c>
      <c r="J99" s="47">
        <f t="shared" si="36"/>
        <v>4227369.5999999996</v>
      </c>
      <c r="K99" s="47">
        <f t="shared" si="35"/>
        <v>1507209.5000000005</v>
      </c>
      <c r="L99" s="47">
        <f t="shared" si="32"/>
        <v>2460378.1000000006</v>
      </c>
      <c r="M99" s="157" t="s">
        <v>4904</v>
      </c>
      <c r="N99" s="5"/>
      <c r="O99" s="5"/>
      <c r="P99" s="96"/>
      <c r="Q99" s="96"/>
      <c r="R99" s="5"/>
      <c r="S99" s="5"/>
    </row>
    <row r="100" spans="1:19" ht="39" customHeight="1">
      <c r="A100" s="45">
        <v>41091</v>
      </c>
      <c r="B100" s="46">
        <v>1459.5</v>
      </c>
      <c r="C100" s="46">
        <v>446565.5</v>
      </c>
      <c r="D100" s="46">
        <f t="shared" si="33"/>
        <v>23489</v>
      </c>
      <c r="E100" s="46">
        <f t="shared" si="34"/>
        <v>7134313.2000000002</v>
      </c>
      <c r="F100" s="46">
        <f t="shared" si="31"/>
        <v>9511</v>
      </c>
      <c r="G100" s="47">
        <f t="shared" ref="G100:G105" si="37">C100+C99*0.2</f>
        <v>568581.4</v>
      </c>
      <c r="H100" s="47">
        <f>C97*0.8+C95*0.2</f>
        <v>289166.09999999998</v>
      </c>
      <c r="I100" s="47">
        <v>800000</v>
      </c>
      <c r="J100" s="47">
        <f t="shared" si="36"/>
        <v>5027369.5999999996</v>
      </c>
      <c r="K100" s="47">
        <f t="shared" si="35"/>
        <v>996375.60000000056</v>
      </c>
      <c r="L100" s="47">
        <f t="shared" si="32"/>
        <v>2106943.6000000006</v>
      </c>
      <c r="M100" s="95" t="s">
        <v>4905</v>
      </c>
      <c r="N100" s="5"/>
      <c r="O100" s="5"/>
      <c r="P100" s="96"/>
      <c r="Q100" s="96"/>
      <c r="R100" s="5"/>
      <c r="S100" s="5"/>
    </row>
    <row r="101" spans="1:19" ht="39" customHeight="1">
      <c r="A101" s="45">
        <v>41122</v>
      </c>
      <c r="B101" s="46">
        <v>901.5</v>
      </c>
      <c r="C101" s="46">
        <v>272900.5</v>
      </c>
      <c r="D101" s="46">
        <f t="shared" si="33"/>
        <v>24390.5</v>
      </c>
      <c r="E101" s="46">
        <f t="shared" si="34"/>
        <v>7407213.7000000002</v>
      </c>
      <c r="F101" s="46">
        <f t="shared" si="31"/>
        <v>8609.5</v>
      </c>
      <c r="G101" s="47">
        <f t="shared" si="37"/>
        <v>362213.6</v>
      </c>
      <c r="H101" s="47">
        <f>C99*0.8+C97*0.2</f>
        <v>541986.60000000009</v>
      </c>
      <c r="I101" s="47">
        <v>0</v>
      </c>
      <c r="J101" s="47">
        <f t="shared" si="36"/>
        <v>5027369.5999999996</v>
      </c>
      <c r="K101" s="47">
        <f t="shared" si="35"/>
        <v>1538362.2000000007</v>
      </c>
      <c r="L101" s="47">
        <f t="shared" si="32"/>
        <v>2379844.1000000006</v>
      </c>
      <c r="M101" s="95" t="s">
        <v>4906</v>
      </c>
      <c r="N101" s="5"/>
      <c r="O101" s="5"/>
      <c r="P101" s="96"/>
      <c r="Q101" s="96"/>
      <c r="R101" s="5"/>
      <c r="S101" s="5"/>
    </row>
    <row r="102" spans="1:19" ht="39" customHeight="1">
      <c r="A102" s="45">
        <v>41153</v>
      </c>
      <c r="B102" s="46">
        <v>1642.5</v>
      </c>
      <c r="C102" s="46">
        <v>493775</v>
      </c>
      <c r="D102" s="46">
        <f t="shared" si="33"/>
        <v>26033</v>
      </c>
      <c r="E102" s="46">
        <f t="shared" si="34"/>
        <v>7900988.7000000002</v>
      </c>
      <c r="F102" s="46">
        <f t="shared" si="31"/>
        <v>6967</v>
      </c>
      <c r="G102" s="47">
        <f t="shared" si="37"/>
        <v>548355.1</v>
      </c>
      <c r="H102" s="47">
        <f>C100*0.8+C99*0.2</f>
        <v>479268.30000000005</v>
      </c>
      <c r="I102" s="47">
        <v>800000</v>
      </c>
      <c r="J102" s="47">
        <f t="shared" si="36"/>
        <v>5827369.5999999996</v>
      </c>
      <c r="K102" s="47">
        <f t="shared" si="35"/>
        <v>1217630.5000000007</v>
      </c>
      <c r="L102" s="47">
        <f t="shared" si="32"/>
        <v>2073619.1000000006</v>
      </c>
      <c r="M102" s="95"/>
      <c r="N102" s="5"/>
      <c r="O102" s="5"/>
      <c r="P102" s="96"/>
      <c r="Q102" s="96"/>
      <c r="R102" s="5"/>
      <c r="S102" s="5"/>
    </row>
    <row r="103" spans="1:19" ht="39" customHeight="1">
      <c r="A103" s="45">
        <v>41183</v>
      </c>
      <c r="B103" s="46">
        <v>903</v>
      </c>
      <c r="C103" s="46">
        <v>267489</v>
      </c>
      <c r="D103" s="46">
        <f t="shared" si="33"/>
        <v>26936</v>
      </c>
      <c r="E103" s="46">
        <f t="shared" si="34"/>
        <v>8168477.7000000002</v>
      </c>
      <c r="F103" s="46">
        <f t="shared" si="31"/>
        <v>6064</v>
      </c>
      <c r="G103" s="47">
        <f t="shared" si="37"/>
        <v>366244</v>
      </c>
      <c r="H103" s="47">
        <f>C101*0.8+C100*0.2</f>
        <v>307633.5</v>
      </c>
      <c r="I103" s="47">
        <v>0</v>
      </c>
      <c r="J103" s="47">
        <f t="shared" si="36"/>
        <v>5827369.5999999996</v>
      </c>
      <c r="K103" s="47">
        <f t="shared" si="35"/>
        <v>1525264.0000000007</v>
      </c>
      <c r="L103" s="47">
        <f t="shared" si="32"/>
        <v>2341108.1000000006</v>
      </c>
      <c r="M103" s="158" t="s">
        <v>4907</v>
      </c>
      <c r="N103" s="159"/>
      <c r="O103" s="159"/>
      <c r="P103" s="96"/>
      <c r="Q103" s="96"/>
      <c r="R103" s="159"/>
      <c r="S103" s="159"/>
    </row>
    <row r="104" spans="1:19" ht="39" customHeight="1">
      <c r="A104" s="45">
        <v>41214</v>
      </c>
      <c r="B104" s="46">
        <v>1554</v>
      </c>
      <c r="C104" s="46">
        <v>451942</v>
      </c>
      <c r="D104" s="46">
        <f t="shared" si="33"/>
        <v>28490</v>
      </c>
      <c r="E104" s="46">
        <f t="shared" si="34"/>
        <v>8620419.6999999993</v>
      </c>
      <c r="F104" s="46">
        <f t="shared" si="31"/>
        <v>4510</v>
      </c>
      <c r="G104" s="47">
        <f t="shared" si="37"/>
        <v>505439.8</v>
      </c>
      <c r="H104" s="47">
        <f>C102*0.8+C101*0.2</f>
        <v>449600.1</v>
      </c>
      <c r="I104" s="47">
        <v>500000</v>
      </c>
      <c r="J104" s="47">
        <f t="shared" si="36"/>
        <v>6327369.5999999996</v>
      </c>
      <c r="K104" s="47">
        <f t="shared" si="35"/>
        <v>1474864.1000000006</v>
      </c>
      <c r="L104" s="47">
        <f t="shared" si="32"/>
        <v>2293050.0999999996</v>
      </c>
      <c r="M104" s="160" t="s">
        <v>4908</v>
      </c>
      <c r="N104" s="5"/>
      <c r="O104" s="5"/>
      <c r="P104" s="96"/>
      <c r="Q104" s="96"/>
      <c r="R104" s="5"/>
      <c r="S104" s="5"/>
    </row>
    <row r="105" spans="1:19" ht="39" customHeight="1">
      <c r="A105" s="45" t="s">
        <v>4909</v>
      </c>
      <c r="B105" s="46"/>
      <c r="C105" s="109">
        <v>38500</v>
      </c>
      <c r="D105" s="46">
        <f t="shared" si="33"/>
        <v>28490</v>
      </c>
      <c r="E105" s="46">
        <f t="shared" si="34"/>
        <v>8658919.6999999993</v>
      </c>
      <c r="F105" s="46">
        <f t="shared" si="31"/>
        <v>4510</v>
      </c>
      <c r="G105" s="47">
        <f t="shared" si="37"/>
        <v>128888.40000000001</v>
      </c>
      <c r="H105" s="47"/>
      <c r="I105" s="47"/>
      <c r="J105" s="47">
        <f t="shared" si="36"/>
        <v>6327369.5999999996</v>
      </c>
      <c r="K105" s="47">
        <f t="shared" si="35"/>
        <v>1474864.1000000006</v>
      </c>
      <c r="L105" s="47">
        <f t="shared" si="32"/>
        <v>2331550.0999999996</v>
      </c>
      <c r="M105" s="157"/>
      <c r="N105" s="5"/>
      <c r="O105" s="5"/>
      <c r="P105" s="96"/>
      <c r="Q105" s="96"/>
      <c r="R105" s="5"/>
      <c r="S105" s="5"/>
    </row>
    <row r="106" spans="1:19" ht="39" customHeight="1">
      <c r="A106" s="45">
        <v>41244</v>
      </c>
      <c r="B106" s="46">
        <v>65</v>
      </c>
      <c r="C106" s="46">
        <v>19235</v>
      </c>
      <c r="D106" s="46">
        <f t="shared" si="33"/>
        <v>28555</v>
      </c>
      <c r="E106" s="46">
        <f t="shared" si="34"/>
        <v>8678154.6999999993</v>
      </c>
      <c r="F106" s="46">
        <f t="shared" si="31"/>
        <v>4445</v>
      </c>
      <c r="G106" s="47">
        <f>C104*0.2+C106</f>
        <v>109623.40000000001</v>
      </c>
      <c r="H106" s="47">
        <f>C103*0.8+C102*0.2+C105</f>
        <v>351246.2</v>
      </c>
      <c r="I106" s="47"/>
      <c r="J106" s="47">
        <f t="shared" si="36"/>
        <v>6327369.5999999996</v>
      </c>
      <c r="K106" s="47">
        <f t="shared" si="35"/>
        <v>1826110.3000000005</v>
      </c>
      <c r="L106" s="47">
        <f t="shared" si="32"/>
        <v>2350785.0999999996</v>
      </c>
      <c r="M106" s="157" t="s">
        <v>4910</v>
      </c>
      <c r="N106" s="5"/>
      <c r="O106" s="5"/>
      <c r="P106" s="96"/>
      <c r="Q106" s="96"/>
      <c r="R106" s="5"/>
      <c r="S106" s="5"/>
    </row>
    <row r="107" spans="1:19" ht="39" customHeight="1">
      <c r="A107" s="45">
        <v>41275</v>
      </c>
      <c r="B107" s="46">
        <v>252</v>
      </c>
      <c r="C107" s="46">
        <v>72386</v>
      </c>
      <c r="D107" s="46">
        <f t="shared" si="33"/>
        <v>28807</v>
      </c>
      <c r="E107" s="46">
        <f t="shared" si="34"/>
        <v>8750540.6999999993</v>
      </c>
      <c r="F107" s="46">
        <f t="shared" si="31"/>
        <v>4193</v>
      </c>
      <c r="G107" s="47">
        <f t="shared" ref="G107:G116" si="38">C107+C106*0.2</f>
        <v>76233</v>
      </c>
      <c r="H107" s="47">
        <f>C104*0.8+C103*0.2</f>
        <v>415051.4</v>
      </c>
      <c r="I107" s="47">
        <v>550000</v>
      </c>
      <c r="J107" s="47">
        <f t="shared" si="36"/>
        <v>6877369.5999999996</v>
      </c>
      <c r="K107" s="47">
        <f t="shared" si="35"/>
        <v>1691161.7000000007</v>
      </c>
      <c r="L107" s="47">
        <f t="shared" si="32"/>
        <v>1873171.0999999996</v>
      </c>
      <c r="M107" s="157"/>
      <c r="N107" s="5"/>
      <c r="O107" s="5"/>
      <c r="P107" s="96"/>
      <c r="Q107" s="96"/>
      <c r="R107" s="5"/>
      <c r="S107" s="5"/>
    </row>
    <row r="108" spans="1:19" ht="39" customHeight="1">
      <c r="A108" s="45">
        <v>41306</v>
      </c>
      <c r="B108" s="46">
        <v>0</v>
      </c>
      <c r="C108" s="46">
        <v>0</v>
      </c>
      <c r="D108" s="46">
        <f t="shared" si="33"/>
        <v>28807</v>
      </c>
      <c r="E108" s="46">
        <f t="shared" si="34"/>
        <v>8750540.6999999993</v>
      </c>
      <c r="F108" s="46">
        <f t="shared" si="31"/>
        <v>4193</v>
      </c>
      <c r="G108" s="47">
        <f t="shared" si="38"/>
        <v>14477.2</v>
      </c>
      <c r="H108" s="47">
        <f>C104*0.2+C106*0.8</f>
        <v>105776.40000000001</v>
      </c>
      <c r="I108" s="47">
        <v>0</v>
      </c>
      <c r="J108" s="47">
        <f t="shared" si="36"/>
        <v>6877369.5999999996</v>
      </c>
      <c r="K108" s="47">
        <f t="shared" si="35"/>
        <v>1796938.1000000006</v>
      </c>
      <c r="L108" s="47">
        <f t="shared" si="32"/>
        <v>1873171.0999999996</v>
      </c>
      <c r="M108" s="157"/>
      <c r="N108" s="5"/>
      <c r="O108" s="5"/>
      <c r="P108" s="96"/>
      <c r="Q108" s="96"/>
      <c r="R108" s="5"/>
      <c r="S108" s="5"/>
    </row>
    <row r="109" spans="1:19" ht="39" customHeight="1">
      <c r="A109" s="45">
        <v>41334</v>
      </c>
      <c r="B109" s="46">
        <v>0</v>
      </c>
      <c r="C109" s="46">
        <v>0</v>
      </c>
      <c r="D109" s="46">
        <f t="shared" si="33"/>
        <v>28807</v>
      </c>
      <c r="E109" s="46">
        <f t="shared" si="34"/>
        <v>8750540.6999999993</v>
      </c>
      <c r="F109" s="46">
        <f t="shared" si="31"/>
        <v>4193</v>
      </c>
      <c r="G109" s="47">
        <f t="shared" si="38"/>
        <v>0</v>
      </c>
      <c r="H109" s="47">
        <f t="shared" ref="H109:H116" si="39">C106*0.2+C107*0.8</f>
        <v>61755.8</v>
      </c>
      <c r="I109" s="47">
        <v>0</v>
      </c>
      <c r="J109" s="47">
        <f t="shared" si="36"/>
        <v>6877369.5999999996</v>
      </c>
      <c r="K109" s="47">
        <f t="shared" si="35"/>
        <v>1858693.9000000006</v>
      </c>
      <c r="L109" s="47">
        <f t="shared" si="32"/>
        <v>1873171.0999999996</v>
      </c>
      <c r="M109" s="157"/>
      <c r="N109" s="5"/>
      <c r="O109" s="5"/>
      <c r="P109" s="96"/>
      <c r="Q109" s="96"/>
      <c r="R109" s="5"/>
      <c r="S109" s="5"/>
    </row>
    <row r="110" spans="1:19" ht="39" customHeight="1">
      <c r="A110" s="45">
        <v>41365</v>
      </c>
      <c r="B110" s="46">
        <v>0</v>
      </c>
      <c r="C110" s="46">
        <v>0</v>
      </c>
      <c r="D110" s="46">
        <f t="shared" si="33"/>
        <v>28807</v>
      </c>
      <c r="E110" s="46">
        <f t="shared" si="34"/>
        <v>8750540.6999999993</v>
      </c>
      <c r="F110" s="46">
        <f t="shared" si="31"/>
        <v>4193</v>
      </c>
      <c r="G110" s="47">
        <f t="shared" si="38"/>
        <v>0</v>
      </c>
      <c r="H110" s="47">
        <f t="shared" si="39"/>
        <v>14477.2</v>
      </c>
      <c r="I110" s="47">
        <v>0</v>
      </c>
      <c r="J110" s="47">
        <f t="shared" si="36"/>
        <v>6877369.5999999996</v>
      </c>
      <c r="K110" s="47">
        <f t="shared" si="35"/>
        <v>1873171.1000000006</v>
      </c>
      <c r="L110" s="47">
        <f t="shared" si="32"/>
        <v>1873171.0999999996</v>
      </c>
      <c r="M110" s="157"/>
      <c r="N110" s="5"/>
      <c r="O110" s="5"/>
      <c r="P110" s="96"/>
      <c r="Q110" s="96"/>
      <c r="R110" s="5"/>
      <c r="S110" s="5"/>
    </row>
    <row r="111" spans="1:19" ht="39" customHeight="1">
      <c r="A111" s="45">
        <v>41487</v>
      </c>
      <c r="B111" s="46">
        <v>43</v>
      </c>
      <c r="C111" s="46">
        <v>12379</v>
      </c>
      <c r="D111" s="46">
        <f t="shared" si="33"/>
        <v>28850</v>
      </c>
      <c r="E111" s="46">
        <f t="shared" si="34"/>
        <v>8762919.6999999993</v>
      </c>
      <c r="F111" s="46">
        <f t="shared" si="31"/>
        <v>4150</v>
      </c>
      <c r="G111" s="47">
        <f t="shared" si="38"/>
        <v>12379</v>
      </c>
      <c r="H111" s="47">
        <f t="shared" si="39"/>
        <v>0</v>
      </c>
      <c r="I111" s="47">
        <v>0</v>
      </c>
      <c r="J111" s="47">
        <f t="shared" si="36"/>
        <v>6877369.5999999996</v>
      </c>
      <c r="K111" s="47">
        <f t="shared" si="35"/>
        <v>1873171.1000000006</v>
      </c>
      <c r="L111" s="47">
        <f t="shared" si="32"/>
        <v>1885550.0999999996</v>
      </c>
      <c r="M111" s="157"/>
      <c r="N111" s="5"/>
      <c r="O111" s="5"/>
      <c r="P111" s="96"/>
      <c r="Q111" s="96"/>
      <c r="R111" s="5"/>
      <c r="S111" s="5"/>
    </row>
    <row r="112" spans="1:19" ht="39" customHeight="1">
      <c r="A112" s="45">
        <v>41518</v>
      </c>
      <c r="B112" s="46">
        <v>66</v>
      </c>
      <c r="C112" s="46">
        <v>19998</v>
      </c>
      <c r="D112" s="46">
        <f t="shared" si="33"/>
        <v>28916</v>
      </c>
      <c r="E112" s="46">
        <f t="shared" si="34"/>
        <v>8782917.6999999993</v>
      </c>
      <c r="F112" s="46">
        <f t="shared" si="31"/>
        <v>4084</v>
      </c>
      <c r="G112" s="47">
        <f t="shared" si="38"/>
        <v>22473.8</v>
      </c>
      <c r="H112" s="47">
        <f t="shared" si="39"/>
        <v>0</v>
      </c>
      <c r="I112" s="47">
        <v>0</v>
      </c>
      <c r="J112" s="47">
        <f t="shared" si="36"/>
        <v>6877369.5999999996</v>
      </c>
      <c r="K112" s="47">
        <f t="shared" si="35"/>
        <v>1873171.1000000006</v>
      </c>
      <c r="L112" s="47">
        <f t="shared" si="32"/>
        <v>1905548.0999999996</v>
      </c>
      <c r="M112" s="157"/>
      <c r="N112" s="5"/>
      <c r="O112" s="5"/>
      <c r="P112" s="96"/>
      <c r="Q112" s="96"/>
      <c r="R112" s="5"/>
      <c r="S112" s="5"/>
    </row>
    <row r="113" spans="1:256" ht="39" customHeight="1">
      <c r="A113" s="45">
        <v>41548</v>
      </c>
      <c r="B113" s="46">
        <v>71</v>
      </c>
      <c r="C113" s="46">
        <v>24140</v>
      </c>
      <c r="D113" s="46">
        <f t="shared" si="33"/>
        <v>28987</v>
      </c>
      <c r="E113" s="46">
        <f t="shared" si="34"/>
        <v>8807057.6999999993</v>
      </c>
      <c r="F113" s="46">
        <f t="shared" si="31"/>
        <v>4013</v>
      </c>
      <c r="G113" s="47">
        <f t="shared" si="38"/>
        <v>28139.599999999999</v>
      </c>
      <c r="H113" s="47">
        <f t="shared" si="39"/>
        <v>9903.2000000000007</v>
      </c>
      <c r="I113" s="47">
        <v>0</v>
      </c>
      <c r="J113" s="47">
        <f t="shared" si="36"/>
        <v>6877369.5999999996</v>
      </c>
      <c r="K113" s="47">
        <f t="shared" si="35"/>
        <v>1883074.3000000005</v>
      </c>
      <c r="L113" s="47">
        <f t="shared" si="32"/>
        <v>1929688.0999999996</v>
      </c>
      <c r="M113" s="157" t="s">
        <v>4911</v>
      </c>
      <c r="N113" s="5"/>
      <c r="O113" s="5"/>
      <c r="P113" s="96"/>
      <c r="Q113" s="96"/>
      <c r="R113" s="5"/>
      <c r="S113" s="5"/>
    </row>
    <row r="114" spans="1:256" ht="39" customHeight="1">
      <c r="A114" s="125">
        <v>41579</v>
      </c>
      <c r="B114" s="46">
        <v>139.5</v>
      </c>
      <c r="C114" s="46">
        <v>49523.5</v>
      </c>
      <c r="D114" s="46">
        <f t="shared" si="33"/>
        <v>29126.5</v>
      </c>
      <c r="E114" s="46">
        <f t="shared" si="34"/>
        <v>8856581.1999999993</v>
      </c>
      <c r="F114" s="46">
        <f t="shared" si="31"/>
        <v>3873.5</v>
      </c>
      <c r="G114" s="47">
        <f t="shared" si="38"/>
        <v>54351.5</v>
      </c>
      <c r="H114" s="47">
        <f t="shared" si="39"/>
        <v>18474.2</v>
      </c>
      <c r="I114" s="47">
        <v>0</v>
      </c>
      <c r="J114" s="47">
        <f t="shared" si="36"/>
        <v>6877369.5999999996</v>
      </c>
      <c r="K114" s="47">
        <f t="shared" si="35"/>
        <v>1901548.5000000005</v>
      </c>
      <c r="L114" s="47">
        <f t="shared" si="32"/>
        <v>1979211.5999999996</v>
      </c>
      <c r="M114" s="157"/>
      <c r="N114" s="5"/>
      <c r="O114" s="5"/>
      <c r="P114" s="96"/>
      <c r="Q114" s="96"/>
      <c r="R114" s="5"/>
      <c r="S114" s="5"/>
    </row>
    <row r="115" spans="1:256" ht="39" customHeight="1">
      <c r="A115" s="125">
        <v>41609</v>
      </c>
      <c r="B115" s="46">
        <v>118.5</v>
      </c>
      <c r="C115" s="46">
        <v>41215.5</v>
      </c>
      <c r="D115" s="46">
        <f t="shared" si="33"/>
        <v>29245</v>
      </c>
      <c r="E115" s="46">
        <f t="shared" si="34"/>
        <v>8897796.6999999993</v>
      </c>
      <c r="F115" s="46">
        <f t="shared" si="31"/>
        <v>3755</v>
      </c>
      <c r="G115" s="47">
        <f t="shared" si="38"/>
        <v>51120.2</v>
      </c>
      <c r="H115" s="47">
        <f t="shared" si="39"/>
        <v>23311.599999999999</v>
      </c>
      <c r="I115" s="47">
        <v>0</v>
      </c>
      <c r="J115" s="47">
        <f t="shared" si="36"/>
        <v>6877369.5999999996</v>
      </c>
      <c r="K115" s="47">
        <f t="shared" si="35"/>
        <v>1924860.1000000006</v>
      </c>
      <c r="L115" s="47">
        <f t="shared" si="32"/>
        <v>2020427.0999999996</v>
      </c>
      <c r="M115" s="157"/>
      <c r="N115" s="5"/>
      <c r="O115" s="5"/>
      <c r="P115" s="96"/>
      <c r="Q115" s="96"/>
      <c r="R115" s="5"/>
      <c r="S115" s="5"/>
    </row>
    <row r="116" spans="1:256" ht="39" customHeight="1">
      <c r="A116" s="45">
        <v>41640</v>
      </c>
      <c r="B116" s="46">
        <v>0</v>
      </c>
      <c r="C116" s="46">
        <v>0</v>
      </c>
      <c r="D116" s="46">
        <f t="shared" si="33"/>
        <v>29245</v>
      </c>
      <c r="E116" s="46">
        <f t="shared" si="34"/>
        <v>8897796.6999999993</v>
      </c>
      <c r="F116" s="46">
        <f t="shared" si="31"/>
        <v>3755</v>
      </c>
      <c r="G116" s="47">
        <f t="shared" si="38"/>
        <v>8243.1</v>
      </c>
      <c r="H116" s="47">
        <f t="shared" si="39"/>
        <v>44446.8</v>
      </c>
      <c r="I116" s="47">
        <v>100000</v>
      </c>
      <c r="J116" s="47">
        <f t="shared" si="36"/>
        <v>6977369.5999999996</v>
      </c>
      <c r="K116" s="47">
        <f t="shared" si="35"/>
        <v>1869306.9000000006</v>
      </c>
      <c r="L116" s="47">
        <f t="shared" si="32"/>
        <v>1920427.0999999996</v>
      </c>
      <c r="M116" s="157" t="s">
        <v>4912</v>
      </c>
      <c r="N116" s="5"/>
      <c r="O116" s="5"/>
      <c r="P116" s="96"/>
      <c r="Q116" s="96"/>
      <c r="R116" s="5"/>
      <c r="S116" s="5"/>
    </row>
    <row r="117" spans="1:256" ht="39" customHeight="1">
      <c r="A117" s="126">
        <v>41671</v>
      </c>
      <c r="B117" s="46">
        <v>0</v>
      </c>
      <c r="C117" s="46">
        <v>0</v>
      </c>
      <c r="D117" s="46">
        <f t="shared" si="33"/>
        <v>29245</v>
      </c>
      <c r="E117" s="46">
        <f t="shared" si="34"/>
        <v>8897796.6999999993</v>
      </c>
      <c r="F117" s="46">
        <f t="shared" si="31"/>
        <v>3755</v>
      </c>
      <c r="G117" s="54">
        <v>0</v>
      </c>
      <c r="H117" s="54">
        <f>C114*0.2+C115*0.8+G116</f>
        <v>51120.200000000004</v>
      </c>
      <c r="I117" s="54">
        <v>0</v>
      </c>
      <c r="J117" s="47">
        <f t="shared" si="36"/>
        <v>6977369.5999999996</v>
      </c>
      <c r="K117" s="54">
        <f t="shared" si="35"/>
        <v>1920427.1000000006</v>
      </c>
      <c r="L117" s="47">
        <f t="shared" si="32"/>
        <v>1920427.0999999996</v>
      </c>
      <c r="M117" s="161"/>
      <c r="N117" s="5"/>
      <c r="O117" s="5"/>
      <c r="P117" s="96"/>
      <c r="Q117" s="96"/>
      <c r="R117" s="5"/>
      <c r="S117" s="5"/>
    </row>
    <row r="118" spans="1:256" ht="39" customHeight="1">
      <c r="A118" s="127" t="s">
        <v>4913</v>
      </c>
      <c r="B118" s="128"/>
      <c r="C118" s="128">
        <v>35000</v>
      </c>
      <c r="D118" s="128"/>
      <c r="E118" s="46">
        <f t="shared" si="34"/>
        <v>8932796.6999999993</v>
      </c>
      <c r="F118" s="128"/>
      <c r="G118" s="129"/>
      <c r="H118" s="129"/>
      <c r="I118" s="129"/>
      <c r="J118" s="47">
        <f t="shared" si="36"/>
        <v>6977369.5999999996</v>
      </c>
      <c r="K118" s="54"/>
      <c r="L118" s="47">
        <f t="shared" si="32"/>
        <v>1955427.0999999996</v>
      </c>
      <c r="M118" s="162"/>
      <c r="N118" s="5"/>
      <c r="O118" s="5"/>
      <c r="P118" s="96"/>
      <c r="Q118" s="96"/>
      <c r="R118" s="5"/>
      <c r="S118" s="5"/>
    </row>
    <row r="119" spans="1:256" ht="33" customHeight="1">
      <c r="A119" s="127" t="s">
        <v>4914</v>
      </c>
      <c r="B119" s="128"/>
      <c r="C119" s="128"/>
      <c r="D119" s="128"/>
      <c r="E119" s="128"/>
      <c r="F119" s="128"/>
      <c r="G119" s="129"/>
      <c r="H119" s="129"/>
      <c r="I119" s="129"/>
      <c r="J119" s="163"/>
      <c r="K119" s="129"/>
      <c r="L119" s="163"/>
      <c r="M119" s="162"/>
      <c r="N119" s="5"/>
      <c r="O119" s="5"/>
      <c r="P119" s="96"/>
      <c r="Q119" s="96"/>
      <c r="R119" s="5"/>
      <c r="S119" s="5"/>
    </row>
    <row r="120" spans="1:256" customFormat="1" ht="59.1" customHeight="1">
      <c r="A120" s="130" t="s">
        <v>4915</v>
      </c>
      <c r="B120" s="131"/>
      <c r="C120" s="132" t="s">
        <v>4916</v>
      </c>
      <c r="D120" s="131" t="s">
        <v>236</v>
      </c>
      <c r="E120" s="2095" t="s">
        <v>4917</v>
      </c>
      <c r="F120" s="2095"/>
      <c r="G120" s="2095"/>
      <c r="H120" s="2095"/>
      <c r="I120" s="164" t="s">
        <v>2453</v>
      </c>
      <c r="J120" s="1842" t="s">
        <v>4918</v>
      </c>
      <c r="K120" s="1842"/>
      <c r="L120" s="1842"/>
      <c r="M120" s="165" t="s">
        <v>4919</v>
      </c>
      <c r="N120" s="11"/>
      <c r="O120" s="11"/>
      <c r="P120" s="11"/>
      <c r="Q120" s="11"/>
      <c r="R120" s="11"/>
      <c r="S120" s="11"/>
      <c r="T120" s="11"/>
      <c r="U120" s="11"/>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B120" s="11"/>
      <c r="DC120" s="11"/>
      <c r="DD120" s="11"/>
      <c r="DE120" s="11"/>
      <c r="DF120" s="11"/>
      <c r="DG120" s="11"/>
      <c r="DH120" s="11"/>
      <c r="DI120" s="11"/>
      <c r="DJ120" s="11"/>
      <c r="DK120" s="11"/>
      <c r="DL120" s="11"/>
      <c r="DM120" s="11"/>
      <c r="DN120" s="11"/>
      <c r="DO120" s="11"/>
      <c r="DP120" s="11"/>
      <c r="DQ120" s="11"/>
      <c r="DR120" s="11"/>
      <c r="DS120" s="11"/>
      <c r="DT120" s="11"/>
      <c r="DU120" s="11"/>
      <c r="DV120" s="11"/>
      <c r="DW120" s="11"/>
      <c r="DX120" s="11"/>
      <c r="DY120" s="11"/>
      <c r="DZ120" s="11"/>
      <c r="EA120" s="11"/>
      <c r="EB120" s="11"/>
      <c r="EC120" s="11"/>
      <c r="ED120" s="11"/>
      <c r="EE120" s="11"/>
      <c r="EF120" s="11"/>
      <c r="EG120" s="11"/>
      <c r="EH120" s="11"/>
      <c r="EI120" s="11"/>
      <c r="EJ120" s="11"/>
      <c r="EK120" s="11"/>
      <c r="EL120" s="11"/>
      <c r="EM120" s="11"/>
      <c r="EN120" s="11"/>
      <c r="EO120" s="11"/>
      <c r="EP120" s="11"/>
      <c r="EQ120" s="11"/>
      <c r="ER120" s="11"/>
      <c r="ES120" s="11"/>
      <c r="ET120" s="11"/>
      <c r="EU120" s="11"/>
      <c r="EV120" s="11"/>
      <c r="EW120" s="11"/>
      <c r="EX120" s="11"/>
      <c r="EY120" s="11"/>
      <c r="EZ120" s="11"/>
      <c r="FA120" s="11"/>
      <c r="FB120" s="11"/>
      <c r="FC120" s="11"/>
      <c r="FD120" s="11"/>
      <c r="FE120" s="11"/>
      <c r="FF120" s="11"/>
      <c r="FG120" s="11"/>
      <c r="FH120" s="11"/>
      <c r="FI120" s="11"/>
      <c r="FJ120" s="11"/>
      <c r="FK120" s="11"/>
      <c r="FL120" s="11"/>
      <c r="FM120" s="11"/>
      <c r="FN120" s="11"/>
      <c r="FO120" s="11"/>
      <c r="FP120" s="11"/>
      <c r="FQ120" s="11"/>
      <c r="FR120" s="11"/>
      <c r="FS120" s="11"/>
      <c r="FT120" s="11"/>
      <c r="FU120" s="11"/>
      <c r="FV120" s="11"/>
      <c r="FW120" s="11"/>
      <c r="FX120" s="11"/>
      <c r="FY120" s="11"/>
      <c r="FZ120" s="11"/>
      <c r="GA120" s="11"/>
      <c r="GB120" s="11"/>
      <c r="GC120" s="11"/>
      <c r="GD120" s="11"/>
      <c r="GE120" s="11"/>
      <c r="GF120" s="11"/>
      <c r="GG120" s="11"/>
      <c r="GH120" s="11"/>
      <c r="GI120" s="11"/>
      <c r="GJ120" s="11"/>
      <c r="GK120" s="11"/>
      <c r="GL120" s="11"/>
      <c r="GM120" s="11"/>
      <c r="GN120" s="11"/>
      <c r="GO120" s="11"/>
      <c r="GP120" s="11"/>
      <c r="GQ120" s="11"/>
      <c r="GR120" s="11"/>
      <c r="GS120" s="11"/>
      <c r="GT120" s="11"/>
      <c r="GU120" s="11"/>
      <c r="GV120" s="11"/>
      <c r="GW120" s="11"/>
      <c r="GX120" s="11"/>
      <c r="GY120" s="11"/>
      <c r="GZ120" s="11"/>
      <c r="HA120" s="11"/>
      <c r="HB120" s="11"/>
      <c r="HC120" s="11"/>
      <c r="HD120" s="11"/>
      <c r="HE120" s="11"/>
      <c r="HF120" s="11"/>
      <c r="HG120" s="11"/>
      <c r="HH120" s="11"/>
      <c r="HI120" s="11"/>
      <c r="HJ120" s="11"/>
      <c r="HK120" s="11"/>
      <c r="HL120" s="11"/>
      <c r="HM120" s="11"/>
      <c r="HN120" s="11"/>
      <c r="HO120" s="11"/>
      <c r="HP120" s="11"/>
      <c r="HQ120" s="11"/>
      <c r="HR120" s="11"/>
      <c r="HS120" s="11"/>
      <c r="HT120" s="11"/>
      <c r="HU120" s="11"/>
      <c r="HV120" s="11"/>
      <c r="HW120" s="11"/>
      <c r="HX120" s="11"/>
      <c r="HY120" s="11"/>
      <c r="HZ120" s="11"/>
      <c r="IA120" s="11"/>
      <c r="IB120" s="11"/>
      <c r="IC120" s="11"/>
      <c r="ID120" s="11"/>
      <c r="IE120" s="11"/>
      <c r="IF120" s="11"/>
      <c r="IG120" s="11"/>
      <c r="IH120" s="11"/>
      <c r="II120" s="11"/>
      <c r="IJ120" s="11"/>
      <c r="IK120" s="11"/>
      <c r="IL120" s="11"/>
      <c r="IM120" s="11"/>
      <c r="IN120" s="11"/>
      <c r="IO120" s="11"/>
      <c r="IP120" s="11"/>
      <c r="IQ120" s="11"/>
      <c r="IR120" s="11"/>
      <c r="IS120" s="11"/>
      <c r="IT120" s="11"/>
      <c r="IU120" s="11"/>
      <c r="IV120" s="11"/>
    </row>
    <row r="121" spans="1:256" customFormat="1" ht="59.1" customHeight="1">
      <c r="A121" s="133" t="s">
        <v>240</v>
      </c>
      <c r="B121" s="2284" t="s">
        <v>4920</v>
      </c>
      <c r="C121" s="2284"/>
      <c r="D121" s="134" t="s">
        <v>242</v>
      </c>
      <c r="E121" s="1689" t="s">
        <v>4921</v>
      </c>
      <c r="F121" s="1689"/>
      <c r="G121" s="1689"/>
      <c r="H121" s="1689"/>
      <c r="I121" s="166" t="s">
        <v>243</v>
      </c>
      <c r="J121" s="2243" t="s">
        <v>1050</v>
      </c>
      <c r="K121" s="2243"/>
      <c r="L121" s="166" t="s">
        <v>245</v>
      </c>
      <c r="M121" s="167" t="s">
        <v>4922</v>
      </c>
      <c r="N121" s="11"/>
      <c r="O121" s="11"/>
      <c r="P121" s="11"/>
      <c r="Q121" s="11"/>
      <c r="R121" s="11"/>
      <c r="S121" s="11"/>
      <c r="T121" s="11"/>
      <c r="U121" s="11"/>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B121" s="11"/>
      <c r="DC121" s="11"/>
      <c r="DD121" s="11"/>
      <c r="DE121" s="11"/>
      <c r="DF121" s="11"/>
      <c r="DG121" s="11"/>
      <c r="DH121" s="11"/>
      <c r="DI121" s="11"/>
      <c r="DJ121" s="11"/>
      <c r="DK121" s="11"/>
      <c r="DL121" s="11"/>
      <c r="DM121" s="11"/>
      <c r="DN121" s="11"/>
      <c r="DO121" s="11"/>
      <c r="DP121" s="11"/>
      <c r="DQ121" s="11"/>
      <c r="DR121" s="11"/>
      <c r="DS121" s="11"/>
      <c r="DT121" s="11"/>
      <c r="DU121" s="11"/>
      <c r="DV121" s="11"/>
      <c r="DW121" s="11"/>
      <c r="DX121" s="11"/>
      <c r="DY121" s="11"/>
      <c r="DZ121" s="11"/>
      <c r="EA121" s="11"/>
      <c r="EB121" s="11"/>
      <c r="EC121" s="11"/>
      <c r="ED121" s="11"/>
      <c r="EE121" s="11"/>
      <c r="EF121" s="11"/>
      <c r="EG121" s="11"/>
      <c r="EH121" s="11"/>
      <c r="EI121" s="11"/>
      <c r="EJ121" s="11"/>
      <c r="EK121" s="11"/>
      <c r="EL121" s="11"/>
      <c r="EM121" s="11"/>
      <c r="EN121" s="11"/>
      <c r="EO121" s="11"/>
      <c r="EP121" s="11"/>
      <c r="EQ121" s="11"/>
      <c r="ER121" s="11"/>
      <c r="ES121" s="11"/>
      <c r="ET121" s="11"/>
      <c r="EU121" s="11"/>
      <c r="EV121" s="11"/>
      <c r="EW121" s="11"/>
      <c r="EX121" s="11"/>
      <c r="EY121" s="11"/>
      <c r="EZ121" s="11"/>
      <c r="FA121" s="11"/>
      <c r="FB121" s="11"/>
      <c r="FC121" s="11"/>
      <c r="FD121" s="11"/>
      <c r="FE121" s="11"/>
      <c r="FF121" s="11"/>
      <c r="FG121" s="11"/>
      <c r="FH121" s="11"/>
      <c r="FI121" s="11"/>
      <c r="FJ121" s="11"/>
      <c r="FK121" s="11"/>
      <c r="FL121" s="11"/>
      <c r="FM121" s="11"/>
      <c r="FN121" s="11"/>
      <c r="FO121" s="11"/>
      <c r="FP121" s="11"/>
      <c r="FQ121" s="11"/>
      <c r="FR121" s="11"/>
      <c r="FS121" s="11"/>
      <c r="FT121" s="11"/>
      <c r="FU121" s="11"/>
      <c r="FV121" s="11"/>
      <c r="FW121" s="11"/>
      <c r="FX121" s="11"/>
      <c r="FY121" s="11"/>
      <c r="FZ121" s="11"/>
      <c r="GA121" s="11"/>
      <c r="GB121" s="11"/>
      <c r="GC121" s="11"/>
      <c r="GD121" s="11"/>
      <c r="GE121" s="11"/>
      <c r="GF121" s="11"/>
      <c r="GG121" s="11"/>
      <c r="GH121" s="11"/>
      <c r="GI121" s="11"/>
      <c r="GJ121" s="11"/>
      <c r="GK121" s="11"/>
      <c r="GL121" s="11"/>
      <c r="GM121" s="11"/>
      <c r="GN121" s="11"/>
      <c r="GO121" s="11"/>
      <c r="GP121" s="11"/>
      <c r="GQ121" s="11"/>
      <c r="GR121" s="11"/>
      <c r="GS121" s="11"/>
      <c r="GT121" s="11"/>
      <c r="GU121" s="11"/>
      <c r="GV121" s="11"/>
      <c r="GW121" s="11"/>
      <c r="GX121" s="11"/>
      <c r="GY121" s="11"/>
      <c r="GZ121" s="11"/>
      <c r="HA121" s="11"/>
      <c r="HB121" s="11"/>
      <c r="HC121" s="11"/>
      <c r="HD121" s="11"/>
      <c r="HE121" s="11"/>
      <c r="HF121" s="11"/>
      <c r="HG121" s="11"/>
      <c r="HH121" s="11"/>
      <c r="HI121" s="11"/>
      <c r="HJ121" s="11"/>
      <c r="HK121" s="11"/>
      <c r="HL121" s="11"/>
      <c r="HM121" s="11"/>
      <c r="HN121" s="11"/>
      <c r="HO121" s="11"/>
      <c r="HP121" s="11"/>
      <c r="HQ121" s="11"/>
      <c r="HR121" s="11"/>
      <c r="HS121" s="11"/>
      <c r="HT121" s="11"/>
      <c r="HU121" s="11"/>
      <c r="HV121" s="11"/>
      <c r="HW121" s="11"/>
      <c r="HX121" s="11"/>
      <c r="HY121" s="11"/>
      <c r="HZ121" s="11"/>
      <c r="IA121" s="11"/>
      <c r="IB121" s="11"/>
      <c r="IC121" s="11"/>
      <c r="ID121" s="11"/>
      <c r="IE121" s="11"/>
      <c r="IF121" s="11"/>
      <c r="IG121" s="11"/>
      <c r="IH121" s="11"/>
      <c r="II121" s="11"/>
      <c r="IJ121" s="11"/>
      <c r="IK121" s="11"/>
      <c r="IL121" s="11"/>
      <c r="IM121" s="11"/>
      <c r="IN121" s="11"/>
      <c r="IO121" s="11"/>
      <c r="IP121" s="11"/>
      <c r="IQ121" s="11"/>
      <c r="IR121" s="11"/>
      <c r="IS121" s="11"/>
      <c r="IT121" s="11"/>
      <c r="IU121" s="11"/>
      <c r="IV121" s="11"/>
    </row>
    <row r="122" spans="1:256" customFormat="1" ht="59.1" customHeight="1">
      <c r="A122" s="133" t="s">
        <v>247</v>
      </c>
      <c r="B122" s="2284" t="s">
        <v>4923</v>
      </c>
      <c r="C122" s="2284"/>
      <c r="D122" s="134" t="s">
        <v>249</v>
      </c>
      <c r="E122" s="136" t="s">
        <v>305</v>
      </c>
      <c r="F122" s="134" t="s">
        <v>251</v>
      </c>
      <c r="G122" s="137" t="s">
        <v>4924</v>
      </c>
      <c r="H122" s="134" t="s">
        <v>252</v>
      </c>
      <c r="I122" s="134">
        <v>13825060817</v>
      </c>
      <c r="J122" s="15" t="s">
        <v>565</v>
      </c>
      <c r="K122" s="15" t="s">
        <v>4925</v>
      </c>
      <c r="L122" s="15" t="s">
        <v>255</v>
      </c>
      <c r="M122" s="168" t="s">
        <v>4924</v>
      </c>
      <c r="N122" s="11"/>
      <c r="O122" s="11"/>
      <c r="P122" s="11"/>
      <c r="Q122" s="11"/>
      <c r="R122" s="11"/>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row>
    <row r="123" spans="1:256" customFormat="1" ht="59.1" customHeight="1">
      <c r="A123" s="133" t="s">
        <v>260</v>
      </c>
      <c r="B123" s="1726" t="s">
        <v>4926</v>
      </c>
      <c r="C123" s="1726"/>
      <c r="D123" s="1726"/>
      <c r="E123" s="1726"/>
      <c r="F123" s="1726" t="s">
        <v>1330</v>
      </c>
      <c r="G123" s="1726"/>
      <c r="H123" s="1726"/>
      <c r="I123" s="1726"/>
      <c r="J123" s="1697" t="s">
        <v>4927</v>
      </c>
      <c r="K123" s="1697"/>
      <c r="L123" s="1697"/>
      <c r="M123" s="170"/>
      <c r="N123" s="11"/>
      <c r="O123" s="11"/>
      <c r="P123" s="11"/>
      <c r="Q123" s="11"/>
      <c r="R123" s="11"/>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row>
    <row r="124" spans="1:256" customFormat="1" ht="59.1" customHeight="1">
      <c r="A124" s="19" t="s">
        <v>266</v>
      </c>
      <c r="B124" s="20" t="s">
        <v>267</v>
      </c>
      <c r="C124" s="20" t="s">
        <v>268</v>
      </c>
      <c r="D124" s="20" t="s">
        <v>269</v>
      </c>
      <c r="E124" s="20" t="s">
        <v>270</v>
      </c>
      <c r="F124" s="20" t="s">
        <v>271</v>
      </c>
      <c r="G124" s="21" t="s">
        <v>272</v>
      </c>
      <c r="H124" s="22" t="s">
        <v>273</v>
      </c>
      <c r="I124" s="20" t="s">
        <v>274</v>
      </c>
      <c r="J124" s="70" t="s">
        <v>275</v>
      </c>
      <c r="K124" s="70" t="s">
        <v>276</v>
      </c>
      <c r="L124" s="20" t="s">
        <v>277</v>
      </c>
      <c r="M124" s="71" t="s">
        <v>278</v>
      </c>
      <c r="N124" s="11"/>
      <c r="O124" s="11"/>
      <c r="P124" s="11"/>
      <c r="Q124" s="11"/>
      <c r="R124" s="11"/>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row>
    <row r="125" spans="1:256" customFormat="1" ht="30" customHeight="1">
      <c r="A125" s="139">
        <v>40787</v>
      </c>
      <c r="B125" s="140">
        <v>525.5</v>
      </c>
      <c r="C125" s="140">
        <v>138254</v>
      </c>
      <c r="D125" s="140">
        <f>B125</f>
        <v>525.5</v>
      </c>
      <c r="E125" s="140">
        <f>C125</f>
        <v>138254</v>
      </c>
      <c r="F125" s="140">
        <f>30000-B125</f>
        <v>29474.5</v>
      </c>
      <c r="G125" s="46"/>
      <c r="H125" s="141"/>
      <c r="I125" s="140"/>
      <c r="J125" s="140"/>
      <c r="K125" s="140"/>
      <c r="L125" s="140">
        <f t="shared" ref="L125:L144" si="40">E125-J125</f>
        <v>138254</v>
      </c>
      <c r="M125" s="171"/>
      <c r="N125" s="11"/>
      <c r="O125" s="11"/>
      <c r="P125" s="11"/>
      <c r="Q125" s="11"/>
      <c r="R125" s="11"/>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row>
    <row r="126" spans="1:256" customFormat="1" ht="30" customHeight="1">
      <c r="A126" s="139">
        <v>40817</v>
      </c>
      <c r="B126" s="140">
        <v>836</v>
      </c>
      <c r="C126" s="140">
        <v>218118</v>
      </c>
      <c r="D126" s="140">
        <f t="shared" ref="D126:D144" si="41">D125+B126</f>
        <v>1361.5</v>
      </c>
      <c r="E126" s="140">
        <f t="shared" ref="E126:E144" si="42">E125+C126</f>
        <v>356372</v>
      </c>
      <c r="F126" s="140">
        <f t="shared" ref="F126:F144" si="43">F125-B126</f>
        <v>28638.5</v>
      </c>
      <c r="G126" s="46"/>
      <c r="H126" s="141">
        <f>C125</f>
        <v>138254</v>
      </c>
      <c r="I126" s="140"/>
      <c r="J126" s="140"/>
      <c r="K126" s="140">
        <f t="shared" ref="K126:K144" si="44">K125+H126-I126</f>
        <v>138254</v>
      </c>
      <c r="L126" s="140">
        <f t="shared" si="40"/>
        <v>356372</v>
      </c>
      <c r="M126" s="171" t="s">
        <v>4928</v>
      </c>
      <c r="N126" s="11"/>
      <c r="O126" s="11"/>
      <c r="P126" s="11"/>
      <c r="Q126" s="11"/>
      <c r="R126" s="11"/>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row>
    <row r="127" spans="1:256" customFormat="1" ht="30" customHeight="1">
      <c r="A127" s="139">
        <v>40848</v>
      </c>
      <c r="B127" s="140">
        <v>385</v>
      </c>
      <c r="C127" s="140">
        <v>99330</v>
      </c>
      <c r="D127" s="140">
        <f t="shared" si="41"/>
        <v>1746.5</v>
      </c>
      <c r="E127" s="140">
        <f t="shared" si="42"/>
        <v>455702</v>
      </c>
      <c r="F127" s="140">
        <f t="shared" si="43"/>
        <v>28253.5</v>
      </c>
      <c r="G127" s="46"/>
      <c r="H127" s="141">
        <f>C126</f>
        <v>218118</v>
      </c>
      <c r="I127" s="140">
        <v>130000</v>
      </c>
      <c r="J127" s="140">
        <f t="shared" ref="J127:J144" si="45">J126+I127</f>
        <v>130000</v>
      </c>
      <c r="K127" s="140">
        <f t="shared" si="44"/>
        <v>226372</v>
      </c>
      <c r="L127" s="140">
        <f t="shared" si="40"/>
        <v>325702</v>
      </c>
      <c r="M127" s="171"/>
      <c r="N127" s="11"/>
      <c r="O127" s="11"/>
      <c r="P127" s="11"/>
      <c r="Q127" s="11"/>
      <c r="R127" s="11"/>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row>
    <row r="128" spans="1:256" customFormat="1" ht="30" customHeight="1">
      <c r="A128" s="139">
        <v>40878</v>
      </c>
      <c r="B128" s="140">
        <v>0</v>
      </c>
      <c r="C128" s="140">
        <v>0</v>
      </c>
      <c r="D128" s="140">
        <f t="shared" si="41"/>
        <v>1746.5</v>
      </c>
      <c r="E128" s="140">
        <f t="shared" si="42"/>
        <v>455702</v>
      </c>
      <c r="F128" s="140">
        <f t="shared" si="43"/>
        <v>28253.5</v>
      </c>
      <c r="G128" s="46"/>
      <c r="H128" s="141">
        <f>C127</f>
        <v>99330</v>
      </c>
      <c r="I128" s="140">
        <v>0</v>
      </c>
      <c r="J128" s="140">
        <f t="shared" si="45"/>
        <v>130000</v>
      </c>
      <c r="K128" s="140">
        <f t="shared" si="44"/>
        <v>325702</v>
      </c>
      <c r="L128" s="140">
        <f t="shared" si="40"/>
        <v>325702</v>
      </c>
      <c r="M128" s="171"/>
      <c r="N128" s="11"/>
      <c r="O128" s="11"/>
      <c r="P128" s="11"/>
      <c r="Q128" s="11"/>
      <c r="R128" s="11"/>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row>
    <row r="129" spans="1:256" customFormat="1" ht="30" customHeight="1">
      <c r="A129" s="139">
        <v>40909</v>
      </c>
      <c r="B129" s="140">
        <v>0</v>
      </c>
      <c r="C129" s="140">
        <v>0</v>
      </c>
      <c r="D129" s="140">
        <f t="shared" si="41"/>
        <v>1746.5</v>
      </c>
      <c r="E129" s="140">
        <f t="shared" si="42"/>
        <v>455702</v>
      </c>
      <c r="F129" s="140">
        <f t="shared" si="43"/>
        <v>28253.5</v>
      </c>
      <c r="G129" s="46"/>
      <c r="H129" s="141">
        <f>C128</f>
        <v>0</v>
      </c>
      <c r="I129" s="140">
        <v>0</v>
      </c>
      <c r="J129" s="140">
        <f t="shared" si="45"/>
        <v>130000</v>
      </c>
      <c r="K129" s="140">
        <f t="shared" si="44"/>
        <v>325702</v>
      </c>
      <c r="L129" s="140">
        <f t="shared" si="40"/>
        <v>325702</v>
      </c>
      <c r="M129" s="171"/>
      <c r="N129" s="11"/>
      <c r="O129" s="11"/>
      <c r="P129" s="11"/>
      <c r="Q129" s="11"/>
      <c r="R129" s="11"/>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row>
    <row r="130" spans="1:256" customFormat="1" ht="30" customHeight="1">
      <c r="A130" s="139">
        <v>40940</v>
      </c>
      <c r="B130" s="140">
        <v>0</v>
      </c>
      <c r="C130" s="140">
        <v>0</v>
      </c>
      <c r="D130" s="140">
        <f t="shared" si="41"/>
        <v>1746.5</v>
      </c>
      <c r="E130" s="140">
        <f t="shared" si="42"/>
        <v>455702</v>
      </c>
      <c r="F130" s="140">
        <f t="shared" si="43"/>
        <v>28253.5</v>
      </c>
      <c r="G130" s="46"/>
      <c r="H130" s="141">
        <f>C129</f>
        <v>0</v>
      </c>
      <c r="I130" s="140">
        <v>0</v>
      </c>
      <c r="J130" s="140">
        <f t="shared" si="45"/>
        <v>130000</v>
      </c>
      <c r="K130" s="140">
        <f t="shared" si="44"/>
        <v>325702</v>
      </c>
      <c r="L130" s="140">
        <f t="shared" si="40"/>
        <v>325702</v>
      </c>
      <c r="M130" s="171"/>
      <c r="N130" s="11"/>
      <c r="O130" s="11"/>
      <c r="P130" s="11"/>
      <c r="Q130" s="11"/>
      <c r="R130" s="11"/>
      <c r="S130" s="11"/>
      <c r="T130" s="11"/>
      <c r="U130" s="11"/>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B130" s="11"/>
      <c r="DC130" s="11"/>
      <c r="DD130" s="11"/>
      <c r="DE130" s="11"/>
      <c r="DF130" s="11"/>
      <c r="DG130" s="11"/>
      <c r="DH130" s="11"/>
      <c r="DI130" s="11"/>
      <c r="DJ130" s="11"/>
      <c r="DK130" s="11"/>
      <c r="DL130" s="11"/>
      <c r="DM130" s="11"/>
      <c r="DN130" s="11"/>
      <c r="DO130" s="11"/>
      <c r="DP130" s="11"/>
      <c r="DQ130" s="11"/>
      <c r="DR130" s="11"/>
      <c r="DS130" s="11"/>
      <c r="DT130" s="11"/>
      <c r="DU130" s="11"/>
      <c r="DV130" s="11"/>
      <c r="DW130" s="11"/>
      <c r="DX130" s="11"/>
      <c r="DY130" s="11"/>
      <c r="DZ130" s="11"/>
      <c r="EA130" s="11"/>
      <c r="EB130" s="11"/>
      <c r="EC130" s="11"/>
      <c r="ED130" s="11"/>
      <c r="EE130" s="11"/>
      <c r="EF130" s="11"/>
      <c r="EG130" s="11"/>
      <c r="EH130" s="11"/>
      <c r="EI130" s="11"/>
      <c r="EJ130" s="11"/>
      <c r="EK130" s="11"/>
      <c r="EL130" s="11"/>
      <c r="EM130" s="11"/>
      <c r="EN130" s="11"/>
      <c r="EO130" s="11"/>
      <c r="EP130" s="11"/>
      <c r="EQ130" s="11"/>
      <c r="ER130" s="11"/>
      <c r="ES130" s="11"/>
      <c r="ET130" s="11"/>
      <c r="EU130" s="11"/>
      <c r="EV130" s="11"/>
      <c r="EW130" s="11"/>
      <c r="EX130" s="11"/>
      <c r="EY130" s="11"/>
      <c r="EZ130" s="11"/>
      <c r="FA130" s="11"/>
      <c r="FB130" s="11"/>
      <c r="FC130" s="11"/>
      <c r="FD130" s="11"/>
      <c r="FE130" s="11"/>
      <c r="FF130" s="11"/>
      <c r="FG130" s="11"/>
      <c r="FH130" s="11"/>
      <c r="FI130" s="11"/>
      <c r="FJ130" s="11"/>
      <c r="FK130" s="11"/>
      <c r="FL130" s="11"/>
      <c r="FM130" s="11"/>
      <c r="FN130" s="11"/>
      <c r="FO130" s="11"/>
      <c r="FP130" s="11"/>
      <c r="FQ130" s="11"/>
      <c r="FR130" s="11"/>
      <c r="FS130" s="11"/>
      <c r="FT130" s="11"/>
      <c r="FU130" s="11"/>
      <c r="FV130" s="11"/>
      <c r="FW130" s="11"/>
      <c r="FX130" s="11"/>
      <c r="FY130" s="11"/>
      <c r="FZ130" s="11"/>
      <c r="GA130" s="11"/>
      <c r="GB130" s="11"/>
      <c r="GC130" s="11"/>
      <c r="GD130" s="11"/>
      <c r="GE130" s="11"/>
      <c r="GF130" s="11"/>
      <c r="GG130" s="11"/>
      <c r="GH130" s="11"/>
      <c r="GI130" s="11"/>
      <c r="GJ130" s="11"/>
      <c r="GK130" s="11"/>
      <c r="GL130" s="11"/>
      <c r="GM130" s="11"/>
      <c r="GN130" s="11"/>
      <c r="GO130" s="11"/>
      <c r="GP130" s="11"/>
      <c r="GQ130" s="11"/>
      <c r="GR130" s="11"/>
      <c r="GS130" s="11"/>
      <c r="GT130" s="11"/>
      <c r="GU130" s="11"/>
      <c r="GV130" s="11"/>
      <c r="GW130" s="11"/>
      <c r="GX130" s="11"/>
      <c r="GY130" s="11"/>
      <c r="GZ130" s="11"/>
      <c r="HA130" s="11"/>
      <c r="HB130" s="11"/>
      <c r="HC130" s="11"/>
      <c r="HD130" s="11"/>
      <c r="HE130" s="11"/>
      <c r="HF130" s="11"/>
      <c r="HG130" s="11"/>
      <c r="HH130" s="11"/>
      <c r="HI130" s="11"/>
      <c r="HJ130" s="11"/>
      <c r="HK130" s="11"/>
      <c r="HL130" s="11"/>
      <c r="HM130" s="11"/>
      <c r="HN130" s="11"/>
      <c r="HO130" s="11"/>
      <c r="HP130" s="11"/>
      <c r="HQ130" s="11"/>
      <c r="HR130" s="11"/>
      <c r="HS130" s="11"/>
      <c r="HT130" s="11"/>
      <c r="HU130" s="11"/>
      <c r="HV130" s="11"/>
      <c r="HW130" s="11"/>
      <c r="HX130" s="11"/>
      <c r="HY130" s="11"/>
      <c r="HZ130" s="11"/>
      <c r="IA130" s="11"/>
      <c r="IB130" s="11"/>
      <c r="IC130" s="11"/>
      <c r="ID130" s="11"/>
      <c r="IE130" s="11"/>
      <c r="IF130" s="11"/>
      <c r="IG130" s="11"/>
      <c r="IH130" s="11"/>
      <c r="II130" s="11"/>
      <c r="IJ130" s="11"/>
      <c r="IK130" s="11"/>
      <c r="IL130" s="11"/>
      <c r="IM130" s="11"/>
      <c r="IN130" s="11"/>
      <c r="IO130" s="11"/>
      <c r="IP130" s="11"/>
      <c r="IQ130" s="11"/>
      <c r="IR130" s="11"/>
      <c r="IS130" s="11"/>
      <c r="IT130" s="11"/>
      <c r="IU130" s="11"/>
      <c r="IV130" s="11"/>
    </row>
    <row r="131" spans="1:256" customFormat="1" ht="30" customHeight="1">
      <c r="A131" s="139">
        <v>40969</v>
      </c>
      <c r="B131" s="140">
        <v>0</v>
      </c>
      <c r="C131" s="140">
        <v>0</v>
      </c>
      <c r="D131" s="140">
        <f t="shared" si="41"/>
        <v>1746.5</v>
      </c>
      <c r="E131" s="140">
        <f t="shared" si="42"/>
        <v>455702</v>
      </c>
      <c r="F131" s="140">
        <f t="shared" si="43"/>
        <v>28253.5</v>
      </c>
      <c r="G131" s="46"/>
      <c r="H131" s="141">
        <v>0</v>
      </c>
      <c r="I131" s="140">
        <v>0</v>
      </c>
      <c r="J131" s="140">
        <f t="shared" si="45"/>
        <v>130000</v>
      </c>
      <c r="K131" s="140">
        <f t="shared" si="44"/>
        <v>325702</v>
      </c>
      <c r="L131" s="140">
        <f t="shared" si="40"/>
        <v>325702</v>
      </c>
      <c r="M131" s="171" t="s">
        <v>4929</v>
      </c>
      <c r="N131" s="11"/>
      <c r="O131" s="11"/>
      <c r="P131" s="11"/>
      <c r="Q131" s="11"/>
      <c r="R131" s="11"/>
      <c r="S131" s="11"/>
      <c r="T131" s="11"/>
      <c r="U131" s="11"/>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B131" s="11"/>
      <c r="DC131" s="11"/>
      <c r="DD131" s="11"/>
      <c r="DE131" s="11"/>
      <c r="DF131" s="11"/>
      <c r="DG131" s="11"/>
      <c r="DH131" s="11"/>
      <c r="DI131" s="11"/>
      <c r="DJ131" s="11"/>
      <c r="DK131" s="11"/>
      <c r="DL131" s="11"/>
      <c r="DM131" s="11"/>
      <c r="DN131" s="11"/>
      <c r="DO131" s="11"/>
      <c r="DP131" s="11"/>
      <c r="DQ131" s="11"/>
      <c r="DR131" s="11"/>
      <c r="DS131" s="11"/>
      <c r="DT131" s="11"/>
      <c r="DU131" s="11"/>
      <c r="DV131" s="11"/>
      <c r="DW131" s="11"/>
      <c r="DX131" s="11"/>
      <c r="DY131" s="11"/>
      <c r="DZ131" s="11"/>
      <c r="EA131" s="11"/>
      <c r="EB131" s="11"/>
      <c r="EC131" s="11"/>
      <c r="ED131" s="11"/>
      <c r="EE131" s="11"/>
      <c r="EF131" s="11"/>
      <c r="EG131" s="11"/>
      <c r="EH131" s="11"/>
      <c r="EI131" s="11"/>
      <c r="EJ131" s="11"/>
      <c r="EK131" s="11"/>
      <c r="EL131" s="11"/>
      <c r="EM131" s="11"/>
      <c r="EN131" s="11"/>
      <c r="EO131" s="11"/>
      <c r="EP131" s="11"/>
      <c r="EQ131" s="11"/>
      <c r="ER131" s="11"/>
      <c r="ES131" s="11"/>
      <c r="ET131" s="11"/>
      <c r="EU131" s="11"/>
      <c r="EV131" s="11"/>
      <c r="EW131" s="11"/>
      <c r="EX131" s="11"/>
      <c r="EY131" s="11"/>
      <c r="EZ131" s="11"/>
      <c r="FA131" s="11"/>
      <c r="FB131" s="11"/>
      <c r="FC131" s="11"/>
      <c r="FD131" s="11"/>
      <c r="FE131" s="11"/>
      <c r="FF131" s="11"/>
      <c r="FG131" s="11"/>
      <c r="FH131" s="11"/>
      <c r="FI131" s="11"/>
      <c r="FJ131" s="11"/>
      <c r="FK131" s="11"/>
      <c r="FL131" s="11"/>
      <c r="FM131" s="11"/>
      <c r="FN131" s="11"/>
      <c r="FO131" s="11"/>
      <c r="FP131" s="11"/>
      <c r="FQ131" s="11"/>
      <c r="FR131" s="11"/>
      <c r="FS131" s="11"/>
      <c r="FT131" s="11"/>
      <c r="FU131" s="11"/>
      <c r="FV131" s="11"/>
      <c r="FW131" s="11"/>
      <c r="FX131" s="11"/>
      <c r="FY131" s="11"/>
      <c r="FZ131" s="11"/>
      <c r="GA131" s="11"/>
      <c r="GB131" s="11"/>
      <c r="GC131" s="11"/>
      <c r="GD131" s="11"/>
      <c r="GE131" s="11"/>
      <c r="GF131" s="11"/>
      <c r="GG131" s="11"/>
      <c r="GH131" s="11"/>
      <c r="GI131" s="11"/>
      <c r="GJ131" s="11"/>
      <c r="GK131" s="11"/>
      <c r="GL131" s="11"/>
      <c r="GM131" s="11"/>
      <c r="GN131" s="11"/>
      <c r="GO131" s="11"/>
      <c r="GP131" s="11"/>
      <c r="GQ131" s="11"/>
      <c r="GR131" s="11"/>
      <c r="GS131" s="11"/>
      <c r="GT131" s="11"/>
      <c r="GU131" s="11"/>
      <c r="GV131" s="11"/>
      <c r="GW131" s="11"/>
      <c r="GX131" s="11"/>
      <c r="GY131" s="11"/>
      <c r="GZ131" s="11"/>
      <c r="HA131" s="11"/>
      <c r="HB131" s="11"/>
      <c r="HC131" s="11"/>
      <c r="HD131" s="11"/>
      <c r="HE131" s="11"/>
      <c r="HF131" s="11"/>
      <c r="HG131" s="11"/>
      <c r="HH131" s="11"/>
      <c r="HI131" s="11"/>
      <c r="HJ131" s="11"/>
      <c r="HK131" s="11"/>
      <c r="HL131" s="11"/>
      <c r="HM131" s="11"/>
      <c r="HN131" s="11"/>
      <c r="HO131" s="11"/>
      <c r="HP131" s="11"/>
      <c r="HQ131" s="11"/>
      <c r="HR131" s="11"/>
      <c r="HS131" s="11"/>
      <c r="HT131" s="11"/>
      <c r="HU131" s="11"/>
      <c r="HV131" s="11"/>
      <c r="HW131" s="11"/>
      <c r="HX131" s="11"/>
      <c r="HY131" s="11"/>
      <c r="HZ131" s="11"/>
      <c r="IA131" s="11"/>
      <c r="IB131" s="11"/>
      <c r="IC131" s="11"/>
      <c r="ID131" s="11"/>
      <c r="IE131" s="11"/>
      <c r="IF131" s="11"/>
      <c r="IG131" s="11"/>
      <c r="IH131" s="11"/>
      <c r="II131" s="11"/>
      <c r="IJ131" s="11"/>
      <c r="IK131" s="11"/>
      <c r="IL131" s="11"/>
      <c r="IM131" s="11"/>
      <c r="IN131" s="11"/>
      <c r="IO131" s="11"/>
      <c r="IP131" s="11"/>
      <c r="IQ131" s="11"/>
      <c r="IR131" s="11"/>
      <c r="IS131" s="11"/>
      <c r="IT131" s="11"/>
      <c r="IU131" s="11"/>
      <c r="IV131" s="11"/>
    </row>
    <row r="132" spans="1:256" customFormat="1" ht="30" customHeight="1">
      <c r="A132" s="139">
        <v>41000</v>
      </c>
      <c r="B132" s="140">
        <v>0</v>
      </c>
      <c r="C132" s="140">
        <v>0</v>
      </c>
      <c r="D132" s="140">
        <f t="shared" si="41"/>
        <v>1746.5</v>
      </c>
      <c r="E132" s="140">
        <f t="shared" si="42"/>
        <v>455702</v>
      </c>
      <c r="F132" s="140">
        <f t="shared" si="43"/>
        <v>28253.5</v>
      </c>
      <c r="G132" s="46"/>
      <c r="H132" s="141">
        <f t="shared" ref="H132:H144" si="46">C131</f>
        <v>0</v>
      </c>
      <c r="I132" s="140">
        <v>0</v>
      </c>
      <c r="J132" s="140">
        <f t="shared" si="45"/>
        <v>130000</v>
      </c>
      <c r="K132" s="140">
        <f t="shared" si="44"/>
        <v>325702</v>
      </c>
      <c r="L132" s="140">
        <f t="shared" si="40"/>
        <v>325702</v>
      </c>
      <c r="M132" s="171"/>
      <c r="N132" s="11"/>
      <c r="O132" s="11"/>
      <c r="P132" s="11"/>
      <c r="Q132" s="11"/>
      <c r="R132" s="11"/>
      <c r="S132" s="11"/>
      <c r="T132" s="11"/>
      <c r="U132" s="11"/>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B132" s="11"/>
      <c r="DC132" s="11"/>
      <c r="DD132" s="11"/>
      <c r="DE132" s="11"/>
      <c r="DF132" s="11"/>
      <c r="DG132" s="11"/>
      <c r="DH132" s="11"/>
      <c r="DI132" s="11"/>
      <c r="DJ132" s="11"/>
      <c r="DK132" s="11"/>
      <c r="DL132" s="11"/>
      <c r="DM132" s="11"/>
      <c r="DN132" s="11"/>
      <c r="DO132" s="11"/>
      <c r="DP132" s="11"/>
      <c r="DQ132" s="11"/>
      <c r="DR132" s="11"/>
      <c r="DS132" s="11"/>
      <c r="DT132" s="11"/>
      <c r="DU132" s="11"/>
      <c r="DV132" s="11"/>
      <c r="DW132" s="11"/>
      <c r="DX132" s="11"/>
      <c r="DY132" s="11"/>
      <c r="DZ132" s="11"/>
      <c r="EA132" s="11"/>
      <c r="EB132" s="11"/>
      <c r="EC132" s="11"/>
      <c r="ED132" s="11"/>
      <c r="EE132" s="11"/>
      <c r="EF132" s="11"/>
      <c r="EG132" s="11"/>
      <c r="EH132" s="11"/>
      <c r="EI132" s="11"/>
      <c r="EJ132" s="11"/>
      <c r="EK132" s="11"/>
      <c r="EL132" s="11"/>
      <c r="EM132" s="11"/>
      <c r="EN132" s="11"/>
      <c r="EO132" s="11"/>
      <c r="EP132" s="11"/>
      <c r="EQ132" s="11"/>
      <c r="ER132" s="11"/>
      <c r="ES132" s="11"/>
      <c r="ET132" s="11"/>
      <c r="EU132" s="11"/>
      <c r="EV132" s="11"/>
      <c r="EW132" s="11"/>
      <c r="EX132" s="11"/>
      <c r="EY132" s="11"/>
      <c r="EZ132" s="11"/>
      <c r="FA132" s="11"/>
      <c r="FB132" s="11"/>
      <c r="FC132" s="11"/>
      <c r="FD132" s="11"/>
      <c r="FE132" s="11"/>
      <c r="FF132" s="11"/>
      <c r="FG132" s="11"/>
      <c r="FH132" s="11"/>
      <c r="FI132" s="11"/>
      <c r="FJ132" s="11"/>
      <c r="FK132" s="11"/>
      <c r="FL132" s="11"/>
      <c r="FM132" s="11"/>
      <c r="FN132" s="11"/>
      <c r="FO132" s="11"/>
      <c r="FP132" s="11"/>
      <c r="FQ132" s="11"/>
      <c r="FR132" s="11"/>
      <c r="FS132" s="11"/>
      <c r="FT132" s="11"/>
      <c r="FU132" s="11"/>
      <c r="FV132" s="11"/>
      <c r="FW132" s="11"/>
      <c r="FX132" s="11"/>
      <c r="FY132" s="11"/>
      <c r="FZ132" s="11"/>
      <c r="GA132" s="11"/>
      <c r="GB132" s="11"/>
      <c r="GC132" s="11"/>
      <c r="GD132" s="11"/>
      <c r="GE132" s="11"/>
      <c r="GF132" s="11"/>
      <c r="GG132" s="11"/>
      <c r="GH132" s="11"/>
      <c r="GI132" s="11"/>
      <c r="GJ132" s="11"/>
      <c r="GK132" s="11"/>
      <c r="GL132" s="11"/>
      <c r="GM132" s="11"/>
      <c r="GN132" s="11"/>
      <c r="GO132" s="11"/>
      <c r="GP132" s="11"/>
      <c r="GQ132" s="11"/>
      <c r="GR132" s="11"/>
      <c r="GS132" s="11"/>
      <c r="GT132" s="11"/>
      <c r="GU132" s="11"/>
      <c r="GV132" s="11"/>
      <c r="GW132" s="11"/>
      <c r="GX132" s="11"/>
      <c r="GY132" s="11"/>
      <c r="GZ132" s="11"/>
      <c r="HA132" s="11"/>
      <c r="HB132" s="11"/>
      <c r="HC132" s="11"/>
      <c r="HD132" s="11"/>
      <c r="HE132" s="11"/>
      <c r="HF132" s="11"/>
      <c r="HG132" s="11"/>
      <c r="HH132" s="11"/>
      <c r="HI132" s="11"/>
      <c r="HJ132" s="11"/>
      <c r="HK132" s="11"/>
      <c r="HL132" s="11"/>
      <c r="HM132" s="11"/>
      <c r="HN132" s="11"/>
      <c r="HO132" s="11"/>
      <c r="HP132" s="11"/>
      <c r="HQ132" s="11"/>
      <c r="HR132" s="11"/>
      <c r="HS132" s="11"/>
      <c r="HT132" s="11"/>
      <c r="HU132" s="11"/>
      <c r="HV132" s="11"/>
      <c r="HW132" s="11"/>
      <c r="HX132" s="11"/>
      <c r="HY132" s="11"/>
      <c r="HZ132" s="11"/>
      <c r="IA132" s="11"/>
      <c r="IB132" s="11"/>
      <c r="IC132" s="11"/>
      <c r="ID132" s="11"/>
      <c r="IE132" s="11"/>
      <c r="IF132" s="11"/>
      <c r="IG132" s="11"/>
      <c r="IH132" s="11"/>
      <c r="II132" s="11"/>
      <c r="IJ132" s="11"/>
      <c r="IK132" s="11"/>
      <c r="IL132" s="11"/>
      <c r="IM132" s="11"/>
      <c r="IN132" s="11"/>
      <c r="IO132" s="11"/>
      <c r="IP132" s="11"/>
      <c r="IQ132" s="11"/>
      <c r="IR132" s="11"/>
      <c r="IS132" s="11"/>
      <c r="IT132" s="11"/>
      <c r="IU132" s="11"/>
      <c r="IV132" s="11"/>
    </row>
    <row r="133" spans="1:256" customFormat="1" ht="30" customHeight="1">
      <c r="A133" s="139">
        <v>41030</v>
      </c>
      <c r="B133" s="140">
        <v>0</v>
      </c>
      <c r="C133" s="140">
        <v>0</v>
      </c>
      <c r="D133" s="140">
        <f t="shared" si="41"/>
        <v>1746.5</v>
      </c>
      <c r="E133" s="140">
        <f t="shared" si="42"/>
        <v>455702</v>
      </c>
      <c r="F133" s="140">
        <f t="shared" si="43"/>
        <v>28253.5</v>
      </c>
      <c r="G133" s="46"/>
      <c r="H133" s="141">
        <f t="shared" si="46"/>
        <v>0</v>
      </c>
      <c r="I133" s="140">
        <v>0</v>
      </c>
      <c r="J133" s="140">
        <f t="shared" si="45"/>
        <v>130000</v>
      </c>
      <c r="K133" s="140">
        <f t="shared" si="44"/>
        <v>325702</v>
      </c>
      <c r="L133" s="140">
        <f t="shared" si="40"/>
        <v>325702</v>
      </c>
      <c r="M133" s="171"/>
      <c r="N133" s="11"/>
      <c r="O133" s="11"/>
      <c r="P133" s="11"/>
      <c r="Q133" s="11"/>
      <c r="R133" s="11"/>
      <c r="S133" s="11"/>
      <c r="T133" s="11"/>
      <c r="U133" s="11"/>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B133" s="11"/>
      <c r="DC133" s="11"/>
      <c r="DD133" s="11"/>
      <c r="DE133" s="11"/>
      <c r="DF133" s="11"/>
      <c r="DG133" s="11"/>
      <c r="DH133" s="11"/>
      <c r="DI133" s="11"/>
      <c r="DJ133" s="11"/>
      <c r="DK133" s="11"/>
      <c r="DL133" s="11"/>
      <c r="DM133" s="11"/>
      <c r="DN133" s="11"/>
      <c r="DO133" s="11"/>
      <c r="DP133" s="11"/>
      <c r="DQ133" s="11"/>
      <c r="DR133" s="11"/>
      <c r="DS133" s="11"/>
      <c r="DT133" s="11"/>
      <c r="DU133" s="11"/>
      <c r="DV133" s="11"/>
      <c r="DW133" s="11"/>
      <c r="DX133" s="11"/>
      <c r="DY133" s="11"/>
      <c r="DZ133" s="11"/>
      <c r="EA133" s="11"/>
      <c r="EB133" s="11"/>
      <c r="EC133" s="11"/>
      <c r="ED133" s="11"/>
      <c r="EE133" s="11"/>
      <c r="EF133" s="11"/>
      <c r="EG133" s="11"/>
      <c r="EH133" s="11"/>
      <c r="EI133" s="11"/>
      <c r="EJ133" s="11"/>
      <c r="EK133" s="11"/>
      <c r="EL133" s="11"/>
      <c r="EM133" s="11"/>
      <c r="EN133" s="11"/>
      <c r="EO133" s="11"/>
      <c r="EP133" s="11"/>
      <c r="EQ133" s="11"/>
      <c r="ER133" s="11"/>
      <c r="ES133" s="11"/>
      <c r="ET133" s="11"/>
      <c r="EU133" s="11"/>
      <c r="EV133" s="11"/>
      <c r="EW133" s="11"/>
      <c r="EX133" s="11"/>
      <c r="EY133" s="11"/>
      <c r="EZ133" s="11"/>
      <c r="FA133" s="11"/>
      <c r="FB133" s="11"/>
      <c r="FC133" s="11"/>
      <c r="FD133" s="11"/>
      <c r="FE133" s="11"/>
      <c r="FF133" s="11"/>
      <c r="FG133" s="11"/>
      <c r="FH133" s="11"/>
      <c r="FI133" s="11"/>
      <c r="FJ133" s="11"/>
      <c r="FK133" s="11"/>
      <c r="FL133" s="11"/>
      <c r="FM133" s="11"/>
      <c r="FN133" s="11"/>
      <c r="FO133" s="11"/>
      <c r="FP133" s="11"/>
      <c r="FQ133" s="11"/>
      <c r="FR133" s="11"/>
      <c r="FS133" s="11"/>
      <c r="FT133" s="11"/>
      <c r="FU133" s="11"/>
      <c r="FV133" s="11"/>
      <c r="FW133" s="11"/>
      <c r="FX133" s="11"/>
      <c r="FY133" s="11"/>
      <c r="FZ133" s="11"/>
      <c r="GA133" s="11"/>
      <c r="GB133" s="11"/>
      <c r="GC133" s="11"/>
      <c r="GD133" s="11"/>
      <c r="GE133" s="11"/>
      <c r="GF133" s="11"/>
      <c r="GG133" s="11"/>
      <c r="GH133" s="11"/>
      <c r="GI133" s="11"/>
      <c r="GJ133" s="11"/>
      <c r="GK133" s="11"/>
      <c r="GL133" s="11"/>
      <c r="GM133" s="11"/>
      <c r="GN133" s="11"/>
      <c r="GO133" s="11"/>
      <c r="GP133" s="11"/>
      <c r="GQ133" s="11"/>
      <c r="GR133" s="11"/>
      <c r="GS133" s="11"/>
      <c r="GT133" s="11"/>
      <c r="GU133" s="11"/>
      <c r="GV133" s="11"/>
      <c r="GW133" s="11"/>
      <c r="GX133" s="11"/>
      <c r="GY133" s="11"/>
      <c r="GZ133" s="11"/>
      <c r="HA133" s="11"/>
      <c r="HB133" s="11"/>
      <c r="HC133" s="11"/>
      <c r="HD133" s="11"/>
      <c r="HE133" s="11"/>
      <c r="HF133" s="11"/>
      <c r="HG133" s="11"/>
      <c r="HH133" s="11"/>
      <c r="HI133" s="11"/>
      <c r="HJ133" s="11"/>
      <c r="HK133" s="11"/>
      <c r="HL133" s="11"/>
      <c r="HM133" s="11"/>
      <c r="HN133" s="11"/>
      <c r="HO133" s="11"/>
      <c r="HP133" s="11"/>
      <c r="HQ133" s="11"/>
      <c r="HR133" s="11"/>
      <c r="HS133" s="11"/>
      <c r="HT133" s="11"/>
      <c r="HU133" s="11"/>
      <c r="HV133" s="11"/>
      <c r="HW133" s="11"/>
      <c r="HX133" s="11"/>
      <c r="HY133" s="11"/>
      <c r="HZ133" s="11"/>
      <c r="IA133" s="11"/>
      <c r="IB133" s="11"/>
      <c r="IC133" s="11"/>
      <c r="ID133" s="11"/>
      <c r="IE133" s="11"/>
      <c r="IF133" s="11"/>
      <c r="IG133" s="11"/>
      <c r="IH133" s="11"/>
      <c r="II133" s="11"/>
      <c r="IJ133" s="11"/>
      <c r="IK133" s="11"/>
      <c r="IL133" s="11"/>
      <c r="IM133" s="11"/>
      <c r="IN133" s="11"/>
      <c r="IO133" s="11"/>
      <c r="IP133" s="11"/>
      <c r="IQ133" s="11"/>
      <c r="IR133" s="11"/>
      <c r="IS133" s="11"/>
      <c r="IT133" s="11"/>
      <c r="IU133" s="11"/>
      <c r="IV133" s="11"/>
    </row>
    <row r="134" spans="1:256" customFormat="1" ht="30" customHeight="1">
      <c r="A134" s="139">
        <v>41061</v>
      </c>
      <c r="B134" s="140">
        <v>0</v>
      </c>
      <c r="C134" s="140">
        <v>0</v>
      </c>
      <c r="D134" s="140">
        <f t="shared" si="41"/>
        <v>1746.5</v>
      </c>
      <c r="E134" s="140">
        <f t="shared" si="42"/>
        <v>455702</v>
      </c>
      <c r="F134" s="140">
        <f t="shared" si="43"/>
        <v>28253.5</v>
      </c>
      <c r="G134" s="46"/>
      <c r="H134" s="141">
        <f t="shared" si="46"/>
        <v>0</v>
      </c>
      <c r="I134" s="140">
        <v>0</v>
      </c>
      <c r="J134" s="140">
        <f t="shared" si="45"/>
        <v>130000</v>
      </c>
      <c r="K134" s="140">
        <f t="shared" si="44"/>
        <v>325702</v>
      </c>
      <c r="L134" s="140">
        <f t="shared" si="40"/>
        <v>325702</v>
      </c>
      <c r="M134" s="171" t="s">
        <v>4930</v>
      </c>
      <c r="N134" s="11"/>
      <c r="O134" s="11"/>
      <c r="P134" s="11"/>
      <c r="Q134" s="11"/>
      <c r="R134" s="11"/>
      <c r="S134" s="11"/>
      <c r="T134" s="11"/>
      <c r="U134" s="11"/>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B134" s="11"/>
      <c r="DC134" s="11"/>
      <c r="DD134" s="11"/>
      <c r="DE134" s="11"/>
      <c r="DF134" s="11"/>
      <c r="DG134" s="11"/>
      <c r="DH134" s="11"/>
      <c r="DI134" s="11"/>
      <c r="DJ134" s="11"/>
      <c r="DK134" s="11"/>
      <c r="DL134" s="11"/>
      <c r="DM134" s="11"/>
      <c r="DN134" s="11"/>
      <c r="DO134" s="11"/>
      <c r="DP134" s="11"/>
      <c r="DQ134" s="11"/>
      <c r="DR134" s="11"/>
      <c r="DS134" s="11"/>
      <c r="DT134" s="11"/>
      <c r="DU134" s="11"/>
      <c r="DV134" s="11"/>
      <c r="DW134" s="11"/>
      <c r="DX134" s="11"/>
      <c r="DY134" s="11"/>
      <c r="DZ134" s="11"/>
      <c r="EA134" s="11"/>
      <c r="EB134" s="11"/>
      <c r="EC134" s="11"/>
      <c r="ED134" s="11"/>
      <c r="EE134" s="11"/>
      <c r="EF134" s="11"/>
      <c r="EG134" s="11"/>
      <c r="EH134" s="11"/>
      <c r="EI134" s="11"/>
      <c r="EJ134" s="11"/>
      <c r="EK134" s="11"/>
      <c r="EL134" s="11"/>
      <c r="EM134" s="11"/>
      <c r="EN134" s="11"/>
      <c r="EO134" s="11"/>
      <c r="EP134" s="11"/>
      <c r="EQ134" s="11"/>
      <c r="ER134" s="11"/>
      <c r="ES134" s="11"/>
      <c r="ET134" s="11"/>
      <c r="EU134" s="11"/>
      <c r="EV134" s="11"/>
      <c r="EW134" s="11"/>
      <c r="EX134" s="11"/>
      <c r="EY134" s="11"/>
      <c r="EZ134" s="11"/>
      <c r="FA134" s="11"/>
      <c r="FB134" s="11"/>
      <c r="FC134" s="11"/>
      <c r="FD134" s="11"/>
      <c r="FE134" s="11"/>
      <c r="FF134" s="11"/>
      <c r="FG134" s="11"/>
      <c r="FH134" s="11"/>
      <c r="FI134" s="11"/>
      <c r="FJ134" s="11"/>
      <c r="FK134" s="11"/>
      <c r="FL134" s="11"/>
      <c r="FM134" s="11"/>
      <c r="FN134" s="11"/>
      <c r="FO134" s="11"/>
      <c r="FP134" s="11"/>
      <c r="FQ134" s="11"/>
      <c r="FR134" s="11"/>
      <c r="FS134" s="11"/>
      <c r="FT134" s="11"/>
      <c r="FU134" s="11"/>
      <c r="FV134" s="11"/>
      <c r="FW134" s="11"/>
      <c r="FX134" s="11"/>
      <c r="FY134" s="11"/>
      <c r="FZ134" s="11"/>
      <c r="GA134" s="11"/>
      <c r="GB134" s="11"/>
      <c r="GC134" s="11"/>
      <c r="GD134" s="11"/>
      <c r="GE134" s="11"/>
      <c r="GF134" s="11"/>
      <c r="GG134" s="11"/>
      <c r="GH134" s="11"/>
      <c r="GI134" s="11"/>
      <c r="GJ134" s="11"/>
      <c r="GK134" s="11"/>
      <c r="GL134" s="11"/>
      <c r="GM134" s="11"/>
      <c r="GN134" s="11"/>
      <c r="GO134" s="11"/>
      <c r="GP134" s="11"/>
      <c r="GQ134" s="11"/>
      <c r="GR134" s="11"/>
      <c r="GS134" s="11"/>
      <c r="GT134" s="11"/>
      <c r="GU134" s="11"/>
      <c r="GV134" s="11"/>
      <c r="GW134" s="11"/>
      <c r="GX134" s="11"/>
      <c r="GY134" s="11"/>
      <c r="GZ134" s="11"/>
      <c r="HA134" s="11"/>
      <c r="HB134" s="11"/>
      <c r="HC134" s="11"/>
      <c r="HD134" s="11"/>
      <c r="HE134" s="11"/>
      <c r="HF134" s="11"/>
      <c r="HG134" s="11"/>
      <c r="HH134" s="11"/>
      <c r="HI134" s="11"/>
      <c r="HJ134" s="11"/>
      <c r="HK134" s="11"/>
      <c r="HL134" s="11"/>
      <c r="HM134" s="11"/>
      <c r="HN134" s="11"/>
      <c r="HO134" s="11"/>
      <c r="HP134" s="11"/>
      <c r="HQ134" s="11"/>
      <c r="HR134" s="11"/>
      <c r="HS134" s="11"/>
      <c r="HT134" s="11"/>
      <c r="HU134" s="11"/>
      <c r="HV134" s="11"/>
      <c r="HW134" s="11"/>
      <c r="HX134" s="11"/>
      <c r="HY134" s="11"/>
      <c r="HZ134" s="11"/>
      <c r="IA134" s="11"/>
      <c r="IB134" s="11"/>
      <c r="IC134" s="11"/>
      <c r="ID134" s="11"/>
      <c r="IE134" s="11"/>
      <c r="IF134" s="11"/>
      <c r="IG134" s="11"/>
      <c r="IH134" s="11"/>
      <c r="II134" s="11"/>
      <c r="IJ134" s="11"/>
      <c r="IK134" s="11"/>
      <c r="IL134" s="11"/>
      <c r="IM134" s="11"/>
      <c r="IN134" s="11"/>
      <c r="IO134" s="11"/>
      <c r="IP134" s="11"/>
      <c r="IQ134" s="11"/>
      <c r="IR134" s="11"/>
      <c r="IS134" s="11"/>
      <c r="IT134" s="11"/>
      <c r="IU134" s="11"/>
      <c r="IV134" s="11"/>
    </row>
    <row r="135" spans="1:256" customFormat="1" ht="30" customHeight="1">
      <c r="A135" s="139">
        <v>41091</v>
      </c>
      <c r="B135" s="140">
        <v>99</v>
      </c>
      <c r="C135" s="140">
        <v>25542</v>
      </c>
      <c r="D135" s="140">
        <f t="shared" si="41"/>
        <v>1845.5</v>
      </c>
      <c r="E135" s="140">
        <f t="shared" si="42"/>
        <v>481244</v>
      </c>
      <c r="F135" s="140">
        <f t="shared" si="43"/>
        <v>28154.5</v>
      </c>
      <c r="G135" s="46"/>
      <c r="H135" s="141">
        <f t="shared" si="46"/>
        <v>0</v>
      </c>
      <c r="I135" s="140">
        <v>80000</v>
      </c>
      <c r="J135" s="140">
        <f t="shared" si="45"/>
        <v>210000</v>
      </c>
      <c r="K135" s="140">
        <f t="shared" si="44"/>
        <v>245702</v>
      </c>
      <c r="L135" s="140">
        <f t="shared" si="40"/>
        <v>271244</v>
      </c>
      <c r="M135" s="183" t="s">
        <v>4931</v>
      </c>
      <c r="N135" s="11"/>
      <c r="O135" s="11"/>
      <c r="P135" s="11"/>
      <c r="Q135" s="11"/>
      <c r="R135" s="11"/>
      <c r="S135" s="11"/>
      <c r="T135" s="11"/>
      <c r="U135" s="11"/>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B135" s="11"/>
      <c r="DC135" s="11"/>
      <c r="DD135" s="11"/>
      <c r="DE135" s="11"/>
      <c r="DF135" s="11"/>
      <c r="DG135" s="11"/>
      <c r="DH135" s="11"/>
      <c r="DI135" s="11"/>
      <c r="DJ135" s="11"/>
      <c r="DK135" s="11"/>
      <c r="DL135" s="11"/>
      <c r="DM135" s="11"/>
      <c r="DN135" s="11"/>
      <c r="DO135" s="11"/>
      <c r="DP135" s="11"/>
      <c r="DQ135" s="11"/>
      <c r="DR135" s="11"/>
      <c r="DS135" s="11"/>
      <c r="DT135" s="11"/>
      <c r="DU135" s="11"/>
      <c r="DV135" s="11"/>
      <c r="DW135" s="11"/>
      <c r="DX135" s="11"/>
      <c r="DY135" s="11"/>
      <c r="DZ135" s="11"/>
      <c r="EA135" s="11"/>
      <c r="EB135" s="11"/>
      <c r="EC135" s="11"/>
      <c r="ED135" s="11"/>
      <c r="EE135" s="11"/>
      <c r="EF135" s="11"/>
      <c r="EG135" s="11"/>
      <c r="EH135" s="11"/>
      <c r="EI135" s="11"/>
      <c r="EJ135" s="11"/>
      <c r="EK135" s="11"/>
      <c r="EL135" s="11"/>
      <c r="EM135" s="11"/>
      <c r="EN135" s="11"/>
      <c r="EO135" s="11"/>
      <c r="EP135" s="11"/>
      <c r="EQ135" s="11"/>
      <c r="ER135" s="11"/>
      <c r="ES135" s="11"/>
      <c r="ET135" s="11"/>
      <c r="EU135" s="11"/>
      <c r="EV135" s="11"/>
      <c r="EW135" s="11"/>
      <c r="EX135" s="11"/>
      <c r="EY135" s="11"/>
      <c r="EZ135" s="11"/>
      <c r="FA135" s="11"/>
      <c r="FB135" s="11"/>
      <c r="FC135" s="11"/>
      <c r="FD135" s="11"/>
      <c r="FE135" s="11"/>
      <c r="FF135" s="11"/>
      <c r="FG135" s="11"/>
      <c r="FH135" s="11"/>
      <c r="FI135" s="11"/>
      <c r="FJ135" s="11"/>
      <c r="FK135" s="11"/>
      <c r="FL135" s="11"/>
      <c r="FM135" s="11"/>
      <c r="FN135" s="11"/>
      <c r="FO135" s="11"/>
      <c r="FP135" s="11"/>
      <c r="FQ135" s="11"/>
      <c r="FR135" s="11"/>
      <c r="FS135" s="11"/>
      <c r="FT135" s="11"/>
      <c r="FU135" s="11"/>
      <c r="FV135" s="11"/>
      <c r="FW135" s="11"/>
      <c r="FX135" s="11"/>
      <c r="FY135" s="11"/>
      <c r="FZ135" s="11"/>
      <c r="GA135" s="11"/>
      <c r="GB135" s="11"/>
      <c r="GC135" s="11"/>
      <c r="GD135" s="11"/>
      <c r="GE135" s="11"/>
      <c r="GF135" s="11"/>
      <c r="GG135" s="11"/>
      <c r="GH135" s="11"/>
      <c r="GI135" s="11"/>
      <c r="GJ135" s="11"/>
      <c r="GK135" s="11"/>
      <c r="GL135" s="11"/>
      <c r="GM135" s="11"/>
      <c r="GN135" s="11"/>
      <c r="GO135" s="11"/>
      <c r="GP135" s="11"/>
      <c r="GQ135" s="11"/>
      <c r="GR135" s="11"/>
      <c r="GS135" s="11"/>
      <c r="GT135" s="11"/>
      <c r="GU135" s="11"/>
      <c r="GV135" s="11"/>
      <c r="GW135" s="11"/>
      <c r="GX135" s="11"/>
      <c r="GY135" s="11"/>
      <c r="GZ135" s="11"/>
      <c r="HA135" s="11"/>
      <c r="HB135" s="11"/>
      <c r="HC135" s="11"/>
      <c r="HD135" s="11"/>
      <c r="HE135" s="11"/>
      <c r="HF135" s="11"/>
      <c r="HG135" s="11"/>
      <c r="HH135" s="11"/>
      <c r="HI135" s="11"/>
      <c r="HJ135" s="11"/>
      <c r="HK135" s="11"/>
      <c r="HL135" s="11"/>
      <c r="HM135" s="11"/>
      <c r="HN135" s="11"/>
      <c r="HO135" s="11"/>
      <c r="HP135" s="11"/>
      <c r="HQ135" s="11"/>
      <c r="HR135" s="11"/>
      <c r="HS135" s="11"/>
      <c r="HT135" s="11"/>
      <c r="HU135" s="11"/>
      <c r="HV135" s="11"/>
      <c r="HW135" s="11"/>
      <c r="HX135" s="11"/>
      <c r="HY135" s="11"/>
      <c r="HZ135" s="11"/>
      <c r="IA135" s="11"/>
      <c r="IB135" s="11"/>
      <c r="IC135" s="11"/>
      <c r="ID135" s="11"/>
      <c r="IE135" s="11"/>
      <c r="IF135" s="11"/>
      <c r="IG135" s="11"/>
      <c r="IH135" s="11"/>
      <c r="II135" s="11"/>
      <c r="IJ135" s="11"/>
      <c r="IK135" s="11"/>
      <c r="IL135" s="11"/>
      <c r="IM135" s="11"/>
      <c r="IN135" s="11"/>
      <c r="IO135" s="11"/>
      <c r="IP135" s="11"/>
      <c r="IQ135" s="11"/>
      <c r="IR135" s="11"/>
      <c r="IS135" s="11"/>
      <c r="IT135" s="11"/>
      <c r="IU135" s="11"/>
      <c r="IV135" s="11"/>
    </row>
    <row r="136" spans="1:256" customFormat="1" ht="30" customHeight="1">
      <c r="A136" s="139">
        <v>41122</v>
      </c>
      <c r="B136" s="140">
        <v>562</v>
      </c>
      <c r="C136" s="140">
        <v>146106</v>
      </c>
      <c r="D136" s="140">
        <f t="shared" si="41"/>
        <v>2407.5</v>
      </c>
      <c r="E136" s="140">
        <f t="shared" si="42"/>
        <v>627350</v>
      </c>
      <c r="F136" s="140">
        <f t="shared" si="43"/>
        <v>27592.5</v>
      </c>
      <c r="G136" s="46"/>
      <c r="H136" s="141">
        <f t="shared" si="46"/>
        <v>25542</v>
      </c>
      <c r="I136" s="140">
        <v>0</v>
      </c>
      <c r="J136" s="140">
        <f t="shared" si="45"/>
        <v>210000</v>
      </c>
      <c r="K136" s="140">
        <f t="shared" si="44"/>
        <v>271244</v>
      </c>
      <c r="L136" s="140">
        <f t="shared" si="40"/>
        <v>417350</v>
      </c>
      <c r="M136" s="171"/>
      <c r="N136" s="11"/>
      <c r="O136" s="11"/>
      <c r="P136" s="11"/>
      <c r="Q136" s="11"/>
      <c r="R136" s="11"/>
      <c r="S136" s="11"/>
      <c r="T136" s="11"/>
      <c r="U136" s="11"/>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B136" s="11"/>
      <c r="DC136" s="11"/>
      <c r="DD136" s="11"/>
      <c r="DE136" s="11"/>
      <c r="DF136" s="11"/>
      <c r="DG136" s="11"/>
      <c r="DH136" s="11"/>
      <c r="DI136" s="11"/>
      <c r="DJ136" s="11"/>
      <c r="DK136" s="11"/>
      <c r="DL136" s="11"/>
      <c r="DM136" s="11"/>
      <c r="DN136" s="11"/>
      <c r="DO136" s="11"/>
      <c r="DP136" s="11"/>
      <c r="DQ136" s="11"/>
      <c r="DR136" s="11"/>
      <c r="DS136" s="11"/>
      <c r="DT136" s="11"/>
      <c r="DU136" s="11"/>
      <c r="DV136" s="11"/>
      <c r="DW136" s="11"/>
      <c r="DX136" s="11"/>
      <c r="DY136" s="11"/>
      <c r="DZ136" s="11"/>
      <c r="EA136" s="11"/>
      <c r="EB136" s="11"/>
      <c r="EC136" s="11"/>
      <c r="ED136" s="11"/>
      <c r="EE136" s="11"/>
      <c r="EF136" s="11"/>
      <c r="EG136" s="11"/>
      <c r="EH136" s="11"/>
      <c r="EI136" s="11"/>
      <c r="EJ136" s="11"/>
      <c r="EK136" s="11"/>
      <c r="EL136" s="11"/>
      <c r="EM136" s="11"/>
      <c r="EN136" s="11"/>
      <c r="EO136" s="11"/>
      <c r="EP136" s="11"/>
      <c r="EQ136" s="11"/>
      <c r="ER136" s="11"/>
      <c r="ES136" s="11"/>
      <c r="ET136" s="11"/>
      <c r="EU136" s="11"/>
      <c r="EV136" s="11"/>
      <c r="EW136" s="11"/>
      <c r="EX136" s="11"/>
      <c r="EY136" s="11"/>
      <c r="EZ136" s="11"/>
      <c r="FA136" s="11"/>
      <c r="FB136" s="11"/>
      <c r="FC136" s="11"/>
      <c r="FD136" s="11"/>
      <c r="FE136" s="11"/>
      <c r="FF136" s="11"/>
      <c r="FG136" s="11"/>
      <c r="FH136" s="11"/>
      <c r="FI136" s="11"/>
      <c r="FJ136" s="11"/>
      <c r="FK136" s="11"/>
      <c r="FL136" s="11"/>
      <c r="FM136" s="11"/>
      <c r="FN136" s="11"/>
      <c r="FO136" s="11"/>
      <c r="FP136" s="11"/>
      <c r="FQ136" s="11"/>
      <c r="FR136" s="11"/>
      <c r="FS136" s="11"/>
      <c r="FT136" s="11"/>
      <c r="FU136" s="11"/>
      <c r="FV136" s="11"/>
      <c r="FW136" s="11"/>
      <c r="FX136" s="11"/>
      <c r="FY136" s="11"/>
      <c r="FZ136" s="11"/>
      <c r="GA136" s="11"/>
      <c r="GB136" s="11"/>
      <c r="GC136" s="11"/>
      <c r="GD136" s="11"/>
      <c r="GE136" s="11"/>
      <c r="GF136" s="11"/>
      <c r="GG136" s="11"/>
      <c r="GH136" s="11"/>
      <c r="GI136" s="11"/>
      <c r="GJ136" s="11"/>
      <c r="GK136" s="11"/>
      <c r="GL136" s="11"/>
      <c r="GM136" s="11"/>
      <c r="GN136" s="11"/>
      <c r="GO136" s="11"/>
      <c r="GP136" s="11"/>
      <c r="GQ136" s="11"/>
      <c r="GR136" s="11"/>
      <c r="GS136" s="11"/>
      <c r="GT136" s="11"/>
      <c r="GU136" s="11"/>
      <c r="GV136" s="11"/>
      <c r="GW136" s="11"/>
      <c r="GX136" s="11"/>
      <c r="GY136" s="11"/>
      <c r="GZ136" s="11"/>
      <c r="HA136" s="11"/>
      <c r="HB136" s="11"/>
      <c r="HC136" s="11"/>
      <c r="HD136" s="11"/>
      <c r="HE136" s="11"/>
      <c r="HF136" s="11"/>
      <c r="HG136" s="11"/>
      <c r="HH136" s="11"/>
      <c r="HI136" s="11"/>
      <c r="HJ136" s="11"/>
      <c r="HK136" s="11"/>
      <c r="HL136" s="11"/>
      <c r="HM136" s="11"/>
      <c r="HN136" s="11"/>
      <c r="HO136" s="11"/>
      <c r="HP136" s="11"/>
      <c r="HQ136" s="11"/>
      <c r="HR136" s="11"/>
      <c r="HS136" s="11"/>
      <c r="HT136" s="11"/>
      <c r="HU136" s="11"/>
      <c r="HV136" s="11"/>
      <c r="HW136" s="11"/>
      <c r="HX136" s="11"/>
      <c r="HY136" s="11"/>
      <c r="HZ136" s="11"/>
      <c r="IA136" s="11"/>
      <c r="IB136" s="11"/>
      <c r="IC136" s="11"/>
      <c r="ID136" s="11"/>
      <c r="IE136" s="11"/>
      <c r="IF136" s="11"/>
      <c r="IG136" s="11"/>
      <c r="IH136" s="11"/>
      <c r="II136" s="11"/>
      <c r="IJ136" s="11"/>
      <c r="IK136" s="11"/>
      <c r="IL136" s="11"/>
      <c r="IM136" s="11"/>
      <c r="IN136" s="11"/>
      <c r="IO136" s="11"/>
      <c r="IP136" s="11"/>
      <c r="IQ136" s="11"/>
      <c r="IR136" s="11"/>
      <c r="IS136" s="11"/>
      <c r="IT136" s="11"/>
      <c r="IU136" s="11"/>
      <c r="IV136" s="11"/>
    </row>
    <row r="137" spans="1:256" customFormat="1" ht="30" customHeight="1">
      <c r="A137" s="139">
        <v>41153</v>
      </c>
      <c r="B137" s="140">
        <v>78.5</v>
      </c>
      <c r="C137" s="140">
        <v>20403</v>
      </c>
      <c r="D137" s="140">
        <f t="shared" si="41"/>
        <v>2486</v>
      </c>
      <c r="E137" s="140">
        <f t="shared" si="42"/>
        <v>647753</v>
      </c>
      <c r="F137" s="140">
        <f t="shared" si="43"/>
        <v>27514</v>
      </c>
      <c r="G137" s="46"/>
      <c r="H137" s="141">
        <f t="shared" si="46"/>
        <v>146106</v>
      </c>
      <c r="I137" s="140">
        <v>0</v>
      </c>
      <c r="J137" s="140">
        <f t="shared" si="45"/>
        <v>210000</v>
      </c>
      <c r="K137" s="140">
        <f t="shared" si="44"/>
        <v>417350</v>
      </c>
      <c r="L137" s="140">
        <f t="shared" si="40"/>
        <v>437753</v>
      </c>
      <c r="M137" s="171" t="s">
        <v>4932</v>
      </c>
      <c r="N137" s="11"/>
      <c r="O137" s="11"/>
      <c r="P137" s="11"/>
      <c r="Q137" s="11"/>
      <c r="R137" s="11"/>
      <c r="S137" s="11"/>
      <c r="T137" s="11"/>
      <c r="U137" s="11"/>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B137" s="11"/>
      <c r="DC137" s="11"/>
      <c r="DD137" s="11"/>
      <c r="DE137" s="11"/>
      <c r="DF137" s="11"/>
      <c r="DG137" s="11"/>
      <c r="DH137" s="11"/>
      <c r="DI137" s="11"/>
      <c r="DJ137" s="11"/>
      <c r="DK137" s="11"/>
      <c r="DL137" s="11"/>
      <c r="DM137" s="11"/>
      <c r="DN137" s="11"/>
      <c r="DO137" s="11"/>
      <c r="DP137" s="11"/>
      <c r="DQ137" s="11"/>
      <c r="DR137" s="11"/>
      <c r="DS137" s="11"/>
      <c r="DT137" s="11"/>
      <c r="DU137" s="11"/>
      <c r="DV137" s="11"/>
      <c r="DW137" s="11"/>
      <c r="DX137" s="11"/>
      <c r="DY137" s="11"/>
      <c r="DZ137" s="11"/>
      <c r="EA137" s="11"/>
      <c r="EB137" s="11"/>
      <c r="EC137" s="11"/>
      <c r="ED137" s="11"/>
      <c r="EE137" s="11"/>
      <c r="EF137" s="11"/>
      <c r="EG137" s="11"/>
      <c r="EH137" s="11"/>
      <c r="EI137" s="11"/>
      <c r="EJ137" s="11"/>
      <c r="EK137" s="11"/>
      <c r="EL137" s="11"/>
      <c r="EM137" s="11"/>
      <c r="EN137" s="11"/>
      <c r="EO137" s="11"/>
      <c r="EP137" s="11"/>
      <c r="EQ137" s="11"/>
      <c r="ER137" s="11"/>
      <c r="ES137" s="11"/>
      <c r="ET137" s="11"/>
      <c r="EU137" s="11"/>
      <c r="EV137" s="11"/>
      <c r="EW137" s="11"/>
      <c r="EX137" s="11"/>
      <c r="EY137" s="11"/>
      <c r="EZ137" s="11"/>
      <c r="FA137" s="11"/>
      <c r="FB137" s="11"/>
      <c r="FC137" s="11"/>
      <c r="FD137" s="11"/>
      <c r="FE137" s="11"/>
      <c r="FF137" s="11"/>
      <c r="FG137" s="11"/>
      <c r="FH137" s="11"/>
      <c r="FI137" s="11"/>
      <c r="FJ137" s="11"/>
      <c r="FK137" s="11"/>
      <c r="FL137" s="11"/>
      <c r="FM137" s="11"/>
      <c r="FN137" s="11"/>
      <c r="FO137" s="11"/>
      <c r="FP137" s="11"/>
      <c r="FQ137" s="11"/>
      <c r="FR137" s="11"/>
      <c r="FS137" s="11"/>
      <c r="FT137" s="11"/>
      <c r="FU137" s="11"/>
      <c r="FV137" s="11"/>
      <c r="FW137" s="11"/>
      <c r="FX137" s="11"/>
      <c r="FY137" s="11"/>
      <c r="FZ137" s="11"/>
      <c r="GA137" s="11"/>
      <c r="GB137" s="11"/>
      <c r="GC137" s="11"/>
      <c r="GD137" s="11"/>
      <c r="GE137" s="11"/>
      <c r="GF137" s="11"/>
      <c r="GG137" s="11"/>
      <c r="GH137" s="11"/>
      <c r="GI137" s="11"/>
      <c r="GJ137" s="11"/>
      <c r="GK137" s="11"/>
      <c r="GL137" s="11"/>
      <c r="GM137" s="11"/>
      <c r="GN137" s="11"/>
      <c r="GO137" s="11"/>
      <c r="GP137" s="11"/>
      <c r="GQ137" s="11"/>
      <c r="GR137" s="11"/>
      <c r="GS137" s="11"/>
      <c r="GT137" s="11"/>
      <c r="GU137" s="11"/>
      <c r="GV137" s="11"/>
      <c r="GW137" s="11"/>
      <c r="GX137" s="11"/>
      <c r="GY137" s="11"/>
      <c r="GZ137" s="11"/>
      <c r="HA137" s="11"/>
      <c r="HB137" s="11"/>
      <c r="HC137" s="11"/>
      <c r="HD137" s="11"/>
      <c r="HE137" s="11"/>
      <c r="HF137" s="11"/>
      <c r="HG137" s="11"/>
      <c r="HH137" s="11"/>
      <c r="HI137" s="11"/>
      <c r="HJ137" s="11"/>
      <c r="HK137" s="11"/>
      <c r="HL137" s="11"/>
      <c r="HM137" s="11"/>
      <c r="HN137" s="11"/>
      <c r="HO137" s="11"/>
      <c r="HP137" s="11"/>
      <c r="HQ137" s="11"/>
      <c r="HR137" s="11"/>
      <c r="HS137" s="11"/>
      <c r="HT137" s="11"/>
      <c r="HU137" s="11"/>
      <c r="HV137" s="11"/>
      <c r="HW137" s="11"/>
      <c r="HX137" s="11"/>
      <c r="HY137" s="11"/>
      <c r="HZ137" s="11"/>
      <c r="IA137" s="11"/>
      <c r="IB137" s="11"/>
      <c r="IC137" s="11"/>
      <c r="ID137" s="11"/>
      <c r="IE137" s="11"/>
      <c r="IF137" s="11"/>
      <c r="IG137" s="11"/>
      <c r="IH137" s="11"/>
      <c r="II137" s="11"/>
      <c r="IJ137" s="11"/>
      <c r="IK137" s="11"/>
      <c r="IL137" s="11"/>
      <c r="IM137" s="11"/>
      <c r="IN137" s="11"/>
      <c r="IO137" s="11"/>
      <c r="IP137" s="11"/>
      <c r="IQ137" s="11"/>
      <c r="IR137" s="11"/>
      <c r="IS137" s="11"/>
      <c r="IT137" s="11"/>
      <c r="IU137" s="11"/>
      <c r="IV137" s="11"/>
    </row>
    <row r="138" spans="1:256" customFormat="1" ht="30" customHeight="1">
      <c r="A138" s="139">
        <v>41183</v>
      </c>
      <c r="B138" s="140">
        <v>0</v>
      </c>
      <c r="C138" s="140">
        <v>0</v>
      </c>
      <c r="D138" s="140">
        <f t="shared" si="41"/>
        <v>2486</v>
      </c>
      <c r="E138" s="140">
        <f t="shared" si="42"/>
        <v>647753</v>
      </c>
      <c r="F138" s="140">
        <f t="shared" si="43"/>
        <v>27514</v>
      </c>
      <c r="G138" s="46"/>
      <c r="H138" s="141">
        <f t="shared" si="46"/>
        <v>20403</v>
      </c>
      <c r="I138" s="140">
        <v>80000</v>
      </c>
      <c r="J138" s="140">
        <f t="shared" si="45"/>
        <v>290000</v>
      </c>
      <c r="K138" s="140">
        <f t="shared" si="44"/>
        <v>357753</v>
      </c>
      <c r="L138" s="140">
        <f t="shared" si="40"/>
        <v>357753</v>
      </c>
      <c r="M138" s="171"/>
      <c r="N138" s="11"/>
      <c r="O138" s="11"/>
      <c r="P138" s="11"/>
      <c r="Q138" s="11"/>
      <c r="R138" s="11"/>
      <c r="S138" s="11"/>
      <c r="T138" s="11"/>
      <c r="U138" s="11"/>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B138" s="11"/>
      <c r="DC138" s="11"/>
      <c r="DD138" s="11"/>
      <c r="DE138" s="11"/>
      <c r="DF138" s="11"/>
      <c r="DG138" s="11"/>
      <c r="DH138" s="11"/>
      <c r="DI138" s="11"/>
      <c r="DJ138" s="11"/>
      <c r="DK138" s="11"/>
      <c r="DL138" s="11"/>
      <c r="DM138" s="11"/>
      <c r="DN138" s="11"/>
      <c r="DO138" s="11"/>
      <c r="DP138" s="11"/>
      <c r="DQ138" s="11"/>
      <c r="DR138" s="11"/>
      <c r="DS138" s="11"/>
      <c r="DT138" s="11"/>
      <c r="DU138" s="11"/>
      <c r="DV138" s="11"/>
      <c r="DW138" s="11"/>
      <c r="DX138" s="11"/>
      <c r="DY138" s="11"/>
      <c r="DZ138" s="11"/>
      <c r="EA138" s="11"/>
      <c r="EB138" s="11"/>
      <c r="EC138" s="11"/>
      <c r="ED138" s="11"/>
      <c r="EE138" s="11"/>
      <c r="EF138" s="11"/>
      <c r="EG138" s="11"/>
      <c r="EH138" s="11"/>
      <c r="EI138" s="11"/>
      <c r="EJ138" s="11"/>
      <c r="EK138" s="11"/>
      <c r="EL138" s="11"/>
      <c r="EM138" s="11"/>
      <c r="EN138" s="11"/>
      <c r="EO138" s="11"/>
      <c r="EP138" s="11"/>
      <c r="EQ138" s="11"/>
      <c r="ER138" s="11"/>
      <c r="ES138" s="11"/>
      <c r="ET138" s="11"/>
      <c r="EU138" s="11"/>
      <c r="EV138" s="11"/>
      <c r="EW138" s="11"/>
      <c r="EX138" s="11"/>
      <c r="EY138" s="11"/>
      <c r="EZ138" s="11"/>
      <c r="FA138" s="11"/>
      <c r="FB138" s="11"/>
      <c r="FC138" s="11"/>
      <c r="FD138" s="11"/>
      <c r="FE138" s="11"/>
      <c r="FF138" s="11"/>
      <c r="FG138" s="11"/>
      <c r="FH138" s="11"/>
      <c r="FI138" s="11"/>
      <c r="FJ138" s="11"/>
      <c r="FK138" s="11"/>
      <c r="FL138" s="11"/>
      <c r="FM138" s="11"/>
      <c r="FN138" s="11"/>
      <c r="FO138" s="11"/>
      <c r="FP138" s="11"/>
      <c r="FQ138" s="11"/>
      <c r="FR138" s="11"/>
      <c r="FS138" s="11"/>
      <c r="FT138" s="11"/>
      <c r="FU138" s="11"/>
      <c r="FV138" s="11"/>
      <c r="FW138" s="11"/>
      <c r="FX138" s="11"/>
      <c r="FY138" s="11"/>
      <c r="FZ138" s="11"/>
      <c r="GA138" s="11"/>
      <c r="GB138" s="11"/>
      <c r="GC138" s="11"/>
      <c r="GD138" s="11"/>
      <c r="GE138" s="11"/>
      <c r="GF138" s="11"/>
      <c r="GG138" s="11"/>
      <c r="GH138" s="11"/>
      <c r="GI138" s="11"/>
      <c r="GJ138" s="11"/>
      <c r="GK138" s="11"/>
      <c r="GL138" s="11"/>
      <c r="GM138" s="11"/>
      <c r="GN138" s="11"/>
      <c r="GO138" s="11"/>
      <c r="GP138" s="11"/>
      <c r="GQ138" s="11"/>
      <c r="GR138" s="11"/>
      <c r="GS138" s="11"/>
      <c r="GT138" s="11"/>
      <c r="GU138" s="11"/>
      <c r="GV138" s="11"/>
      <c r="GW138" s="11"/>
      <c r="GX138" s="11"/>
      <c r="GY138" s="11"/>
      <c r="GZ138" s="11"/>
      <c r="HA138" s="11"/>
      <c r="HB138" s="11"/>
      <c r="HC138" s="11"/>
      <c r="HD138" s="11"/>
      <c r="HE138" s="11"/>
      <c r="HF138" s="11"/>
      <c r="HG138" s="11"/>
      <c r="HH138" s="11"/>
      <c r="HI138" s="11"/>
      <c r="HJ138" s="11"/>
      <c r="HK138" s="11"/>
      <c r="HL138" s="11"/>
      <c r="HM138" s="11"/>
      <c r="HN138" s="11"/>
      <c r="HO138" s="11"/>
      <c r="HP138" s="11"/>
      <c r="HQ138" s="11"/>
      <c r="HR138" s="11"/>
      <c r="HS138" s="11"/>
      <c r="HT138" s="11"/>
      <c r="HU138" s="11"/>
      <c r="HV138" s="11"/>
      <c r="HW138" s="11"/>
      <c r="HX138" s="11"/>
      <c r="HY138" s="11"/>
      <c r="HZ138" s="11"/>
      <c r="IA138" s="11"/>
      <c r="IB138" s="11"/>
      <c r="IC138" s="11"/>
      <c r="ID138" s="11"/>
      <c r="IE138" s="11"/>
      <c r="IF138" s="11"/>
      <c r="IG138" s="11"/>
      <c r="IH138" s="11"/>
      <c r="II138" s="11"/>
      <c r="IJ138" s="11"/>
      <c r="IK138" s="11"/>
      <c r="IL138" s="11"/>
      <c r="IM138" s="11"/>
      <c r="IN138" s="11"/>
      <c r="IO138" s="11"/>
      <c r="IP138" s="11"/>
      <c r="IQ138" s="11"/>
      <c r="IR138" s="11"/>
      <c r="IS138" s="11"/>
      <c r="IT138" s="11"/>
      <c r="IU138" s="11"/>
      <c r="IV138" s="11"/>
    </row>
    <row r="139" spans="1:256" customFormat="1" ht="30" customHeight="1">
      <c r="A139" s="139">
        <v>41214</v>
      </c>
      <c r="B139" s="140">
        <v>0</v>
      </c>
      <c r="C139" s="140">
        <v>0</v>
      </c>
      <c r="D139" s="140">
        <f t="shared" si="41"/>
        <v>2486</v>
      </c>
      <c r="E139" s="140">
        <f t="shared" si="42"/>
        <v>647753</v>
      </c>
      <c r="F139" s="140">
        <f t="shared" si="43"/>
        <v>27514</v>
      </c>
      <c r="G139" s="46"/>
      <c r="H139" s="141">
        <f t="shared" si="46"/>
        <v>0</v>
      </c>
      <c r="I139" s="140">
        <v>0</v>
      </c>
      <c r="J139" s="140">
        <f t="shared" si="45"/>
        <v>290000</v>
      </c>
      <c r="K139" s="140">
        <f t="shared" si="44"/>
        <v>357753</v>
      </c>
      <c r="L139" s="140">
        <f t="shared" si="40"/>
        <v>357753</v>
      </c>
      <c r="M139" s="171" t="s">
        <v>4933</v>
      </c>
      <c r="N139" s="11"/>
      <c r="O139" s="11"/>
      <c r="P139" s="11"/>
      <c r="Q139" s="11"/>
      <c r="R139" s="11"/>
      <c r="S139" s="11"/>
      <c r="T139" s="11"/>
      <c r="U139" s="11"/>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B139" s="11"/>
      <c r="DC139" s="11"/>
      <c r="DD139" s="11"/>
      <c r="DE139" s="11"/>
      <c r="DF139" s="11"/>
      <c r="DG139" s="11"/>
      <c r="DH139" s="11"/>
      <c r="DI139" s="11"/>
      <c r="DJ139" s="11"/>
      <c r="DK139" s="11"/>
      <c r="DL139" s="11"/>
      <c r="DM139" s="11"/>
      <c r="DN139" s="11"/>
      <c r="DO139" s="11"/>
      <c r="DP139" s="11"/>
      <c r="DQ139" s="11"/>
      <c r="DR139" s="11"/>
      <c r="DS139" s="11"/>
      <c r="DT139" s="11"/>
      <c r="DU139" s="11"/>
      <c r="DV139" s="11"/>
      <c r="DW139" s="11"/>
      <c r="DX139" s="11"/>
      <c r="DY139" s="11"/>
      <c r="DZ139" s="11"/>
      <c r="EA139" s="11"/>
      <c r="EB139" s="11"/>
      <c r="EC139" s="11"/>
      <c r="ED139" s="11"/>
      <c r="EE139" s="11"/>
      <c r="EF139" s="11"/>
      <c r="EG139" s="11"/>
      <c r="EH139" s="11"/>
      <c r="EI139" s="11"/>
      <c r="EJ139" s="11"/>
      <c r="EK139" s="11"/>
      <c r="EL139" s="11"/>
      <c r="EM139" s="11"/>
      <c r="EN139" s="11"/>
      <c r="EO139" s="11"/>
      <c r="EP139" s="11"/>
      <c r="EQ139" s="11"/>
      <c r="ER139" s="11"/>
      <c r="ES139" s="11"/>
      <c r="ET139" s="11"/>
      <c r="EU139" s="11"/>
      <c r="EV139" s="11"/>
      <c r="EW139" s="11"/>
      <c r="EX139" s="11"/>
      <c r="EY139" s="11"/>
      <c r="EZ139" s="11"/>
      <c r="FA139" s="11"/>
      <c r="FB139" s="11"/>
      <c r="FC139" s="11"/>
      <c r="FD139" s="11"/>
      <c r="FE139" s="11"/>
      <c r="FF139" s="11"/>
      <c r="FG139" s="11"/>
      <c r="FH139" s="11"/>
      <c r="FI139" s="11"/>
      <c r="FJ139" s="11"/>
      <c r="FK139" s="11"/>
      <c r="FL139" s="11"/>
      <c r="FM139" s="11"/>
      <c r="FN139" s="11"/>
      <c r="FO139" s="11"/>
      <c r="FP139" s="11"/>
      <c r="FQ139" s="11"/>
      <c r="FR139" s="11"/>
      <c r="FS139" s="11"/>
      <c r="FT139" s="11"/>
      <c r="FU139" s="11"/>
      <c r="FV139" s="11"/>
      <c r="FW139" s="11"/>
      <c r="FX139" s="11"/>
      <c r="FY139" s="11"/>
      <c r="FZ139" s="11"/>
      <c r="GA139" s="11"/>
      <c r="GB139" s="11"/>
      <c r="GC139" s="11"/>
      <c r="GD139" s="11"/>
      <c r="GE139" s="11"/>
      <c r="GF139" s="11"/>
      <c r="GG139" s="11"/>
      <c r="GH139" s="11"/>
      <c r="GI139" s="11"/>
      <c r="GJ139" s="11"/>
      <c r="GK139" s="11"/>
      <c r="GL139" s="11"/>
      <c r="GM139" s="11"/>
      <c r="GN139" s="11"/>
      <c r="GO139" s="11"/>
      <c r="GP139" s="11"/>
      <c r="GQ139" s="11"/>
      <c r="GR139" s="11"/>
      <c r="GS139" s="11"/>
      <c r="GT139" s="11"/>
      <c r="GU139" s="11"/>
      <c r="GV139" s="11"/>
      <c r="GW139" s="11"/>
      <c r="GX139" s="11"/>
      <c r="GY139" s="11"/>
      <c r="GZ139" s="11"/>
      <c r="HA139" s="11"/>
      <c r="HB139" s="11"/>
      <c r="HC139" s="11"/>
      <c r="HD139" s="11"/>
      <c r="HE139" s="11"/>
      <c r="HF139" s="11"/>
      <c r="HG139" s="11"/>
      <c r="HH139" s="11"/>
      <c r="HI139" s="11"/>
      <c r="HJ139" s="11"/>
      <c r="HK139" s="11"/>
      <c r="HL139" s="11"/>
      <c r="HM139" s="11"/>
      <c r="HN139" s="11"/>
      <c r="HO139" s="11"/>
      <c r="HP139" s="11"/>
      <c r="HQ139" s="11"/>
      <c r="HR139" s="11"/>
      <c r="HS139" s="11"/>
      <c r="HT139" s="11"/>
      <c r="HU139" s="11"/>
      <c r="HV139" s="11"/>
      <c r="HW139" s="11"/>
      <c r="HX139" s="11"/>
      <c r="HY139" s="11"/>
      <c r="HZ139" s="11"/>
      <c r="IA139" s="11"/>
      <c r="IB139" s="11"/>
      <c r="IC139" s="11"/>
      <c r="ID139" s="11"/>
      <c r="IE139" s="11"/>
      <c r="IF139" s="11"/>
      <c r="IG139" s="11"/>
      <c r="IH139" s="11"/>
      <c r="II139" s="11"/>
      <c r="IJ139" s="11"/>
      <c r="IK139" s="11"/>
      <c r="IL139" s="11"/>
      <c r="IM139" s="11"/>
      <c r="IN139" s="11"/>
      <c r="IO139" s="11"/>
      <c r="IP139" s="11"/>
      <c r="IQ139" s="11"/>
      <c r="IR139" s="11"/>
      <c r="IS139" s="11"/>
      <c r="IT139" s="11"/>
      <c r="IU139" s="11"/>
      <c r="IV139" s="11"/>
    </row>
    <row r="140" spans="1:256" customFormat="1" ht="30" customHeight="1">
      <c r="A140" s="139">
        <v>41244</v>
      </c>
      <c r="B140" s="140">
        <v>0</v>
      </c>
      <c r="C140" s="140">
        <v>0</v>
      </c>
      <c r="D140" s="140">
        <f t="shared" si="41"/>
        <v>2486</v>
      </c>
      <c r="E140" s="140">
        <f t="shared" si="42"/>
        <v>647753</v>
      </c>
      <c r="F140" s="140">
        <f t="shared" si="43"/>
        <v>27514</v>
      </c>
      <c r="G140" s="46"/>
      <c r="H140" s="141">
        <f t="shared" si="46"/>
        <v>0</v>
      </c>
      <c r="I140" s="140">
        <v>100000</v>
      </c>
      <c r="J140" s="140">
        <f t="shared" si="45"/>
        <v>390000</v>
      </c>
      <c r="K140" s="140">
        <f t="shared" si="44"/>
        <v>257753</v>
      </c>
      <c r="L140" s="140">
        <f t="shared" si="40"/>
        <v>257753</v>
      </c>
      <c r="M140" s="171"/>
      <c r="N140" s="11"/>
      <c r="O140" s="11"/>
      <c r="P140" s="11"/>
      <c r="Q140" s="11"/>
      <c r="R140" s="11"/>
      <c r="S140" s="11"/>
      <c r="T140" s="11"/>
      <c r="U140" s="11"/>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B140" s="11"/>
      <c r="DC140" s="11"/>
      <c r="DD140" s="11"/>
      <c r="DE140" s="11"/>
      <c r="DF140" s="11"/>
      <c r="DG140" s="11"/>
      <c r="DH140" s="11"/>
      <c r="DI140" s="11"/>
      <c r="DJ140" s="11"/>
      <c r="DK140" s="11"/>
      <c r="DL140" s="11"/>
      <c r="DM140" s="11"/>
      <c r="DN140" s="11"/>
      <c r="DO140" s="11"/>
      <c r="DP140" s="11"/>
      <c r="DQ140" s="11"/>
      <c r="DR140" s="11"/>
      <c r="DS140" s="11"/>
      <c r="DT140" s="11"/>
      <c r="DU140" s="11"/>
      <c r="DV140" s="11"/>
      <c r="DW140" s="11"/>
      <c r="DX140" s="11"/>
      <c r="DY140" s="11"/>
      <c r="DZ140" s="11"/>
      <c r="EA140" s="11"/>
      <c r="EB140" s="11"/>
      <c r="EC140" s="11"/>
      <c r="ED140" s="11"/>
      <c r="EE140" s="11"/>
      <c r="EF140" s="11"/>
      <c r="EG140" s="11"/>
      <c r="EH140" s="11"/>
      <c r="EI140" s="11"/>
      <c r="EJ140" s="11"/>
      <c r="EK140" s="11"/>
      <c r="EL140" s="11"/>
      <c r="EM140" s="11"/>
      <c r="EN140" s="11"/>
      <c r="EO140" s="11"/>
      <c r="EP140" s="11"/>
      <c r="EQ140" s="11"/>
      <c r="ER140" s="11"/>
      <c r="ES140" s="11"/>
      <c r="ET140" s="11"/>
      <c r="EU140" s="11"/>
      <c r="EV140" s="11"/>
      <c r="EW140" s="11"/>
      <c r="EX140" s="11"/>
      <c r="EY140" s="11"/>
      <c r="EZ140" s="11"/>
      <c r="FA140" s="11"/>
      <c r="FB140" s="11"/>
      <c r="FC140" s="11"/>
      <c r="FD140" s="11"/>
      <c r="FE140" s="11"/>
      <c r="FF140" s="11"/>
      <c r="FG140" s="11"/>
      <c r="FH140" s="11"/>
      <c r="FI140" s="11"/>
      <c r="FJ140" s="11"/>
      <c r="FK140" s="11"/>
      <c r="FL140" s="11"/>
      <c r="FM140" s="11"/>
      <c r="FN140" s="11"/>
      <c r="FO140" s="11"/>
      <c r="FP140" s="11"/>
      <c r="FQ140" s="11"/>
      <c r="FR140" s="11"/>
      <c r="FS140" s="11"/>
      <c r="FT140" s="11"/>
      <c r="FU140" s="11"/>
      <c r="FV140" s="11"/>
      <c r="FW140" s="11"/>
      <c r="FX140" s="11"/>
      <c r="FY140" s="11"/>
      <c r="FZ140" s="11"/>
      <c r="GA140" s="11"/>
      <c r="GB140" s="11"/>
      <c r="GC140" s="11"/>
      <c r="GD140" s="11"/>
      <c r="GE140" s="11"/>
      <c r="GF140" s="11"/>
      <c r="GG140" s="11"/>
      <c r="GH140" s="11"/>
      <c r="GI140" s="11"/>
      <c r="GJ140" s="11"/>
      <c r="GK140" s="11"/>
      <c r="GL140" s="11"/>
      <c r="GM140" s="11"/>
      <c r="GN140" s="11"/>
      <c r="GO140" s="11"/>
      <c r="GP140" s="11"/>
      <c r="GQ140" s="11"/>
      <c r="GR140" s="11"/>
      <c r="GS140" s="11"/>
      <c r="GT140" s="11"/>
      <c r="GU140" s="11"/>
      <c r="GV140" s="11"/>
      <c r="GW140" s="11"/>
      <c r="GX140" s="11"/>
      <c r="GY140" s="11"/>
      <c r="GZ140" s="11"/>
      <c r="HA140" s="11"/>
      <c r="HB140" s="11"/>
      <c r="HC140" s="11"/>
      <c r="HD140" s="11"/>
      <c r="HE140" s="11"/>
      <c r="HF140" s="11"/>
      <c r="HG140" s="11"/>
      <c r="HH140" s="11"/>
      <c r="HI140" s="11"/>
      <c r="HJ140" s="11"/>
      <c r="HK140" s="11"/>
      <c r="HL140" s="11"/>
      <c r="HM140" s="11"/>
      <c r="HN140" s="11"/>
      <c r="HO140" s="11"/>
      <c r="HP140" s="11"/>
      <c r="HQ140" s="11"/>
      <c r="HR140" s="11"/>
      <c r="HS140" s="11"/>
      <c r="HT140" s="11"/>
      <c r="HU140" s="11"/>
      <c r="HV140" s="11"/>
      <c r="HW140" s="11"/>
      <c r="HX140" s="11"/>
      <c r="HY140" s="11"/>
      <c r="HZ140" s="11"/>
      <c r="IA140" s="11"/>
      <c r="IB140" s="11"/>
      <c r="IC140" s="11"/>
      <c r="ID140" s="11"/>
      <c r="IE140" s="11"/>
      <c r="IF140" s="11"/>
      <c r="IG140" s="11"/>
      <c r="IH140" s="11"/>
      <c r="II140" s="11"/>
      <c r="IJ140" s="11"/>
      <c r="IK140" s="11"/>
      <c r="IL140" s="11"/>
      <c r="IM140" s="11"/>
      <c r="IN140" s="11"/>
      <c r="IO140" s="11"/>
      <c r="IP140" s="11"/>
      <c r="IQ140" s="11"/>
      <c r="IR140" s="11"/>
      <c r="IS140" s="11"/>
      <c r="IT140" s="11"/>
      <c r="IU140" s="11"/>
      <c r="IV140" s="11"/>
    </row>
    <row r="141" spans="1:256" customFormat="1" ht="30" customHeight="1">
      <c r="A141" s="139">
        <v>41275</v>
      </c>
      <c r="B141" s="140">
        <v>0</v>
      </c>
      <c r="C141" s="140">
        <v>0</v>
      </c>
      <c r="D141" s="140">
        <f t="shared" si="41"/>
        <v>2486</v>
      </c>
      <c r="E141" s="140">
        <f t="shared" si="42"/>
        <v>647753</v>
      </c>
      <c r="F141" s="140">
        <f t="shared" si="43"/>
        <v>27514</v>
      </c>
      <c r="G141" s="46"/>
      <c r="H141" s="141">
        <f t="shared" si="46"/>
        <v>0</v>
      </c>
      <c r="I141" s="140">
        <v>0</v>
      </c>
      <c r="J141" s="140">
        <f t="shared" si="45"/>
        <v>390000</v>
      </c>
      <c r="K141" s="140">
        <f t="shared" si="44"/>
        <v>257753</v>
      </c>
      <c r="L141" s="140">
        <f t="shared" si="40"/>
        <v>257753</v>
      </c>
      <c r="M141" s="171" t="s">
        <v>4934</v>
      </c>
      <c r="N141" s="11"/>
      <c r="O141" s="11"/>
      <c r="P141" s="11"/>
      <c r="Q141" s="11"/>
      <c r="R141" s="11"/>
      <c r="S141" s="11"/>
      <c r="T141" s="11"/>
      <c r="U141" s="11"/>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B141" s="11"/>
      <c r="DC141" s="11"/>
      <c r="DD141" s="11"/>
      <c r="DE141" s="11"/>
      <c r="DF141" s="11"/>
      <c r="DG141" s="11"/>
      <c r="DH141" s="11"/>
      <c r="DI141" s="11"/>
      <c r="DJ141" s="11"/>
      <c r="DK141" s="11"/>
      <c r="DL141" s="11"/>
      <c r="DM141" s="11"/>
      <c r="DN141" s="11"/>
      <c r="DO141" s="11"/>
      <c r="DP141" s="11"/>
      <c r="DQ141" s="11"/>
      <c r="DR141" s="11"/>
      <c r="DS141" s="11"/>
      <c r="DT141" s="11"/>
      <c r="DU141" s="11"/>
      <c r="DV141" s="11"/>
      <c r="DW141" s="11"/>
      <c r="DX141" s="11"/>
      <c r="DY141" s="11"/>
      <c r="DZ141" s="11"/>
      <c r="EA141" s="11"/>
      <c r="EB141" s="11"/>
      <c r="EC141" s="11"/>
      <c r="ED141" s="11"/>
      <c r="EE141" s="11"/>
      <c r="EF141" s="11"/>
      <c r="EG141" s="11"/>
      <c r="EH141" s="11"/>
      <c r="EI141" s="11"/>
      <c r="EJ141" s="11"/>
      <c r="EK141" s="11"/>
      <c r="EL141" s="11"/>
      <c r="EM141" s="11"/>
      <c r="EN141" s="11"/>
      <c r="EO141" s="11"/>
      <c r="EP141" s="11"/>
      <c r="EQ141" s="11"/>
      <c r="ER141" s="11"/>
      <c r="ES141" s="11"/>
      <c r="ET141" s="11"/>
      <c r="EU141" s="11"/>
      <c r="EV141" s="11"/>
      <c r="EW141" s="11"/>
      <c r="EX141" s="11"/>
      <c r="EY141" s="11"/>
      <c r="EZ141" s="11"/>
      <c r="FA141" s="11"/>
      <c r="FB141" s="11"/>
      <c r="FC141" s="11"/>
      <c r="FD141" s="11"/>
      <c r="FE141" s="11"/>
      <c r="FF141" s="11"/>
      <c r="FG141" s="11"/>
      <c r="FH141" s="11"/>
      <c r="FI141" s="11"/>
      <c r="FJ141" s="11"/>
      <c r="FK141" s="11"/>
      <c r="FL141" s="11"/>
      <c r="FM141" s="11"/>
      <c r="FN141" s="11"/>
      <c r="FO141" s="11"/>
      <c r="FP141" s="11"/>
      <c r="FQ141" s="11"/>
      <c r="FR141" s="11"/>
      <c r="FS141" s="11"/>
      <c r="FT141" s="11"/>
      <c r="FU141" s="11"/>
      <c r="FV141" s="11"/>
      <c r="FW141" s="11"/>
      <c r="FX141" s="11"/>
      <c r="FY141" s="11"/>
      <c r="FZ141" s="11"/>
      <c r="GA141" s="11"/>
      <c r="GB141" s="11"/>
      <c r="GC141" s="11"/>
      <c r="GD141" s="11"/>
      <c r="GE141" s="11"/>
      <c r="GF141" s="11"/>
      <c r="GG141" s="11"/>
      <c r="GH141" s="11"/>
      <c r="GI141" s="11"/>
      <c r="GJ141" s="11"/>
      <c r="GK141" s="11"/>
      <c r="GL141" s="11"/>
      <c r="GM141" s="11"/>
      <c r="GN141" s="11"/>
      <c r="GO141" s="11"/>
      <c r="GP141" s="11"/>
      <c r="GQ141" s="11"/>
      <c r="GR141" s="11"/>
      <c r="GS141" s="11"/>
      <c r="GT141" s="11"/>
      <c r="GU141" s="11"/>
      <c r="GV141" s="11"/>
      <c r="GW141" s="11"/>
      <c r="GX141" s="11"/>
      <c r="GY141" s="11"/>
      <c r="GZ141" s="11"/>
      <c r="HA141" s="11"/>
      <c r="HB141" s="11"/>
      <c r="HC141" s="11"/>
      <c r="HD141" s="11"/>
      <c r="HE141" s="11"/>
      <c r="HF141" s="11"/>
      <c r="HG141" s="11"/>
      <c r="HH141" s="11"/>
      <c r="HI141" s="11"/>
      <c r="HJ141" s="11"/>
      <c r="HK141" s="11"/>
      <c r="HL141" s="11"/>
      <c r="HM141" s="11"/>
      <c r="HN141" s="11"/>
      <c r="HO141" s="11"/>
      <c r="HP141" s="11"/>
      <c r="HQ141" s="11"/>
      <c r="HR141" s="11"/>
      <c r="HS141" s="11"/>
      <c r="HT141" s="11"/>
      <c r="HU141" s="11"/>
      <c r="HV141" s="11"/>
      <c r="HW141" s="11"/>
      <c r="HX141" s="11"/>
      <c r="HY141" s="11"/>
      <c r="HZ141" s="11"/>
      <c r="IA141" s="11"/>
      <c r="IB141" s="11"/>
      <c r="IC141" s="11"/>
      <c r="ID141" s="11"/>
      <c r="IE141" s="11"/>
      <c r="IF141" s="11"/>
      <c r="IG141" s="11"/>
      <c r="IH141" s="11"/>
      <c r="II141" s="11"/>
      <c r="IJ141" s="11"/>
      <c r="IK141" s="11"/>
      <c r="IL141" s="11"/>
      <c r="IM141" s="11"/>
      <c r="IN141" s="11"/>
      <c r="IO141" s="11"/>
      <c r="IP141" s="11"/>
      <c r="IQ141" s="11"/>
      <c r="IR141" s="11"/>
      <c r="IS141" s="11"/>
      <c r="IT141" s="11"/>
      <c r="IU141" s="11"/>
      <c r="IV141" s="11"/>
    </row>
    <row r="142" spans="1:256" customFormat="1" ht="30" customHeight="1">
      <c r="A142" s="139">
        <v>41306</v>
      </c>
      <c r="B142" s="140">
        <v>0</v>
      </c>
      <c r="C142" s="140">
        <v>0</v>
      </c>
      <c r="D142" s="140">
        <f t="shared" si="41"/>
        <v>2486</v>
      </c>
      <c r="E142" s="140">
        <f t="shared" si="42"/>
        <v>647753</v>
      </c>
      <c r="F142" s="140">
        <f t="shared" si="43"/>
        <v>27514</v>
      </c>
      <c r="G142" s="46"/>
      <c r="H142" s="141">
        <f t="shared" si="46"/>
        <v>0</v>
      </c>
      <c r="I142" s="140">
        <v>60000</v>
      </c>
      <c r="J142" s="140">
        <f t="shared" si="45"/>
        <v>450000</v>
      </c>
      <c r="K142" s="140">
        <f t="shared" si="44"/>
        <v>197753</v>
      </c>
      <c r="L142" s="140">
        <f t="shared" si="40"/>
        <v>197753</v>
      </c>
      <c r="M142" s="171" t="s">
        <v>4935</v>
      </c>
      <c r="N142" s="11"/>
      <c r="O142" s="11"/>
      <c r="P142" s="11"/>
      <c r="Q142" s="11"/>
      <c r="R142" s="11"/>
      <c r="S142" s="11"/>
      <c r="T142" s="11"/>
      <c r="U142" s="11"/>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B142" s="11"/>
      <c r="DC142" s="11"/>
      <c r="DD142" s="11"/>
      <c r="DE142" s="11"/>
      <c r="DF142" s="11"/>
      <c r="DG142" s="11"/>
      <c r="DH142" s="11"/>
      <c r="DI142" s="11"/>
      <c r="DJ142" s="11"/>
      <c r="DK142" s="11"/>
      <c r="DL142" s="11"/>
      <c r="DM142" s="11"/>
      <c r="DN142" s="11"/>
      <c r="DO142" s="11"/>
      <c r="DP142" s="11"/>
      <c r="DQ142" s="11"/>
      <c r="DR142" s="11"/>
      <c r="DS142" s="11"/>
      <c r="DT142" s="11"/>
      <c r="DU142" s="11"/>
      <c r="DV142" s="11"/>
      <c r="DW142" s="11"/>
      <c r="DX142" s="11"/>
      <c r="DY142" s="11"/>
      <c r="DZ142" s="11"/>
      <c r="EA142" s="11"/>
      <c r="EB142" s="11"/>
      <c r="EC142" s="11"/>
      <c r="ED142" s="11"/>
      <c r="EE142" s="11"/>
      <c r="EF142" s="11"/>
      <c r="EG142" s="11"/>
      <c r="EH142" s="11"/>
      <c r="EI142" s="11"/>
      <c r="EJ142" s="11"/>
      <c r="EK142" s="11"/>
      <c r="EL142" s="11"/>
      <c r="EM142" s="11"/>
      <c r="EN142" s="11"/>
      <c r="EO142" s="11"/>
      <c r="EP142" s="11"/>
      <c r="EQ142" s="11"/>
      <c r="ER142" s="11"/>
      <c r="ES142" s="11"/>
      <c r="ET142" s="11"/>
      <c r="EU142" s="11"/>
      <c r="EV142" s="11"/>
      <c r="EW142" s="11"/>
      <c r="EX142" s="11"/>
      <c r="EY142" s="11"/>
      <c r="EZ142" s="11"/>
      <c r="FA142" s="11"/>
      <c r="FB142" s="11"/>
      <c r="FC142" s="11"/>
      <c r="FD142" s="11"/>
      <c r="FE142" s="11"/>
      <c r="FF142" s="11"/>
      <c r="FG142" s="11"/>
      <c r="FH142" s="11"/>
      <c r="FI142" s="11"/>
      <c r="FJ142" s="11"/>
      <c r="FK142" s="11"/>
      <c r="FL142" s="11"/>
      <c r="FM142" s="11"/>
      <c r="FN142" s="11"/>
      <c r="FO142" s="11"/>
      <c r="FP142" s="11"/>
      <c r="FQ142" s="11"/>
      <c r="FR142" s="11"/>
      <c r="FS142" s="11"/>
      <c r="FT142" s="11"/>
      <c r="FU142" s="11"/>
      <c r="FV142" s="11"/>
      <c r="FW142" s="11"/>
      <c r="FX142" s="11"/>
      <c r="FY142" s="11"/>
      <c r="FZ142" s="11"/>
      <c r="GA142" s="11"/>
      <c r="GB142" s="11"/>
      <c r="GC142" s="11"/>
      <c r="GD142" s="11"/>
      <c r="GE142" s="11"/>
      <c r="GF142" s="11"/>
      <c r="GG142" s="11"/>
      <c r="GH142" s="11"/>
      <c r="GI142" s="11"/>
      <c r="GJ142" s="11"/>
      <c r="GK142" s="11"/>
      <c r="GL142" s="11"/>
      <c r="GM142" s="11"/>
      <c r="GN142" s="11"/>
      <c r="GO142" s="11"/>
      <c r="GP142" s="11"/>
      <c r="GQ142" s="11"/>
      <c r="GR142" s="11"/>
      <c r="GS142" s="11"/>
      <c r="GT142" s="11"/>
      <c r="GU142" s="11"/>
      <c r="GV142" s="11"/>
      <c r="GW142" s="11"/>
      <c r="GX142" s="11"/>
      <c r="GY142" s="11"/>
      <c r="GZ142" s="11"/>
      <c r="HA142" s="11"/>
      <c r="HB142" s="11"/>
      <c r="HC142" s="11"/>
      <c r="HD142" s="11"/>
      <c r="HE142" s="11"/>
      <c r="HF142" s="11"/>
      <c r="HG142" s="11"/>
      <c r="HH142" s="11"/>
      <c r="HI142" s="11"/>
      <c r="HJ142" s="11"/>
      <c r="HK142" s="11"/>
      <c r="HL142" s="11"/>
      <c r="HM142" s="11"/>
      <c r="HN142" s="11"/>
      <c r="HO142" s="11"/>
      <c r="HP142" s="11"/>
      <c r="HQ142" s="11"/>
      <c r="HR142" s="11"/>
      <c r="HS142" s="11"/>
      <c r="HT142" s="11"/>
      <c r="HU142" s="11"/>
      <c r="HV142" s="11"/>
      <c r="HW142" s="11"/>
      <c r="HX142" s="11"/>
      <c r="HY142" s="11"/>
      <c r="HZ142" s="11"/>
      <c r="IA142" s="11"/>
      <c r="IB142" s="11"/>
      <c r="IC142" s="11"/>
      <c r="ID142" s="11"/>
      <c r="IE142" s="11"/>
      <c r="IF142" s="11"/>
      <c r="IG142" s="11"/>
      <c r="IH142" s="11"/>
      <c r="II142" s="11"/>
      <c r="IJ142" s="11"/>
      <c r="IK142" s="11"/>
      <c r="IL142" s="11"/>
      <c r="IM142" s="11"/>
      <c r="IN142" s="11"/>
      <c r="IO142" s="11"/>
      <c r="IP142" s="11"/>
      <c r="IQ142" s="11"/>
      <c r="IR142" s="11"/>
      <c r="IS142" s="11"/>
      <c r="IT142" s="11"/>
      <c r="IU142" s="11"/>
      <c r="IV142" s="11"/>
    </row>
    <row r="143" spans="1:256" customFormat="1" ht="30" customHeight="1">
      <c r="A143" s="139">
        <v>41334</v>
      </c>
      <c r="B143" s="140">
        <v>0</v>
      </c>
      <c r="C143" s="140">
        <v>0</v>
      </c>
      <c r="D143" s="140">
        <f t="shared" si="41"/>
        <v>2486</v>
      </c>
      <c r="E143" s="140">
        <f t="shared" si="42"/>
        <v>647753</v>
      </c>
      <c r="F143" s="140">
        <f t="shared" si="43"/>
        <v>27514</v>
      </c>
      <c r="G143" s="46"/>
      <c r="H143" s="141">
        <f t="shared" si="46"/>
        <v>0</v>
      </c>
      <c r="I143" s="140">
        <v>40000</v>
      </c>
      <c r="J143" s="140">
        <f t="shared" si="45"/>
        <v>490000</v>
      </c>
      <c r="K143" s="140">
        <f t="shared" si="44"/>
        <v>157753</v>
      </c>
      <c r="L143" s="140">
        <f t="shared" si="40"/>
        <v>157753</v>
      </c>
      <c r="M143" s="171" t="s">
        <v>4936</v>
      </c>
      <c r="N143" s="11"/>
      <c r="O143" s="11"/>
      <c r="P143" s="11"/>
      <c r="Q143" s="11"/>
      <c r="R143" s="11"/>
      <c r="S143" s="11"/>
      <c r="T143" s="11"/>
      <c r="U143" s="11"/>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B143" s="11"/>
      <c r="DC143" s="11"/>
      <c r="DD143" s="11"/>
      <c r="DE143" s="11"/>
      <c r="DF143" s="11"/>
      <c r="DG143" s="11"/>
      <c r="DH143" s="11"/>
      <c r="DI143" s="11"/>
      <c r="DJ143" s="11"/>
      <c r="DK143" s="11"/>
      <c r="DL143" s="11"/>
      <c r="DM143" s="11"/>
      <c r="DN143" s="11"/>
      <c r="DO143" s="11"/>
      <c r="DP143" s="11"/>
      <c r="DQ143" s="11"/>
      <c r="DR143" s="11"/>
      <c r="DS143" s="11"/>
      <c r="DT143" s="11"/>
      <c r="DU143" s="11"/>
      <c r="DV143" s="11"/>
      <c r="DW143" s="11"/>
      <c r="DX143" s="11"/>
      <c r="DY143" s="11"/>
      <c r="DZ143" s="11"/>
      <c r="EA143" s="11"/>
      <c r="EB143" s="11"/>
      <c r="EC143" s="11"/>
      <c r="ED143" s="11"/>
      <c r="EE143" s="11"/>
      <c r="EF143" s="11"/>
      <c r="EG143" s="11"/>
      <c r="EH143" s="11"/>
      <c r="EI143" s="11"/>
      <c r="EJ143" s="11"/>
      <c r="EK143" s="11"/>
      <c r="EL143" s="11"/>
      <c r="EM143" s="11"/>
      <c r="EN143" s="11"/>
      <c r="EO143" s="11"/>
      <c r="EP143" s="11"/>
      <c r="EQ143" s="11"/>
      <c r="ER143" s="11"/>
      <c r="ES143" s="11"/>
      <c r="ET143" s="11"/>
      <c r="EU143" s="11"/>
      <c r="EV143" s="11"/>
      <c r="EW143" s="11"/>
      <c r="EX143" s="11"/>
      <c r="EY143" s="11"/>
      <c r="EZ143" s="11"/>
      <c r="FA143" s="11"/>
      <c r="FB143" s="11"/>
      <c r="FC143" s="11"/>
      <c r="FD143" s="11"/>
      <c r="FE143" s="11"/>
      <c r="FF143" s="11"/>
      <c r="FG143" s="11"/>
      <c r="FH143" s="11"/>
      <c r="FI143" s="11"/>
      <c r="FJ143" s="11"/>
      <c r="FK143" s="11"/>
      <c r="FL143" s="11"/>
      <c r="FM143" s="11"/>
      <c r="FN143" s="11"/>
      <c r="FO143" s="11"/>
      <c r="FP143" s="11"/>
      <c r="FQ143" s="11"/>
      <c r="FR143" s="11"/>
      <c r="FS143" s="11"/>
      <c r="FT143" s="11"/>
      <c r="FU143" s="11"/>
      <c r="FV143" s="11"/>
      <c r="FW143" s="11"/>
      <c r="FX143" s="11"/>
      <c r="FY143" s="11"/>
      <c r="FZ143" s="11"/>
      <c r="GA143" s="11"/>
      <c r="GB143" s="11"/>
      <c r="GC143" s="11"/>
      <c r="GD143" s="11"/>
      <c r="GE143" s="11"/>
      <c r="GF143" s="11"/>
      <c r="GG143" s="11"/>
      <c r="GH143" s="11"/>
      <c r="GI143" s="11"/>
      <c r="GJ143" s="11"/>
      <c r="GK143" s="11"/>
      <c r="GL143" s="11"/>
      <c r="GM143" s="11"/>
      <c r="GN143" s="11"/>
      <c r="GO143" s="11"/>
      <c r="GP143" s="11"/>
      <c r="GQ143" s="11"/>
      <c r="GR143" s="11"/>
      <c r="GS143" s="11"/>
      <c r="GT143" s="11"/>
      <c r="GU143" s="11"/>
      <c r="GV143" s="11"/>
      <c r="GW143" s="11"/>
      <c r="GX143" s="11"/>
      <c r="GY143" s="11"/>
      <c r="GZ143" s="11"/>
      <c r="HA143" s="11"/>
      <c r="HB143" s="11"/>
      <c r="HC143" s="11"/>
      <c r="HD143" s="11"/>
      <c r="HE143" s="11"/>
      <c r="HF143" s="11"/>
      <c r="HG143" s="11"/>
      <c r="HH143" s="11"/>
      <c r="HI143" s="11"/>
      <c r="HJ143" s="11"/>
      <c r="HK143" s="11"/>
      <c r="HL143" s="11"/>
      <c r="HM143" s="11"/>
      <c r="HN143" s="11"/>
      <c r="HO143" s="11"/>
      <c r="HP143" s="11"/>
      <c r="HQ143" s="11"/>
      <c r="HR143" s="11"/>
      <c r="HS143" s="11"/>
      <c r="HT143" s="11"/>
      <c r="HU143" s="11"/>
      <c r="HV143" s="11"/>
      <c r="HW143" s="11"/>
      <c r="HX143" s="11"/>
      <c r="HY143" s="11"/>
      <c r="HZ143" s="11"/>
      <c r="IA143" s="11"/>
      <c r="IB143" s="11"/>
      <c r="IC143" s="11"/>
      <c r="ID143" s="11"/>
      <c r="IE143" s="11"/>
      <c r="IF143" s="11"/>
      <c r="IG143" s="11"/>
      <c r="IH143" s="11"/>
      <c r="II143" s="11"/>
      <c r="IJ143" s="11"/>
      <c r="IK143" s="11"/>
      <c r="IL143" s="11"/>
      <c r="IM143" s="11"/>
      <c r="IN143" s="11"/>
      <c r="IO143" s="11"/>
      <c r="IP143" s="11"/>
      <c r="IQ143" s="11"/>
      <c r="IR143" s="11"/>
      <c r="IS143" s="11"/>
      <c r="IT143" s="11"/>
      <c r="IU143" s="11"/>
      <c r="IV143" s="11"/>
    </row>
    <row r="144" spans="1:256" customFormat="1" ht="30" customHeight="1">
      <c r="A144" s="173">
        <v>41579</v>
      </c>
      <c r="B144" s="174">
        <v>0</v>
      </c>
      <c r="C144" s="174">
        <v>0</v>
      </c>
      <c r="D144" s="174">
        <f t="shared" si="41"/>
        <v>2486</v>
      </c>
      <c r="E144" s="174">
        <f t="shared" si="42"/>
        <v>647753</v>
      </c>
      <c r="F144" s="174">
        <f t="shared" si="43"/>
        <v>27514</v>
      </c>
      <c r="G144" s="53"/>
      <c r="H144" s="175">
        <f t="shared" si="46"/>
        <v>0</v>
      </c>
      <c r="I144" s="174">
        <v>50000</v>
      </c>
      <c r="J144" s="174">
        <f t="shared" si="45"/>
        <v>540000</v>
      </c>
      <c r="K144" s="174">
        <f t="shared" si="44"/>
        <v>107753</v>
      </c>
      <c r="L144" s="174">
        <f t="shared" si="40"/>
        <v>107753</v>
      </c>
      <c r="M144" s="171" t="s">
        <v>4937</v>
      </c>
      <c r="N144" s="11"/>
      <c r="O144" s="11"/>
      <c r="P144" s="11"/>
      <c r="Q144" s="11"/>
      <c r="R144" s="11"/>
      <c r="S144" s="11"/>
      <c r="T144" s="11"/>
      <c r="U144" s="11"/>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B144" s="11"/>
      <c r="DC144" s="11"/>
      <c r="DD144" s="11"/>
      <c r="DE144" s="11"/>
      <c r="DF144" s="11"/>
      <c r="DG144" s="11"/>
      <c r="DH144" s="11"/>
      <c r="DI144" s="11"/>
      <c r="DJ144" s="11"/>
      <c r="DK144" s="11"/>
      <c r="DL144" s="11"/>
      <c r="DM144" s="11"/>
      <c r="DN144" s="11"/>
      <c r="DO144" s="11"/>
      <c r="DP144" s="11"/>
      <c r="DQ144" s="11"/>
      <c r="DR144" s="11"/>
      <c r="DS144" s="11"/>
      <c r="DT144" s="11"/>
      <c r="DU144" s="11"/>
      <c r="DV144" s="11"/>
      <c r="DW144" s="11"/>
      <c r="DX144" s="11"/>
      <c r="DY144" s="11"/>
      <c r="DZ144" s="11"/>
      <c r="EA144" s="11"/>
      <c r="EB144" s="11"/>
      <c r="EC144" s="11"/>
      <c r="ED144" s="11"/>
      <c r="EE144" s="11"/>
      <c r="EF144" s="11"/>
      <c r="EG144" s="11"/>
      <c r="EH144" s="11"/>
      <c r="EI144" s="11"/>
      <c r="EJ144" s="11"/>
      <c r="EK144" s="11"/>
      <c r="EL144" s="11"/>
      <c r="EM144" s="11"/>
      <c r="EN144" s="11"/>
      <c r="EO144" s="11"/>
      <c r="EP144" s="11"/>
      <c r="EQ144" s="11"/>
      <c r="ER144" s="11"/>
      <c r="ES144" s="11"/>
      <c r="ET144" s="11"/>
      <c r="EU144" s="11"/>
      <c r="EV144" s="11"/>
      <c r="EW144" s="11"/>
      <c r="EX144" s="11"/>
      <c r="EY144" s="11"/>
      <c r="EZ144" s="11"/>
      <c r="FA144" s="11"/>
      <c r="FB144" s="11"/>
      <c r="FC144" s="11"/>
      <c r="FD144" s="11"/>
      <c r="FE144" s="11"/>
      <c r="FF144" s="11"/>
      <c r="FG144" s="11"/>
      <c r="FH144" s="11"/>
      <c r="FI144" s="11"/>
      <c r="FJ144" s="11"/>
      <c r="FK144" s="11"/>
      <c r="FL144" s="11"/>
      <c r="FM144" s="11"/>
      <c r="FN144" s="11"/>
      <c r="FO144" s="11"/>
      <c r="FP144" s="11"/>
      <c r="FQ144" s="11"/>
      <c r="FR144" s="11"/>
      <c r="FS144" s="11"/>
      <c r="FT144" s="11"/>
      <c r="FU144" s="11"/>
      <c r="FV144" s="11"/>
      <c r="FW144" s="11"/>
      <c r="FX144" s="11"/>
      <c r="FY144" s="11"/>
      <c r="FZ144" s="11"/>
      <c r="GA144" s="11"/>
      <c r="GB144" s="11"/>
      <c r="GC144" s="11"/>
      <c r="GD144" s="11"/>
      <c r="GE144" s="11"/>
      <c r="GF144" s="11"/>
      <c r="GG144" s="11"/>
      <c r="GH144" s="11"/>
      <c r="GI144" s="11"/>
      <c r="GJ144" s="11"/>
      <c r="GK144" s="11"/>
      <c r="GL144" s="11"/>
      <c r="GM144" s="11"/>
      <c r="GN144" s="11"/>
      <c r="GO144" s="11"/>
      <c r="GP144" s="11"/>
      <c r="GQ144" s="11"/>
      <c r="GR144" s="11"/>
      <c r="GS144" s="11"/>
      <c r="GT144" s="11"/>
      <c r="GU144" s="11"/>
      <c r="GV144" s="11"/>
      <c r="GW144" s="11"/>
      <c r="GX144" s="11"/>
      <c r="GY144" s="11"/>
      <c r="GZ144" s="11"/>
      <c r="HA144" s="11"/>
      <c r="HB144" s="11"/>
      <c r="HC144" s="11"/>
      <c r="HD144" s="11"/>
      <c r="HE144" s="11"/>
      <c r="HF144" s="11"/>
      <c r="HG144" s="11"/>
      <c r="HH144" s="11"/>
      <c r="HI144" s="11"/>
      <c r="HJ144" s="11"/>
      <c r="HK144" s="11"/>
      <c r="HL144" s="11"/>
      <c r="HM144" s="11"/>
      <c r="HN144" s="11"/>
      <c r="HO144" s="11"/>
      <c r="HP144" s="11"/>
      <c r="HQ144" s="11"/>
      <c r="HR144" s="11"/>
      <c r="HS144" s="11"/>
      <c r="HT144" s="11"/>
      <c r="HU144" s="11"/>
      <c r="HV144" s="11"/>
      <c r="HW144" s="11"/>
      <c r="HX144" s="11"/>
      <c r="HY144" s="11"/>
      <c r="HZ144" s="11"/>
      <c r="IA144" s="11"/>
      <c r="IB144" s="11"/>
      <c r="IC144" s="11"/>
      <c r="ID144" s="11"/>
      <c r="IE144" s="11"/>
      <c r="IF144" s="11"/>
      <c r="IG144" s="11"/>
      <c r="IH144" s="11"/>
      <c r="II144" s="11"/>
      <c r="IJ144" s="11"/>
      <c r="IK144" s="11"/>
      <c r="IL144" s="11"/>
      <c r="IM144" s="11"/>
      <c r="IN144" s="11"/>
      <c r="IO144" s="11"/>
      <c r="IP144" s="11"/>
      <c r="IQ144" s="11"/>
      <c r="IR144" s="11"/>
      <c r="IS144" s="11"/>
      <c r="IT144" s="11"/>
      <c r="IU144" s="11"/>
      <c r="IV144" s="11"/>
    </row>
    <row r="145" spans="1:256" s="10" customFormat="1" ht="60" customHeight="1">
      <c r="A145" s="34" t="s">
        <v>4938</v>
      </c>
      <c r="B145" s="176"/>
      <c r="C145" s="37" t="s">
        <v>4939</v>
      </c>
      <c r="D145" s="37"/>
      <c r="E145" s="38" t="s">
        <v>236</v>
      </c>
      <c r="F145" s="1790"/>
      <c r="G145" s="1790"/>
      <c r="H145" s="1790"/>
      <c r="I145" s="57" t="s">
        <v>237</v>
      </c>
      <c r="J145" s="1791" t="s">
        <v>4940</v>
      </c>
      <c r="K145" s="1791"/>
      <c r="L145" s="1791"/>
      <c r="M145" s="11"/>
      <c r="N145" s="11"/>
      <c r="O145" s="11"/>
      <c r="P145" s="11"/>
      <c r="Q145" s="11"/>
      <c r="R145" s="11"/>
      <c r="S145" s="11"/>
      <c r="T145" s="11"/>
      <c r="U145" s="11"/>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B145" s="11"/>
      <c r="DC145" s="11"/>
      <c r="DD145" s="11"/>
      <c r="DE145" s="11"/>
      <c r="DF145" s="11"/>
      <c r="DG145" s="11"/>
      <c r="DH145" s="11"/>
      <c r="DI145" s="11"/>
      <c r="DJ145" s="11"/>
      <c r="DK145" s="11"/>
      <c r="DL145" s="11"/>
      <c r="DM145" s="11"/>
      <c r="DN145" s="11"/>
      <c r="DO145" s="11"/>
      <c r="DP145" s="11"/>
      <c r="DQ145" s="11"/>
      <c r="DR145" s="11"/>
      <c r="DS145" s="11"/>
      <c r="DT145" s="11"/>
      <c r="DU145" s="11"/>
      <c r="DV145" s="11"/>
      <c r="DW145" s="11"/>
      <c r="DX145" s="11"/>
      <c r="DY145" s="11"/>
      <c r="DZ145" s="11"/>
      <c r="EA145" s="11"/>
      <c r="EB145" s="11"/>
      <c r="EC145" s="11"/>
      <c r="ED145" s="11"/>
      <c r="EE145" s="11"/>
      <c r="EF145" s="11"/>
      <c r="EG145" s="11"/>
      <c r="EH145" s="11"/>
      <c r="EI145" s="11"/>
      <c r="EJ145" s="11"/>
      <c r="EK145" s="11"/>
      <c r="EL145" s="11"/>
      <c r="EM145" s="11"/>
      <c r="EN145" s="11"/>
      <c r="EO145" s="11"/>
      <c r="EP145" s="11"/>
      <c r="EQ145" s="11"/>
      <c r="ER145" s="11"/>
      <c r="ES145" s="11"/>
      <c r="ET145" s="11"/>
      <c r="EU145" s="11"/>
      <c r="EV145" s="11"/>
      <c r="EW145" s="11"/>
      <c r="EX145" s="11"/>
      <c r="EY145" s="11"/>
      <c r="EZ145" s="11"/>
      <c r="FA145" s="11"/>
      <c r="FB145" s="11"/>
      <c r="FC145" s="11"/>
      <c r="FD145" s="11"/>
      <c r="FE145" s="11"/>
      <c r="FF145" s="11"/>
      <c r="FG145" s="11"/>
      <c r="FH145" s="11"/>
      <c r="FI145" s="11"/>
      <c r="FJ145" s="11"/>
      <c r="FK145" s="11"/>
      <c r="FL145" s="11"/>
      <c r="FM145" s="11"/>
      <c r="FN145" s="11"/>
      <c r="FO145" s="11"/>
      <c r="FP145" s="11"/>
      <c r="FQ145" s="11"/>
      <c r="FR145" s="11"/>
      <c r="FS145" s="11"/>
      <c r="FT145" s="11"/>
      <c r="FU145" s="11"/>
      <c r="FV145" s="11"/>
      <c r="FW145" s="11"/>
      <c r="FX145" s="11"/>
      <c r="FY145" s="11"/>
      <c r="FZ145" s="11"/>
      <c r="GA145" s="11"/>
      <c r="GB145" s="11"/>
      <c r="GC145" s="11"/>
      <c r="GD145" s="11"/>
      <c r="GE145" s="11"/>
      <c r="GF145" s="11"/>
      <c r="GG145" s="11"/>
      <c r="GH145" s="11"/>
      <c r="GI145" s="11"/>
      <c r="GJ145" s="11"/>
      <c r="GK145" s="11"/>
      <c r="GL145" s="11"/>
      <c r="GM145" s="11"/>
      <c r="GN145" s="11"/>
      <c r="GO145" s="11"/>
      <c r="GP145" s="11"/>
      <c r="GQ145" s="11"/>
      <c r="GR145" s="11"/>
      <c r="GS145" s="11"/>
      <c r="GT145" s="11"/>
      <c r="GU145" s="11"/>
      <c r="GV145" s="11"/>
      <c r="GW145" s="11"/>
      <c r="GX145" s="11"/>
      <c r="GY145" s="11"/>
      <c r="GZ145" s="11"/>
      <c r="HA145" s="11"/>
      <c r="HB145" s="11"/>
      <c r="HC145" s="11"/>
      <c r="HD145" s="11"/>
      <c r="HE145" s="11"/>
      <c r="HF145" s="11"/>
      <c r="HG145" s="11"/>
      <c r="HH145" s="11"/>
      <c r="HI145" s="11"/>
      <c r="HJ145" s="11"/>
      <c r="HK145" s="11"/>
      <c r="HL145" s="11"/>
      <c r="HM145" s="11"/>
      <c r="HN145" s="11"/>
      <c r="HO145" s="11"/>
      <c r="HP145" s="11"/>
      <c r="HQ145" s="11"/>
      <c r="HR145" s="11"/>
      <c r="HS145" s="11"/>
      <c r="HT145" s="11"/>
      <c r="HU145" s="11"/>
      <c r="HV145" s="11"/>
      <c r="HW145" s="11"/>
      <c r="HX145" s="11"/>
      <c r="HY145" s="11"/>
      <c r="HZ145" s="11"/>
      <c r="IA145" s="11"/>
      <c r="IB145" s="11"/>
      <c r="IC145" s="11"/>
      <c r="ID145" s="11"/>
      <c r="IE145" s="11"/>
      <c r="IF145" s="11"/>
      <c r="IG145" s="11"/>
      <c r="IH145" s="11"/>
      <c r="II145" s="11"/>
      <c r="IJ145" s="11"/>
      <c r="IK145" s="11"/>
      <c r="IL145" s="11"/>
      <c r="IM145" s="11"/>
      <c r="IN145" s="11"/>
      <c r="IO145" s="11"/>
      <c r="IP145" s="11"/>
      <c r="IQ145" s="11"/>
      <c r="IR145" s="11"/>
      <c r="IS145" s="11"/>
      <c r="IT145" s="11"/>
      <c r="IU145" s="11"/>
      <c r="IV145" s="11"/>
    </row>
    <row r="146" spans="1:256" ht="38.1" customHeight="1">
      <c r="A146" s="39" t="s">
        <v>240</v>
      </c>
      <c r="B146" s="1637" t="s">
        <v>4941</v>
      </c>
      <c r="C146" s="1637"/>
      <c r="D146" s="41" t="s">
        <v>242</v>
      </c>
      <c r="E146" s="1637" t="s">
        <v>4941</v>
      </c>
      <c r="F146" s="1637"/>
      <c r="G146" s="1746" t="s">
        <v>4942</v>
      </c>
      <c r="H146" s="1746"/>
      <c r="I146" s="1811" t="s">
        <v>4943</v>
      </c>
      <c r="J146" s="1811"/>
      <c r="K146" s="1811"/>
      <c r="L146" s="41" t="s">
        <v>243</v>
      </c>
    </row>
    <row r="147" spans="1:256" ht="48" customHeight="1">
      <c r="A147" s="39" t="s">
        <v>247</v>
      </c>
      <c r="B147" s="1637" t="s">
        <v>4944</v>
      </c>
      <c r="C147" s="1637"/>
      <c r="D147" s="41" t="s">
        <v>249</v>
      </c>
      <c r="E147" s="43" t="s">
        <v>3840</v>
      </c>
      <c r="F147" s="41" t="s">
        <v>251</v>
      </c>
      <c r="G147" s="41" t="s">
        <v>4945</v>
      </c>
      <c r="H147" s="177" t="s">
        <v>252</v>
      </c>
      <c r="I147" s="184" t="s">
        <v>4946</v>
      </c>
      <c r="J147" s="91" t="s">
        <v>253</v>
      </c>
      <c r="K147" s="15" t="s">
        <v>4947</v>
      </c>
      <c r="L147" s="15" t="s">
        <v>255</v>
      </c>
    </row>
    <row r="148" spans="1:256" ht="48" customHeight="1">
      <c r="A148" s="39" t="s">
        <v>260</v>
      </c>
      <c r="B148" s="1765" t="s">
        <v>4948</v>
      </c>
      <c r="C148" s="1765"/>
      <c r="D148" s="1765"/>
      <c r="E148" s="1765"/>
      <c r="F148" s="1765"/>
      <c r="G148" s="1765"/>
      <c r="H148" s="1765"/>
      <c r="I148" s="1765"/>
      <c r="J148" s="1765" t="s">
        <v>4949</v>
      </c>
      <c r="K148" s="1765"/>
      <c r="L148" s="1765"/>
    </row>
    <row r="149" spans="1:256" ht="48" customHeight="1">
      <c r="A149" s="19" t="s">
        <v>266</v>
      </c>
      <c r="B149" s="20" t="s">
        <v>267</v>
      </c>
      <c r="C149" s="20" t="s">
        <v>268</v>
      </c>
      <c r="D149" s="20" t="s">
        <v>269</v>
      </c>
      <c r="E149" s="20" t="s">
        <v>270</v>
      </c>
      <c r="F149" s="20" t="s">
        <v>271</v>
      </c>
      <c r="G149" s="21" t="s">
        <v>272</v>
      </c>
      <c r="H149" s="22" t="s">
        <v>273</v>
      </c>
      <c r="I149" s="20" t="s">
        <v>274</v>
      </c>
      <c r="J149" s="70" t="s">
        <v>275</v>
      </c>
      <c r="K149" s="70" t="s">
        <v>276</v>
      </c>
      <c r="L149" s="20" t="s">
        <v>277</v>
      </c>
    </row>
    <row r="150" spans="1:256" ht="48" customHeight="1">
      <c r="A150" s="48">
        <v>40179</v>
      </c>
      <c r="B150" s="46">
        <v>1513.5</v>
      </c>
      <c r="C150" s="46">
        <v>370467.5</v>
      </c>
      <c r="D150" s="46">
        <f>B150</f>
        <v>1513.5</v>
      </c>
      <c r="E150" s="46">
        <f>C150</f>
        <v>370467.5</v>
      </c>
      <c r="F150" s="46">
        <f t="shared" ref="F150:F157" si="47">7000-B150</f>
        <v>5486.5</v>
      </c>
      <c r="G150" s="47">
        <v>0</v>
      </c>
      <c r="H150" s="47">
        <v>0</v>
      </c>
      <c r="I150" s="47">
        <v>0</v>
      </c>
      <c r="J150" s="47">
        <v>0</v>
      </c>
      <c r="K150" s="47">
        <v>0</v>
      </c>
      <c r="L150" s="47">
        <f t="shared" ref="L150:L158" si="48">E150-J150</f>
        <v>370467.5</v>
      </c>
    </row>
    <row r="151" spans="1:256" ht="48" customHeight="1">
      <c r="A151" s="48">
        <v>40210</v>
      </c>
      <c r="B151" s="46">
        <v>1176</v>
      </c>
      <c r="C151" s="46">
        <v>287565</v>
      </c>
      <c r="D151" s="46">
        <f t="shared" ref="D151:D157" si="49">D150+B151</f>
        <v>2689.5</v>
      </c>
      <c r="E151" s="46">
        <f t="shared" ref="E151:E158" si="50">E150+C151</f>
        <v>658032.5</v>
      </c>
      <c r="F151" s="46">
        <f t="shared" si="47"/>
        <v>5824</v>
      </c>
      <c r="G151" s="47">
        <v>0</v>
      </c>
      <c r="H151" s="47">
        <f t="shared" ref="H151:H157" si="51">C150</f>
        <v>370467.5</v>
      </c>
      <c r="I151" s="47">
        <v>0</v>
      </c>
      <c r="J151" s="47">
        <v>0</v>
      </c>
      <c r="K151" s="47">
        <f t="shared" ref="K151:K158" si="52">K150+H151-I151</f>
        <v>370467.5</v>
      </c>
      <c r="L151" s="47">
        <f t="shared" si="48"/>
        <v>658032.5</v>
      </c>
    </row>
    <row r="152" spans="1:256" ht="48" customHeight="1">
      <c r="A152" s="48">
        <v>40238</v>
      </c>
      <c r="B152" s="46">
        <v>1602</v>
      </c>
      <c r="C152" s="46">
        <v>392445</v>
      </c>
      <c r="D152" s="46">
        <f t="shared" si="49"/>
        <v>4291.5</v>
      </c>
      <c r="E152" s="46">
        <f t="shared" si="50"/>
        <v>1050477.5</v>
      </c>
      <c r="F152" s="46">
        <f t="shared" si="47"/>
        <v>5398</v>
      </c>
      <c r="G152" s="47">
        <v>0</v>
      </c>
      <c r="H152" s="47">
        <f t="shared" si="51"/>
        <v>287565</v>
      </c>
      <c r="I152" s="47">
        <v>0</v>
      </c>
      <c r="J152" s="47">
        <v>0</v>
      </c>
      <c r="K152" s="47">
        <f t="shared" si="52"/>
        <v>658032.5</v>
      </c>
      <c r="L152" s="47">
        <f t="shared" si="48"/>
        <v>1050477.5</v>
      </c>
    </row>
    <row r="153" spans="1:256" ht="48" customHeight="1">
      <c r="A153" s="48">
        <v>40269</v>
      </c>
      <c r="B153" s="46">
        <v>5</v>
      </c>
      <c r="C153" s="46">
        <v>1400</v>
      </c>
      <c r="D153" s="46">
        <f t="shared" si="49"/>
        <v>4296.5</v>
      </c>
      <c r="E153" s="46">
        <f t="shared" si="50"/>
        <v>1051877.5</v>
      </c>
      <c r="F153" s="46">
        <f t="shared" si="47"/>
        <v>6995</v>
      </c>
      <c r="G153" s="47">
        <v>0</v>
      </c>
      <c r="H153" s="47">
        <f t="shared" si="51"/>
        <v>392445</v>
      </c>
      <c r="I153" s="47">
        <v>300000</v>
      </c>
      <c r="J153" s="47">
        <f t="shared" ref="J153:J158" si="53">J152+I153</f>
        <v>300000</v>
      </c>
      <c r="K153" s="47">
        <f t="shared" si="52"/>
        <v>750477.5</v>
      </c>
      <c r="L153" s="47">
        <f t="shared" si="48"/>
        <v>751877.5</v>
      </c>
    </row>
    <row r="154" spans="1:256" ht="48" customHeight="1">
      <c r="A154" s="48">
        <v>40299</v>
      </c>
      <c r="B154" s="46">
        <v>70</v>
      </c>
      <c r="C154" s="46">
        <v>16100</v>
      </c>
      <c r="D154" s="46">
        <f t="shared" si="49"/>
        <v>4366.5</v>
      </c>
      <c r="E154" s="46">
        <f t="shared" si="50"/>
        <v>1067977.5</v>
      </c>
      <c r="F154" s="46">
        <f t="shared" si="47"/>
        <v>6930</v>
      </c>
      <c r="G154" s="47">
        <v>0</v>
      </c>
      <c r="H154" s="47">
        <f t="shared" si="51"/>
        <v>1400</v>
      </c>
      <c r="I154" s="47">
        <v>0</v>
      </c>
      <c r="J154" s="47">
        <f t="shared" si="53"/>
        <v>300000</v>
      </c>
      <c r="K154" s="47">
        <f t="shared" si="52"/>
        <v>751877.5</v>
      </c>
      <c r="L154" s="47">
        <f t="shared" si="48"/>
        <v>767977.5</v>
      </c>
    </row>
    <row r="155" spans="1:256" ht="48" customHeight="1">
      <c r="A155" s="48">
        <v>40330</v>
      </c>
      <c r="B155" s="46">
        <v>200</v>
      </c>
      <c r="C155" s="46">
        <v>46000</v>
      </c>
      <c r="D155" s="46">
        <f t="shared" si="49"/>
        <v>4566.5</v>
      </c>
      <c r="E155" s="46">
        <f t="shared" si="50"/>
        <v>1113977.5</v>
      </c>
      <c r="F155" s="46">
        <f t="shared" si="47"/>
        <v>6800</v>
      </c>
      <c r="G155" s="47">
        <v>0</v>
      </c>
      <c r="H155" s="47">
        <f t="shared" si="51"/>
        <v>16100</v>
      </c>
      <c r="I155" s="47">
        <v>0</v>
      </c>
      <c r="J155" s="47">
        <f t="shared" si="53"/>
        <v>300000</v>
      </c>
      <c r="K155" s="47">
        <f t="shared" si="52"/>
        <v>767977.5</v>
      </c>
      <c r="L155" s="47">
        <f t="shared" si="48"/>
        <v>813977.5</v>
      </c>
    </row>
    <row r="156" spans="1:256" ht="48" customHeight="1">
      <c r="A156" s="48">
        <v>40360</v>
      </c>
      <c r="B156" s="46">
        <v>0</v>
      </c>
      <c r="C156" s="46">
        <v>0</v>
      </c>
      <c r="D156" s="46">
        <f t="shared" si="49"/>
        <v>4566.5</v>
      </c>
      <c r="E156" s="46">
        <f t="shared" si="50"/>
        <v>1113977.5</v>
      </c>
      <c r="F156" s="46">
        <f t="shared" si="47"/>
        <v>7000</v>
      </c>
      <c r="G156" s="47">
        <v>0</v>
      </c>
      <c r="H156" s="47">
        <f t="shared" si="51"/>
        <v>46000</v>
      </c>
      <c r="I156" s="47">
        <v>0</v>
      </c>
      <c r="J156" s="47">
        <f t="shared" si="53"/>
        <v>300000</v>
      </c>
      <c r="K156" s="47">
        <f t="shared" si="52"/>
        <v>813977.5</v>
      </c>
      <c r="L156" s="47">
        <f t="shared" si="48"/>
        <v>813977.5</v>
      </c>
    </row>
    <row r="157" spans="1:256" ht="48" customHeight="1">
      <c r="A157" s="48">
        <v>40391</v>
      </c>
      <c r="B157" s="46">
        <v>0</v>
      </c>
      <c r="C157" s="46">
        <v>0</v>
      </c>
      <c r="D157" s="46">
        <f t="shared" si="49"/>
        <v>4566.5</v>
      </c>
      <c r="E157" s="46">
        <f t="shared" si="50"/>
        <v>1113977.5</v>
      </c>
      <c r="F157" s="46">
        <f t="shared" si="47"/>
        <v>7000</v>
      </c>
      <c r="G157" s="47">
        <v>0</v>
      </c>
      <c r="H157" s="47">
        <f t="shared" si="51"/>
        <v>0</v>
      </c>
      <c r="I157" s="47">
        <v>0</v>
      </c>
      <c r="J157" s="47">
        <f t="shared" si="53"/>
        <v>300000</v>
      </c>
      <c r="K157" s="47">
        <f t="shared" si="52"/>
        <v>813977.5</v>
      </c>
      <c r="L157" s="47">
        <f t="shared" si="48"/>
        <v>813977.5</v>
      </c>
    </row>
    <row r="158" spans="1:256" ht="48" customHeight="1">
      <c r="A158" s="179">
        <v>40513</v>
      </c>
      <c r="B158" s="180"/>
      <c r="C158" s="180"/>
      <c r="D158" s="180"/>
      <c r="E158" s="180">
        <f t="shared" si="50"/>
        <v>1113977.5</v>
      </c>
      <c r="F158" s="180"/>
      <c r="G158" s="181"/>
      <c r="H158" s="181"/>
      <c r="I158" s="181">
        <v>750000</v>
      </c>
      <c r="J158" s="181">
        <f t="shared" si="53"/>
        <v>1050000</v>
      </c>
      <c r="K158" s="181">
        <f t="shared" si="52"/>
        <v>63977.5</v>
      </c>
      <c r="L158" s="181">
        <f t="shared" si="48"/>
        <v>63977.5</v>
      </c>
    </row>
    <row r="159" spans="1:256" ht="48" customHeight="1">
      <c r="A159" s="52"/>
      <c r="B159" s="53"/>
      <c r="C159" s="53"/>
      <c r="D159" s="53"/>
      <c r="E159" s="53"/>
      <c r="F159" s="53"/>
      <c r="G159" s="54"/>
      <c r="H159" s="54"/>
      <c r="I159" s="54"/>
      <c r="J159" s="54"/>
      <c r="K159" s="54"/>
      <c r="L159" s="54"/>
    </row>
    <row r="166" spans="2:4">
      <c r="B166" s="182" t="s">
        <v>4950</v>
      </c>
      <c r="C166" s="182" t="s">
        <v>4951</v>
      </c>
    </row>
    <row r="167" spans="2:4">
      <c r="B167" s="182" t="s">
        <v>4952</v>
      </c>
      <c r="C167" s="182" t="s">
        <v>4953</v>
      </c>
      <c r="D167" s="11">
        <v>118053.4</v>
      </c>
    </row>
    <row r="168" spans="2:4">
      <c r="B168" s="182" t="s">
        <v>0</v>
      </c>
      <c r="C168" s="182" t="s">
        <v>4951</v>
      </c>
    </row>
    <row r="169" spans="2:4">
      <c r="B169" s="182" t="s">
        <v>44</v>
      </c>
      <c r="C169" s="182" t="s">
        <v>4954</v>
      </c>
    </row>
    <row r="170" spans="2:4">
      <c r="B170" s="182" t="s">
        <v>88</v>
      </c>
      <c r="C170" s="182" t="s">
        <v>4955</v>
      </c>
    </row>
  </sheetData>
  <mergeCells count="63">
    <mergeCell ref="B147:C147"/>
    <mergeCell ref="B148:I148"/>
    <mergeCell ref="J148:L148"/>
    <mergeCell ref="B123:E123"/>
    <mergeCell ref="F123:I123"/>
    <mergeCell ref="J123:L123"/>
    <mergeCell ref="F145:H145"/>
    <mergeCell ref="J145:L145"/>
    <mergeCell ref="B146:C146"/>
    <mergeCell ref="E146:F146"/>
    <mergeCell ref="G146:H146"/>
    <mergeCell ref="I146:K146"/>
    <mergeCell ref="E120:H120"/>
    <mergeCell ref="J120:L120"/>
    <mergeCell ref="B121:C121"/>
    <mergeCell ref="E121:H121"/>
    <mergeCell ref="J121:K121"/>
    <mergeCell ref="B122:C122"/>
    <mergeCell ref="B80:C80"/>
    <mergeCell ref="E80:G80"/>
    <mergeCell ref="L80:M80"/>
    <mergeCell ref="B81:C81"/>
    <mergeCell ref="B82:F82"/>
    <mergeCell ref="G82:J82"/>
    <mergeCell ref="B62:J62"/>
    <mergeCell ref="B63:E63"/>
    <mergeCell ref="F63:H63"/>
    <mergeCell ref="I63:L63"/>
    <mergeCell ref="F79:G79"/>
    <mergeCell ref="I79:K79"/>
    <mergeCell ref="L79:M79"/>
    <mergeCell ref="E59:G59"/>
    <mergeCell ref="I59:K59"/>
    <mergeCell ref="L59:M59"/>
    <mergeCell ref="B60:C60"/>
    <mergeCell ref="E60:G60"/>
    <mergeCell ref="B61:C61"/>
    <mergeCell ref="F43:H43"/>
    <mergeCell ref="J43:L43"/>
    <mergeCell ref="B44:C44"/>
    <mergeCell ref="E44:I44"/>
    <mergeCell ref="B45:C45"/>
    <mergeCell ref="B46:H46"/>
    <mergeCell ref="I46:M46"/>
    <mergeCell ref="J26:L26"/>
    <mergeCell ref="B27:C27"/>
    <mergeCell ref="E27:I27"/>
    <mergeCell ref="B28:C28"/>
    <mergeCell ref="B29:E29"/>
    <mergeCell ref="F29:H29"/>
    <mergeCell ref="I29:L29"/>
    <mergeCell ref="A14:C14"/>
    <mergeCell ref="K14:M14"/>
    <mergeCell ref="B15:C15"/>
    <mergeCell ref="E15:I15"/>
    <mergeCell ref="B16:C16"/>
    <mergeCell ref="B17:M17"/>
    <mergeCell ref="A1:C1"/>
    <mergeCell ref="K1:M1"/>
    <mergeCell ref="B2:C2"/>
    <mergeCell ref="E2:I2"/>
    <mergeCell ref="B3:C3"/>
    <mergeCell ref="B4:M4"/>
  </mergeCells>
  <phoneticPr fontId="84" type="noConversion"/>
  <pageMargins left="0.75" right="0.75" top="1" bottom="1" header="0.51" footer="0.51"/>
  <pageSetup paperSize="9" orientation="portrait" horizontalDpi="200" verticalDpi="200"/>
  <headerFooter scaleWithDoc="0" alignWithMargins="0"/>
  <drawing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4"/>
  <sheetViews>
    <sheetView topLeftCell="A4" zoomScaleSheetLayoutView="100" workbookViewId="0">
      <selection activeCell="B7" sqref="B7:C7"/>
    </sheetView>
  </sheetViews>
  <sheetFormatPr defaultColWidth="9" defaultRowHeight="14.25"/>
  <cols>
    <col min="1" max="1" width="13.5" customWidth="1"/>
    <col min="2" max="3" width="16.5" customWidth="1"/>
    <col min="4" max="4" width="17.875" customWidth="1"/>
    <col min="5" max="5" width="14.25" customWidth="1"/>
    <col min="6" max="6" width="11.375" customWidth="1"/>
    <col min="7" max="7" width="11.75" customWidth="1"/>
    <col min="8" max="8" width="16.75" customWidth="1"/>
    <col min="9" max="9" width="13.5" customWidth="1"/>
    <col min="10" max="10" width="15.375" customWidth="1"/>
    <col min="11" max="11" width="14.75" customWidth="1"/>
    <col min="12" max="12" width="13.5" customWidth="1"/>
    <col min="13" max="13" width="33.25" customWidth="1"/>
  </cols>
  <sheetData>
    <row r="1" spans="1:13" ht="63" customHeight="1">
      <c r="A1" s="1032" t="s">
        <v>348</v>
      </c>
      <c r="B1" s="1033"/>
      <c r="C1" s="1405"/>
      <c r="D1" s="1175"/>
      <c r="E1" s="1034" t="s">
        <v>236</v>
      </c>
      <c r="F1" s="1406"/>
      <c r="G1" s="656" t="s">
        <v>351</v>
      </c>
      <c r="H1" s="1407"/>
      <c r="I1" s="1652" t="s">
        <v>237</v>
      </c>
      <c r="J1" s="1656"/>
      <c r="K1" s="1657"/>
      <c r="L1" s="1658"/>
      <c r="M1" s="1654"/>
    </row>
    <row r="2" spans="1:13" ht="60" customHeight="1">
      <c r="A2" s="39" t="s">
        <v>240</v>
      </c>
      <c r="B2" s="1637" t="s">
        <v>740</v>
      </c>
      <c r="C2" s="1637"/>
      <c r="D2" s="41" t="s">
        <v>242</v>
      </c>
      <c r="E2" s="1666"/>
      <c r="F2" s="1667"/>
      <c r="G2" s="41" t="s">
        <v>243</v>
      </c>
      <c r="H2" s="1408"/>
      <c r="I2" s="1653"/>
      <c r="J2" s="1659"/>
      <c r="K2" s="1660"/>
      <c r="L2" s="1661"/>
      <c r="M2" s="1655"/>
    </row>
    <row r="3" spans="1:13" ht="87.95" customHeight="1">
      <c r="A3" s="39" t="s">
        <v>247</v>
      </c>
      <c r="B3" s="1637" t="s">
        <v>741</v>
      </c>
      <c r="C3" s="1637"/>
      <c r="D3" s="41" t="s">
        <v>249</v>
      </c>
      <c r="E3" s="186"/>
      <c r="F3" s="41" t="s">
        <v>251</v>
      </c>
      <c r="G3" s="41"/>
      <c r="H3" s="41" t="s">
        <v>252</v>
      </c>
      <c r="I3" s="90" t="s">
        <v>425</v>
      </c>
      <c r="J3" s="1731"/>
      <c r="K3" s="1731"/>
      <c r="L3" s="1731"/>
      <c r="M3" s="1732"/>
    </row>
    <row r="4" spans="1:13" ht="47.25" customHeight="1">
      <c r="A4" s="39" t="s">
        <v>257</v>
      </c>
      <c r="B4" s="1637"/>
      <c r="C4" s="1637"/>
      <c r="D4" s="1637"/>
      <c r="E4" s="43" t="s">
        <v>258</v>
      </c>
      <c r="F4" s="1638"/>
      <c r="G4" s="1638"/>
      <c r="H4" s="1638"/>
      <c r="I4" s="90"/>
      <c r="J4" s="91" t="s">
        <v>253</v>
      </c>
      <c r="K4" s="40"/>
      <c r="L4" s="15" t="s">
        <v>255</v>
      </c>
      <c r="M4" s="105"/>
    </row>
    <row r="5" spans="1:13" ht="102.95" customHeight="1">
      <c r="A5" s="1036" t="s">
        <v>260</v>
      </c>
      <c r="B5" s="1664"/>
      <c r="C5" s="1664"/>
      <c r="D5" s="1664"/>
      <c r="E5" s="1734"/>
      <c r="F5" s="1735"/>
      <c r="G5" s="1735"/>
      <c r="H5" s="1736"/>
      <c r="I5" s="1637"/>
      <c r="J5" s="1637"/>
      <c r="K5" s="15"/>
      <c r="L5" s="41" t="s">
        <v>360</v>
      </c>
      <c r="M5" s="105"/>
    </row>
    <row r="6" spans="1:13" ht="30.75">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36" customHeight="1">
      <c r="A7" s="1409">
        <v>42948</v>
      </c>
      <c r="B7" s="1067">
        <v>844</v>
      </c>
      <c r="C7" s="1248">
        <f>B7*280</f>
        <v>236320</v>
      </c>
      <c r="D7" s="1067">
        <f>+B7</f>
        <v>844</v>
      </c>
      <c r="E7" s="1067">
        <f>C7</f>
        <v>236320</v>
      </c>
      <c r="F7" s="1410"/>
      <c r="G7" s="1245">
        <f>E7</f>
        <v>236320</v>
      </c>
      <c r="H7" s="1411"/>
      <c r="I7" s="1415"/>
      <c r="J7" s="1415">
        <f>I7</f>
        <v>0</v>
      </c>
      <c r="K7" s="1416"/>
      <c r="L7" s="1417">
        <f>E7-J7</f>
        <v>236320</v>
      </c>
      <c r="M7" s="1165"/>
    </row>
    <row r="8" spans="1:13" ht="36" customHeight="1">
      <c r="A8" s="1409"/>
      <c r="B8" s="1067"/>
      <c r="C8" s="1248"/>
      <c r="D8" s="1067">
        <f>D7+B8</f>
        <v>844</v>
      </c>
      <c r="E8" s="1067">
        <f>C8+E7</f>
        <v>236320</v>
      </c>
      <c r="F8" s="1412"/>
      <c r="G8" s="1245">
        <f>E7*0.3+C8</f>
        <v>70896</v>
      </c>
      <c r="H8" s="1411"/>
      <c r="I8" s="1418"/>
      <c r="J8" s="1415"/>
      <c r="K8" s="1416">
        <f>K7+H8-I8</f>
        <v>0</v>
      </c>
      <c r="L8" s="1417">
        <f>E8-J8</f>
        <v>236320</v>
      </c>
      <c r="M8" s="1199"/>
    </row>
    <row r="9" spans="1:13" ht="36" customHeight="1">
      <c r="A9" s="1413"/>
      <c r="B9" s="1067"/>
      <c r="C9" s="1067"/>
      <c r="D9" s="1067"/>
      <c r="E9" s="1067"/>
      <c r="F9" s="1412"/>
      <c r="G9" s="1245"/>
      <c r="H9" s="1411">
        <f>C7*0.7</f>
        <v>165424</v>
      </c>
      <c r="I9" s="1418"/>
      <c r="J9" s="1418"/>
      <c r="K9" s="1416">
        <f>K8+H9-I9</f>
        <v>165424</v>
      </c>
      <c r="L9" s="1417"/>
      <c r="M9" s="412"/>
    </row>
    <row r="10" spans="1:13" ht="36" customHeight="1">
      <c r="A10" s="1413"/>
      <c r="B10" s="1067"/>
      <c r="C10" s="1067"/>
      <c r="D10" s="1067"/>
      <c r="E10" s="1067"/>
      <c r="F10" s="1067"/>
      <c r="G10" s="1245"/>
      <c r="H10" s="1411"/>
      <c r="I10" s="1418"/>
      <c r="J10" s="1418"/>
      <c r="K10" s="1416"/>
      <c r="L10" s="1417"/>
      <c r="M10" s="412"/>
    </row>
    <row r="11" spans="1:13" ht="36" customHeight="1">
      <c r="A11" s="1413"/>
      <c r="B11" s="1067"/>
      <c r="C11" s="1067"/>
      <c r="D11" s="1067"/>
      <c r="E11" s="1067"/>
      <c r="F11" s="1067"/>
      <c r="G11" s="1245"/>
      <c r="H11" s="1411"/>
      <c r="I11" s="1418"/>
      <c r="J11" s="1418"/>
      <c r="K11" s="1416"/>
      <c r="L11" s="1417"/>
      <c r="M11" s="412"/>
    </row>
    <row r="12" spans="1:13" ht="36" customHeight="1">
      <c r="A12" s="1413"/>
      <c r="B12" s="1067"/>
      <c r="C12" s="1067"/>
      <c r="D12" s="1067"/>
      <c r="E12" s="1067"/>
      <c r="F12" s="1067"/>
      <c r="G12" s="1245"/>
      <c r="H12" s="1411"/>
      <c r="I12" s="1418"/>
      <c r="J12" s="1418"/>
      <c r="K12" s="1416"/>
      <c r="L12" s="259"/>
      <c r="M12" s="412"/>
    </row>
    <row r="13" spans="1:13" ht="36" customHeight="1">
      <c r="A13" s="1413"/>
      <c r="B13" s="1067"/>
      <c r="C13" s="1067"/>
      <c r="D13" s="1067"/>
      <c r="E13" s="1067"/>
      <c r="F13" s="1067"/>
      <c r="G13" s="1245"/>
      <c r="H13" s="1414"/>
      <c r="I13" s="1418"/>
      <c r="J13" s="1418"/>
      <c r="K13" s="1416"/>
      <c r="L13" s="259"/>
      <c r="M13" s="412"/>
    </row>
    <row r="14" spans="1:13" ht="36" customHeight="1">
      <c r="A14" s="1413"/>
      <c r="B14" s="1067"/>
      <c r="C14" s="1067"/>
      <c r="D14" s="1067"/>
      <c r="E14" s="1067"/>
      <c r="F14" s="1067"/>
      <c r="G14" s="1245"/>
      <c r="H14" s="1414"/>
      <c r="I14" s="1418"/>
      <c r="J14" s="1418"/>
      <c r="K14" s="1416"/>
      <c r="L14" s="259"/>
      <c r="M14" s="412"/>
    </row>
  </sheetData>
  <mergeCells count="12">
    <mergeCell ref="M1:M2"/>
    <mergeCell ref="J1:L2"/>
    <mergeCell ref="B2:C2"/>
    <mergeCell ref="E2:F2"/>
    <mergeCell ref="B3:C3"/>
    <mergeCell ref="J3:M3"/>
    <mergeCell ref="B4:D4"/>
    <mergeCell ref="F4:H4"/>
    <mergeCell ref="B5:D5"/>
    <mergeCell ref="E5:H5"/>
    <mergeCell ref="I5:J5"/>
    <mergeCell ref="I1:I2"/>
  </mergeCells>
  <phoneticPr fontId="84" type="noConversion"/>
  <pageMargins left="0.75" right="0.75" top="1" bottom="1" header="0.51" footer="0.51"/>
  <pageSetup paperSize="9" orientation="portrait" verticalDpi="200"/>
  <headerFooter scaleWithDoc="0"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2"/>
  <sheetViews>
    <sheetView topLeftCell="A34" zoomScaleSheetLayoutView="100" workbookViewId="0">
      <selection activeCell="J47" sqref="J47"/>
    </sheetView>
  </sheetViews>
  <sheetFormatPr defaultColWidth="9" defaultRowHeight="14.25"/>
  <cols>
    <col min="1" max="1" width="14.25" customWidth="1"/>
    <col min="2" max="2" width="15.5" customWidth="1"/>
    <col min="3" max="3" width="15.875" customWidth="1"/>
    <col min="4" max="4" width="11.5" customWidth="1"/>
    <col min="5" max="5" width="12.875" bestFit="1" customWidth="1"/>
    <col min="6" max="6" width="10.375" bestFit="1" customWidth="1"/>
    <col min="7" max="7" width="12" bestFit="1" customWidth="1"/>
    <col min="8" max="8" width="11.625" bestFit="1" customWidth="1"/>
    <col min="9" max="9" width="13.875" customWidth="1"/>
    <col min="10" max="10" width="14.125" bestFit="1" customWidth="1"/>
    <col min="11" max="11" width="13.25" bestFit="1" customWidth="1"/>
    <col min="12" max="12" width="14.875" customWidth="1"/>
    <col min="13" max="13" width="35.375" customWidth="1"/>
    <col min="14" max="14" width="9" customWidth="1"/>
    <col min="16" max="16" width="9" customWidth="1"/>
  </cols>
  <sheetData>
    <row r="1" spans="1:13">
      <c r="A1" s="1364" t="s">
        <v>742</v>
      </c>
      <c r="B1" s="1365" t="s">
        <v>743</v>
      </c>
      <c r="C1" s="1365"/>
      <c r="D1" s="38" t="s">
        <v>236</v>
      </c>
      <c r="E1" s="1744"/>
      <c r="F1" s="1744"/>
      <c r="G1" s="1744"/>
      <c r="H1" s="1744"/>
      <c r="I1" s="1367" t="s">
        <v>744</v>
      </c>
      <c r="J1" s="1745" t="s">
        <v>745</v>
      </c>
      <c r="K1" s="1745"/>
      <c r="L1" s="1745"/>
      <c r="M1" s="1368" t="s">
        <v>746</v>
      </c>
    </row>
    <row r="2" spans="1:13" ht="35.1" customHeight="1">
      <c r="A2" s="39" t="s">
        <v>240</v>
      </c>
      <c r="B2" s="1637" t="s">
        <v>747</v>
      </c>
      <c r="C2" s="1637"/>
      <c r="D2" s="41" t="s">
        <v>242</v>
      </c>
      <c r="E2" s="1746" t="s">
        <v>748</v>
      </c>
      <c r="F2" s="1746"/>
      <c r="G2" s="1746"/>
      <c r="H2" s="1746"/>
      <c r="I2" s="90" t="s">
        <v>243</v>
      </c>
      <c r="J2" s="1747" t="s">
        <v>749</v>
      </c>
      <c r="K2" s="1747"/>
      <c r="L2" s="1215" t="s">
        <v>245</v>
      </c>
      <c r="M2" s="1369" t="s">
        <v>750</v>
      </c>
    </row>
    <row r="3" spans="1:13" ht="42.75">
      <c r="A3" s="39" t="s">
        <v>247</v>
      </c>
      <c r="B3" s="1637" t="s">
        <v>751</v>
      </c>
      <c r="C3" s="1637"/>
      <c r="D3" s="41" t="s">
        <v>249</v>
      </c>
      <c r="E3" s="103">
        <v>60000</v>
      </c>
      <c r="F3" s="41" t="s">
        <v>251</v>
      </c>
      <c r="G3" s="59" t="s">
        <v>752</v>
      </c>
      <c r="H3" s="268" t="s">
        <v>252</v>
      </c>
      <c r="I3" s="1010"/>
      <c r="J3" s="41" t="s">
        <v>253</v>
      </c>
      <c r="K3" s="40" t="s">
        <v>753</v>
      </c>
      <c r="L3" s="41" t="s">
        <v>255</v>
      </c>
      <c r="M3" s="1370" t="s">
        <v>754</v>
      </c>
    </row>
    <row r="4" spans="1:13" ht="33" customHeight="1">
      <c r="A4" s="39" t="s">
        <v>755</v>
      </c>
      <c r="B4" s="1637" t="s">
        <v>756</v>
      </c>
      <c r="C4" s="1637"/>
      <c r="D4" s="1637"/>
      <c r="E4" s="1717" t="s">
        <v>757</v>
      </c>
      <c r="F4" s="1717"/>
      <c r="G4" s="1717"/>
      <c r="H4" s="1717"/>
      <c r="I4" s="1010"/>
      <c r="J4" s="41"/>
      <c r="K4" s="591"/>
      <c r="L4" s="41"/>
      <c r="M4" s="1370"/>
    </row>
    <row r="5" spans="1:13" ht="42" customHeight="1">
      <c r="A5" s="1366" t="s">
        <v>260</v>
      </c>
      <c r="B5" s="1748" t="s">
        <v>758</v>
      </c>
      <c r="C5" s="1748"/>
      <c r="D5" s="1748"/>
      <c r="E5" s="1748"/>
      <c r="F5" s="1748"/>
      <c r="G5" s="1748" t="s">
        <v>759</v>
      </c>
      <c r="H5" s="1748"/>
      <c r="I5" s="1748"/>
      <c r="J5" s="1748"/>
      <c r="K5" s="1749"/>
      <c r="L5" s="1749"/>
      <c r="M5" s="1750"/>
    </row>
    <row r="6" spans="1:13" ht="69" customHeight="1">
      <c r="A6" s="1366" t="s">
        <v>760</v>
      </c>
      <c r="B6" s="1751" t="s">
        <v>761</v>
      </c>
      <c r="C6" s="1752"/>
      <c r="D6" s="1752"/>
      <c r="E6" s="1752"/>
      <c r="F6" s="1752"/>
      <c r="G6" s="1752"/>
      <c r="H6" s="1753"/>
      <c r="I6" s="1748" t="s">
        <v>762</v>
      </c>
      <c r="J6" s="1748"/>
      <c r="K6" s="1748"/>
      <c r="L6" s="1748"/>
      <c r="M6" s="1371"/>
    </row>
    <row r="7" spans="1:13" ht="42.75">
      <c r="A7" s="560" t="s">
        <v>266</v>
      </c>
      <c r="B7" s="20" t="s">
        <v>267</v>
      </c>
      <c r="C7" s="20" t="s">
        <v>268</v>
      </c>
      <c r="D7" s="20" t="s">
        <v>269</v>
      </c>
      <c r="E7" s="20" t="s">
        <v>270</v>
      </c>
      <c r="F7" s="20" t="s">
        <v>271</v>
      </c>
      <c r="G7" s="20" t="s">
        <v>763</v>
      </c>
      <c r="H7" s="20" t="s">
        <v>273</v>
      </c>
      <c r="I7" s="20" t="s">
        <v>274</v>
      </c>
      <c r="J7" s="70" t="s">
        <v>275</v>
      </c>
      <c r="K7" s="70" t="s">
        <v>276</v>
      </c>
      <c r="L7" s="20" t="s">
        <v>277</v>
      </c>
      <c r="M7" s="568" t="s">
        <v>278</v>
      </c>
    </row>
    <row r="8" spans="1:13" ht="21" customHeight="1">
      <c r="A8" s="448" t="s">
        <v>764</v>
      </c>
      <c r="B8" s="140">
        <v>269</v>
      </c>
      <c r="C8" s="140">
        <v>72742.5</v>
      </c>
      <c r="D8" s="140">
        <f>B8</f>
        <v>269</v>
      </c>
      <c r="E8" s="140">
        <f>C8</f>
        <v>72742.5</v>
      </c>
      <c r="F8" s="140">
        <f t="shared" ref="F8:F22" si="0">60000-D8</f>
        <v>59731</v>
      </c>
      <c r="G8" s="140">
        <f t="shared" ref="G8:G38" si="1">C8</f>
        <v>72742.5</v>
      </c>
      <c r="H8" s="140"/>
      <c r="I8" s="140"/>
      <c r="J8" s="140"/>
      <c r="K8" s="140"/>
      <c r="L8" s="140">
        <f t="shared" ref="L8:L44" si="2">E8-J8</f>
        <v>72742.5</v>
      </c>
      <c r="M8" s="1372"/>
    </row>
    <row r="9" spans="1:13" ht="21" customHeight="1">
      <c r="A9" s="448">
        <v>41334</v>
      </c>
      <c r="B9" s="140">
        <v>116</v>
      </c>
      <c r="C9" s="140">
        <v>33950</v>
      </c>
      <c r="D9" s="140">
        <f t="shared" ref="D9:D44" si="3">D8+B9</f>
        <v>385</v>
      </c>
      <c r="E9" s="140">
        <f t="shared" ref="E9:E44" si="4">E8+C9</f>
        <v>106692.5</v>
      </c>
      <c r="F9" s="140">
        <f t="shared" si="0"/>
        <v>59615</v>
      </c>
      <c r="G9" s="140">
        <f t="shared" si="1"/>
        <v>33950</v>
      </c>
      <c r="H9" s="140"/>
      <c r="I9" s="140"/>
      <c r="J9" s="140"/>
      <c r="K9" s="140"/>
      <c r="L9" s="140">
        <f t="shared" si="2"/>
        <v>106692.5</v>
      </c>
      <c r="M9" s="1372"/>
    </row>
    <row r="10" spans="1:13" ht="21" customHeight="1">
      <c r="A10" s="448">
        <v>41365</v>
      </c>
      <c r="B10" s="140">
        <v>3322.5</v>
      </c>
      <c r="C10" s="140">
        <v>914547.5</v>
      </c>
      <c r="D10" s="140">
        <f t="shared" si="3"/>
        <v>3707.5</v>
      </c>
      <c r="E10" s="140">
        <f t="shared" si="4"/>
        <v>1021240</v>
      </c>
      <c r="F10" s="140">
        <f t="shared" si="0"/>
        <v>56292.5</v>
      </c>
      <c r="G10" s="140">
        <f t="shared" si="1"/>
        <v>914547.5</v>
      </c>
      <c r="H10" s="140">
        <f t="shared" ref="H10:H45" si="5">C8</f>
        <v>72742.5</v>
      </c>
      <c r="I10" s="140"/>
      <c r="J10" s="140"/>
      <c r="K10" s="140">
        <f t="shared" ref="K10:K45" si="6">K9+H10-I10</f>
        <v>72742.5</v>
      </c>
      <c r="L10" s="140">
        <f t="shared" si="2"/>
        <v>1021240</v>
      </c>
      <c r="M10" s="1372"/>
    </row>
    <row r="11" spans="1:13" ht="21" customHeight="1">
      <c r="A11" s="1095">
        <v>41395</v>
      </c>
      <c r="B11" s="612">
        <v>3204</v>
      </c>
      <c r="C11" s="612">
        <v>886402.5</v>
      </c>
      <c r="D11" s="140">
        <f t="shared" si="3"/>
        <v>6911.5</v>
      </c>
      <c r="E11" s="140">
        <f t="shared" si="4"/>
        <v>1907642.5</v>
      </c>
      <c r="F11" s="140">
        <f t="shared" si="0"/>
        <v>53088.5</v>
      </c>
      <c r="G11" s="140">
        <f t="shared" si="1"/>
        <v>886402.5</v>
      </c>
      <c r="H11" s="140">
        <f t="shared" si="5"/>
        <v>33950</v>
      </c>
      <c r="I11" s="612"/>
      <c r="J11" s="612"/>
      <c r="K11" s="140">
        <f t="shared" si="6"/>
        <v>106692.5</v>
      </c>
      <c r="L11" s="140">
        <f t="shared" si="2"/>
        <v>1907642.5</v>
      </c>
      <c r="M11" s="1373"/>
    </row>
    <row r="12" spans="1:13" ht="21" customHeight="1">
      <c r="A12" s="1095">
        <v>41426</v>
      </c>
      <c r="B12" s="612">
        <v>4957.5</v>
      </c>
      <c r="C12" s="735">
        <v>1363890</v>
      </c>
      <c r="D12" s="140">
        <f t="shared" si="3"/>
        <v>11869</v>
      </c>
      <c r="E12" s="140">
        <f t="shared" si="4"/>
        <v>3271532.5</v>
      </c>
      <c r="F12" s="140">
        <f t="shared" si="0"/>
        <v>48131</v>
      </c>
      <c r="G12" s="140">
        <f t="shared" si="1"/>
        <v>1363890</v>
      </c>
      <c r="H12" s="140">
        <f t="shared" si="5"/>
        <v>914547.5</v>
      </c>
      <c r="I12" s="612"/>
      <c r="J12" s="612"/>
      <c r="K12" s="140">
        <f t="shared" si="6"/>
        <v>1021240</v>
      </c>
      <c r="L12" s="140">
        <f t="shared" si="2"/>
        <v>3271532.5</v>
      </c>
      <c r="M12" s="1373" t="s">
        <v>765</v>
      </c>
    </row>
    <row r="13" spans="1:13" ht="21" customHeight="1">
      <c r="A13" s="1095">
        <v>41456</v>
      </c>
      <c r="B13" s="612">
        <v>5120.5</v>
      </c>
      <c r="C13" s="612">
        <v>1411270</v>
      </c>
      <c r="D13" s="140">
        <f t="shared" si="3"/>
        <v>16989.5</v>
      </c>
      <c r="E13" s="140">
        <f t="shared" si="4"/>
        <v>4682802.5</v>
      </c>
      <c r="F13" s="140">
        <f t="shared" si="0"/>
        <v>43010.5</v>
      </c>
      <c r="G13" s="140">
        <f t="shared" si="1"/>
        <v>1411270</v>
      </c>
      <c r="H13" s="140">
        <f t="shared" si="5"/>
        <v>886402.5</v>
      </c>
      <c r="I13" s="612"/>
      <c r="J13" s="612"/>
      <c r="K13" s="140">
        <f t="shared" si="6"/>
        <v>1907642.5</v>
      </c>
      <c r="L13" s="140">
        <f t="shared" si="2"/>
        <v>4682802.5</v>
      </c>
      <c r="M13" s="1373"/>
    </row>
    <row r="14" spans="1:13" ht="21" customHeight="1">
      <c r="A14" s="1095">
        <v>41487</v>
      </c>
      <c r="B14" s="612">
        <v>4872</v>
      </c>
      <c r="C14" s="612">
        <v>1357547.5</v>
      </c>
      <c r="D14" s="140">
        <f t="shared" si="3"/>
        <v>21861.5</v>
      </c>
      <c r="E14" s="140">
        <f t="shared" si="4"/>
        <v>6040350</v>
      </c>
      <c r="F14" s="140">
        <f t="shared" si="0"/>
        <v>38138.5</v>
      </c>
      <c r="G14" s="140">
        <f t="shared" si="1"/>
        <v>1357547.5</v>
      </c>
      <c r="H14" s="140">
        <f t="shared" si="5"/>
        <v>1363890</v>
      </c>
      <c r="I14" s="612">
        <v>1900000</v>
      </c>
      <c r="J14" s="612">
        <f t="shared" ref="J14:J44" si="7">J13+I14</f>
        <v>1900000</v>
      </c>
      <c r="K14" s="140">
        <f t="shared" si="6"/>
        <v>1371532.5</v>
      </c>
      <c r="L14" s="140">
        <f t="shared" si="2"/>
        <v>4140350</v>
      </c>
      <c r="M14" s="1373" t="s">
        <v>766</v>
      </c>
    </row>
    <row r="15" spans="1:13" ht="21" customHeight="1">
      <c r="A15" s="1095">
        <v>41518</v>
      </c>
      <c r="B15" s="612">
        <v>4453.5</v>
      </c>
      <c r="C15" s="612">
        <v>1249067.5</v>
      </c>
      <c r="D15" s="140">
        <f t="shared" si="3"/>
        <v>26315</v>
      </c>
      <c r="E15" s="140">
        <f t="shared" si="4"/>
        <v>7289417.5</v>
      </c>
      <c r="F15" s="140">
        <f t="shared" si="0"/>
        <v>33685</v>
      </c>
      <c r="G15" s="140">
        <f t="shared" si="1"/>
        <v>1249067.5</v>
      </c>
      <c r="H15" s="140">
        <f t="shared" si="5"/>
        <v>1411270</v>
      </c>
      <c r="I15" s="612">
        <v>0</v>
      </c>
      <c r="J15" s="612">
        <f t="shared" si="7"/>
        <v>1900000</v>
      </c>
      <c r="K15" s="140">
        <f t="shared" si="6"/>
        <v>2782802.5</v>
      </c>
      <c r="L15" s="140">
        <f t="shared" si="2"/>
        <v>5389417.5</v>
      </c>
      <c r="M15" s="1373" t="s">
        <v>767</v>
      </c>
    </row>
    <row r="16" spans="1:13" ht="21" customHeight="1">
      <c r="A16" s="1095">
        <v>41548</v>
      </c>
      <c r="B16" s="612">
        <v>3748</v>
      </c>
      <c r="C16" s="735">
        <v>1256100</v>
      </c>
      <c r="D16" s="140">
        <f t="shared" si="3"/>
        <v>30063</v>
      </c>
      <c r="E16" s="140">
        <f t="shared" si="4"/>
        <v>8545517.5</v>
      </c>
      <c r="F16" s="140">
        <f t="shared" si="0"/>
        <v>29937</v>
      </c>
      <c r="G16" s="140">
        <f t="shared" si="1"/>
        <v>1256100</v>
      </c>
      <c r="H16" s="140">
        <f t="shared" si="5"/>
        <v>1357547.5</v>
      </c>
      <c r="I16" s="612">
        <v>1000000</v>
      </c>
      <c r="J16" s="612">
        <f t="shared" si="7"/>
        <v>2900000</v>
      </c>
      <c r="K16" s="140">
        <f t="shared" si="6"/>
        <v>3140350</v>
      </c>
      <c r="L16" s="140">
        <f t="shared" si="2"/>
        <v>5645517.5</v>
      </c>
      <c r="M16" s="1373" t="s">
        <v>768</v>
      </c>
    </row>
    <row r="17" spans="1:13" ht="21" customHeight="1">
      <c r="A17" s="1095">
        <v>41579</v>
      </c>
      <c r="B17" s="612">
        <v>2767</v>
      </c>
      <c r="C17" s="612">
        <v>945707.5</v>
      </c>
      <c r="D17" s="140">
        <f t="shared" si="3"/>
        <v>32830</v>
      </c>
      <c r="E17" s="140">
        <f t="shared" si="4"/>
        <v>9491225</v>
      </c>
      <c r="F17" s="140">
        <f t="shared" si="0"/>
        <v>27170</v>
      </c>
      <c r="G17" s="140">
        <f t="shared" si="1"/>
        <v>945707.5</v>
      </c>
      <c r="H17" s="140">
        <f t="shared" si="5"/>
        <v>1249067.5</v>
      </c>
      <c r="I17" s="612">
        <v>1000000</v>
      </c>
      <c r="J17" s="612">
        <f t="shared" si="7"/>
        <v>3900000</v>
      </c>
      <c r="K17" s="140">
        <f t="shared" si="6"/>
        <v>3389417.5</v>
      </c>
      <c r="L17" s="140">
        <f t="shared" si="2"/>
        <v>5591225</v>
      </c>
      <c r="M17" s="1373" t="s">
        <v>769</v>
      </c>
    </row>
    <row r="18" spans="1:13" ht="21" customHeight="1">
      <c r="A18" s="1095">
        <v>41609</v>
      </c>
      <c r="B18" s="612">
        <v>4159.7</v>
      </c>
      <c r="C18" s="612">
        <v>1434486</v>
      </c>
      <c r="D18" s="140">
        <f t="shared" si="3"/>
        <v>36989.699999999997</v>
      </c>
      <c r="E18" s="140">
        <f t="shared" si="4"/>
        <v>10925711</v>
      </c>
      <c r="F18" s="140">
        <f t="shared" si="0"/>
        <v>23010.300000000003</v>
      </c>
      <c r="G18" s="140">
        <f t="shared" si="1"/>
        <v>1434486</v>
      </c>
      <c r="H18" s="140">
        <f t="shared" si="5"/>
        <v>1256100</v>
      </c>
      <c r="I18" s="612">
        <f>1000000</f>
        <v>1000000</v>
      </c>
      <c r="J18" s="612">
        <f t="shared" si="7"/>
        <v>4900000</v>
      </c>
      <c r="K18" s="140">
        <f t="shared" si="6"/>
        <v>3645517.5</v>
      </c>
      <c r="L18" s="140">
        <f t="shared" si="2"/>
        <v>6025711</v>
      </c>
      <c r="M18" s="1373" t="s">
        <v>770</v>
      </c>
    </row>
    <row r="19" spans="1:13" ht="21" customHeight="1">
      <c r="A19" s="1095">
        <v>41640</v>
      </c>
      <c r="B19" s="612">
        <v>5874.5</v>
      </c>
      <c r="C19" s="612">
        <v>2047030</v>
      </c>
      <c r="D19" s="140">
        <f t="shared" si="3"/>
        <v>42864.2</v>
      </c>
      <c r="E19" s="140">
        <f t="shared" si="4"/>
        <v>12972741</v>
      </c>
      <c r="F19" s="140">
        <f t="shared" si="0"/>
        <v>17135.800000000003</v>
      </c>
      <c r="G19" s="140">
        <f t="shared" si="1"/>
        <v>2047030</v>
      </c>
      <c r="H19" s="140">
        <f t="shared" si="5"/>
        <v>945707.5</v>
      </c>
      <c r="I19" s="612">
        <v>3400000</v>
      </c>
      <c r="J19" s="612">
        <f t="shared" si="7"/>
        <v>8300000</v>
      </c>
      <c r="K19" s="140">
        <f t="shared" si="6"/>
        <v>1191225</v>
      </c>
      <c r="L19" s="140">
        <f t="shared" si="2"/>
        <v>4672741</v>
      </c>
      <c r="M19" s="1373"/>
    </row>
    <row r="20" spans="1:13" ht="21" customHeight="1">
      <c r="A20" s="1095">
        <v>41671</v>
      </c>
      <c r="B20" s="612">
        <v>893</v>
      </c>
      <c r="C20" s="612">
        <v>315077.5</v>
      </c>
      <c r="D20" s="140">
        <f t="shared" si="3"/>
        <v>43757.2</v>
      </c>
      <c r="E20" s="140">
        <f t="shared" si="4"/>
        <v>13287818.5</v>
      </c>
      <c r="F20" s="140">
        <f t="shared" si="0"/>
        <v>16242.800000000003</v>
      </c>
      <c r="G20" s="140">
        <f t="shared" si="1"/>
        <v>315077.5</v>
      </c>
      <c r="H20" s="140">
        <f t="shared" si="5"/>
        <v>1434486</v>
      </c>
      <c r="I20" s="612">
        <v>0</v>
      </c>
      <c r="J20" s="612">
        <f t="shared" si="7"/>
        <v>8300000</v>
      </c>
      <c r="K20" s="140">
        <f t="shared" si="6"/>
        <v>2625711</v>
      </c>
      <c r="L20" s="140">
        <f t="shared" si="2"/>
        <v>4987818.5</v>
      </c>
      <c r="M20" s="1373" t="s">
        <v>771</v>
      </c>
    </row>
    <row r="21" spans="1:13" ht="21" customHeight="1">
      <c r="A21" s="1095">
        <v>41699</v>
      </c>
      <c r="B21" s="612">
        <v>5241</v>
      </c>
      <c r="C21" s="612">
        <v>1745145</v>
      </c>
      <c r="D21" s="140">
        <f t="shared" si="3"/>
        <v>48998.2</v>
      </c>
      <c r="E21" s="140">
        <f t="shared" si="4"/>
        <v>15032963.5</v>
      </c>
      <c r="F21" s="140">
        <f t="shared" si="0"/>
        <v>11001.800000000003</v>
      </c>
      <c r="G21" s="612">
        <f t="shared" si="1"/>
        <v>1745145</v>
      </c>
      <c r="H21" s="140">
        <f t="shared" si="5"/>
        <v>2047030</v>
      </c>
      <c r="I21" s="612">
        <v>0</v>
      </c>
      <c r="J21" s="612">
        <f t="shared" si="7"/>
        <v>8300000</v>
      </c>
      <c r="K21" s="140">
        <f t="shared" si="6"/>
        <v>4672741</v>
      </c>
      <c r="L21" s="140">
        <f t="shared" si="2"/>
        <v>6732963.5</v>
      </c>
      <c r="M21" s="1374" t="s">
        <v>772</v>
      </c>
    </row>
    <row r="22" spans="1:13" ht="21" customHeight="1">
      <c r="A22" s="1096">
        <v>41730</v>
      </c>
      <c r="B22" s="338">
        <v>6984.5</v>
      </c>
      <c r="C22" s="338">
        <v>2279942.5</v>
      </c>
      <c r="D22" s="200">
        <f t="shared" si="3"/>
        <v>55982.7</v>
      </c>
      <c r="E22" s="200">
        <f t="shared" si="4"/>
        <v>17312906</v>
      </c>
      <c r="F22" s="200">
        <f t="shared" si="0"/>
        <v>4017.3000000000029</v>
      </c>
      <c r="G22" s="338">
        <f t="shared" si="1"/>
        <v>2279942.5</v>
      </c>
      <c r="H22" s="200">
        <f t="shared" si="5"/>
        <v>315077.5</v>
      </c>
      <c r="I22" s="338">
        <f>1200000+1000000+800000</f>
        <v>3000000</v>
      </c>
      <c r="J22" s="338">
        <f t="shared" si="7"/>
        <v>11300000</v>
      </c>
      <c r="K22" s="200">
        <f t="shared" si="6"/>
        <v>1987818.5</v>
      </c>
      <c r="L22" s="200">
        <f t="shared" si="2"/>
        <v>6012906</v>
      </c>
      <c r="M22" s="1375" t="s">
        <v>773</v>
      </c>
    </row>
    <row r="23" spans="1:13" ht="21" customHeight="1">
      <c r="A23" s="1096">
        <v>41760</v>
      </c>
      <c r="B23" s="338">
        <v>4637</v>
      </c>
      <c r="C23" s="338">
        <v>1504927.5</v>
      </c>
      <c r="D23" s="200">
        <f t="shared" si="3"/>
        <v>60619.7</v>
      </c>
      <c r="E23" s="200">
        <f t="shared" si="4"/>
        <v>18817833.5</v>
      </c>
      <c r="F23" s="200"/>
      <c r="G23" s="338">
        <f t="shared" si="1"/>
        <v>1504927.5</v>
      </c>
      <c r="H23" s="200">
        <f t="shared" si="5"/>
        <v>1745145</v>
      </c>
      <c r="I23" s="338">
        <v>1000000</v>
      </c>
      <c r="J23" s="338">
        <f t="shared" si="7"/>
        <v>12300000</v>
      </c>
      <c r="K23" s="200">
        <f t="shared" si="6"/>
        <v>2732963.5</v>
      </c>
      <c r="L23" s="200">
        <f t="shared" si="2"/>
        <v>6517833.5</v>
      </c>
      <c r="M23" s="1375" t="s">
        <v>774</v>
      </c>
    </row>
    <row r="24" spans="1:13" ht="21" customHeight="1">
      <c r="A24" s="1096">
        <v>41791</v>
      </c>
      <c r="B24" s="338">
        <v>3650</v>
      </c>
      <c r="C24" s="338">
        <v>1196052.5</v>
      </c>
      <c r="D24" s="200">
        <f t="shared" si="3"/>
        <v>64269.7</v>
      </c>
      <c r="E24" s="200">
        <f t="shared" si="4"/>
        <v>20013886</v>
      </c>
      <c r="F24" s="200"/>
      <c r="G24" s="338">
        <f t="shared" si="1"/>
        <v>1196052.5</v>
      </c>
      <c r="H24" s="200">
        <f t="shared" si="5"/>
        <v>2279942.5</v>
      </c>
      <c r="I24" s="338">
        <v>800000</v>
      </c>
      <c r="J24" s="338">
        <f t="shared" si="7"/>
        <v>13100000</v>
      </c>
      <c r="K24" s="200">
        <f t="shared" si="6"/>
        <v>4212906</v>
      </c>
      <c r="L24" s="200">
        <f t="shared" si="2"/>
        <v>6913886</v>
      </c>
      <c r="M24" s="1376" t="s">
        <v>775</v>
      </c>
    </row>
    <row r="25" spans="1:13" ht="21" customHeight="1">
      <c r="A25" s="1096">
        <v>41821</v>
      </c>
      <c r="B25" s="338">
        <v>2376.5</v>
      </c>
      <c r="C25" s="338">
        <v>779637.5</v>
      </c>
      <c r="D25" s="200">
        <f t="shared" si="3"/>
        <v>66646.2</v>
      </c>
      <c r="E25" s="200">
        <f t="shared" si="4"/>
        <v>20793523.5</v>
      </c>
      <c r="F25" s="200"/>
      <c r="G25" s="338">
        <f t="shared" si="1"/>
        <v>779637.5</v>
      </c>
      <c r="H25" s="200">
        <f t="shared" si="5"/>
        <v>1504927.5</v>
      </c>
      <c r="I25" s="338">
        <v>1300000</v>
      </c>
      <c r="J25" s="338">
        <f t="shared" si="7"/>
        <v>14400000</v>
      </c>
      <c r="K25" s="200">
        <f t="shared" si="6"/>
        <v>4417833.5</v>
      </c>
      <c r="L25" s="200">
        <f t="shared" si="2"/>
        <v>6393523.5</v>
      </c>
      <c r="M25" s="1376" t="s">
        <v>776</v>
      </c>
    </row>
    <row r="26" spans="1:13" ht="21" customHeight="1">
      <c r="A26" s="1096">
        <v>41853</v>
      </c>
      <c r="B26" s="338">
        <v>3548</v>
      </c>
      <c r="C26" s="338">
        <v>1169970</v>
      </c>
      <c r="D26" s="200">
        <f t="shared" si="3"/>
        <v>70194.2</v>
      </c>
      <c r="E26" s="200">
        <f t="shared" si="4"/>
        <v>21963493.5</v>
      </c>
      <c r="F26" s="200"/>
      <c r="G26" s="338">
        <f t="shared" si="1"/>
        <v>1169970</v>
      </c>
      <c r="H26" s="200">
        <f t="shared" si="5"/>
        <v>1196052.5</v>
      </c>
      <c r="I26" s="338">
        <f>700000+3000000</f>
        <v>3700000</v>
      </c>
      <c r="J26" s="338">
        <f t="shared" si="7"/>
        <v>18100000</v>
      </c>
      <c r="K26" s="200">
        <f t="shared" si="6"/>
        <v>1913886</v>
      </c>
      <c r="L26" s="200">
        <f t="shared" si="2"/>
        <v>3863493.5</v>
      </c>
      <c r="M26" s="1376" t="s">
        <v>777</v>
      </c>
    </row>
    <row r="27" spans="1:13" ht="21" customHeight="1">
      <c r="A27" s="1096">
        <v>41885</v>
      </c>
      <c r="B27" s="338">
        <v>1829</v>
      </c>
      <c r="C27" s="338">
        <v>596615</v>
      </c>
      <c r="D27" s="200">
        <f t="shared" si="3"/>
        <v>72023.199999999997</v>
      </c>
      <c r="E27" s="200">
        <f t="shared" si="4"/>
        <v>22560108.5</v>
      </c>
      <c r="F27" s="200"/>
      <c r="G27" s="338">
        <f t="shared" si="1"/>
        <v>596615</v>
      </c>
      <c r="H27" s="200">
        <f t="shared" si="5"/>
        <v>779637.5</v>
      </c>
      <c r="I27" s="338">
        <v>700000</v>
      </c>
      <c r="J27" s="338">
        <f t="shared" si="7"/>
        <v>18800000</v>
      </c>
      <c r="K27" s="200">
        <f t="shared" si="6"/>
        <v>1993523.5</v>
      </c>
      <c r="L27" s="200">
        <f t="shared" si="2"/>
        <v>3760108.5</v>
      </c>
      <c r="M27" s="1376" t="s">
        <v>778</v>
      </c>
    </row>
    <row r="28" spans="1:13" ht="21" customHeight="1">
      <c r="A28" s="1096">
        <v>41917</v>
      </c>
      <c r="B28" s="338">
        <v>1516.5</v>
      </c>
      <c r="C28" s="338">
        <v>494570</v>
      </c>
      <c r="D28" s="200">
        <f t="shared" si="3"/>
        <v>73539.7</v>
      </c>
      <c r="E28" s="200">
        <f t="shared" si="4"/>
        <v>23054678.5</v>
      </c>
      <c r="F28" s="200"/>
      <c r="G28" s="338">
        <f t="shared" si="1"/>
        <v>494570</v>
      </c>
      <c r="H28" s="200">
        <f t="shared" si="5"/>
        <v>1169970</v>
      </c>
      <c r="I28" s="338">
        <v>1000000</v>
      </c>
      <c r="J28" s="338">
        <f t="shared" si="7"/>
        <v>19800000</v>
      </c>
      <c r="K28" s="200">
        <f t="shared" si="6"/>
        <v>2163493.5</v>
      </c>
      <c r="L28" s="200">
        <f t="shared" si="2"/>
        <v>3254678.5</v>
      </c>
      <c r="M28" s="1376" t="s">
        <v>779</v>
      </c>
    </row>
    <row r="29" spans="1:13" ht="21" customHeight="1">
      <c r="A29" s="1096">
        <v>41949</v>
      </c>
      <c r="B29" s="338">
        <v>778</v>
      </c>
      <c r="C29" s="338">
        <v>258245</v>
      </c>
      <c r="D29" s="200">
        <f t="shared" si="3"/>
        <v>74317.7</v>
      </c>
      <c r="E29" s="200">
        <f t="shared" si="4"/>
        <v>23312923.5</v>
      </c>
      <c r="F29" s="200"/>
      <c r="G29" s="338">
        <f t="shared" si="1"/>
        <v>258245</v>
      </c>
      <c r="H29" s="200">
        <f t="shared" si="5"/>
        <v>596615</v>
      </c>
      <c r="I29" s="338">
        <v>700000</v>
      </c>
      <c r="J29" s="338">
        <f t="shared" si="7"/>
        <v>20500000</v>
      </c>
      <c r="K29" s="200">
        <f t="shared" si="6"/>
        <v>2060108.5</v>
      </c>
      <c r="L29" s="200">
        <f t="shared" si="2"/>
        <v>2812923.5</v>
      </c>
      <c r="M29" s="1376" t="s">
        <v>780</v>
      </c>
    </row>
    <row r="30" spans="1:13" ht="21" customHeight="1">
      <c r="A30" s="1096">
        <v>41981</v>
      </c>
      <c r="B30" s="338">
        <v>319</v>
      </c>
      <c r="C30" s="338">
        <v>101915</v>
      </c>
      <c r="D30" s="200">
        <f t="shared" si="3"/>
        <v>74636.7</v>
      </c>
      <c r="E30" s="200">
        <f t="shared" si="4"/>
        <v>23414838.5</v>
      </c>
      <c r="F30" s="200"/>
      <c r="G30" s="338">
        <f t="shared" si="1"/>
        <v>101915</v>
      </c>
      <c r="H30" s="200">
        <f t="shared" si="5"/>
        <v>494570</v>
      </c>
      <c r="I30" s="338">
        <v>700000</v>
      </c>
      <c r="J30" s="338">
        <f t="shared" si="7"/>
        <v>21200000</v>
      </c>
      <c r="K30" s="200">
        <f t="shared" si="6"/>
        <v>1854678.5</v>
      </c>
      <c r="L30" s="200">
        <f t="shared" si="2"/>
        <v>2214838.5</v>
      </c>
      <c r="M30" s="1377" t="s">
        <v>781</v>
      </c>
    </row>
    <row r="31" spans="1:13" ht="21" customHeight="1">
      <c r="A31" s="1096">
        <v>42005</v>
      </c>
      <c r="B31" s="338">
        <v>369.5</v>
      </c>
      <c r="C31" s="338">
        <v>119057.5</v>
      </c>
      <c r="D31" s="200">
        <f t="shared" si="3"/>
        <v>75006.2</v>
      </c>
      <c r="E31" s="200">
        <f t="shared" si="4"/>
        <v>23533896</v>
      </c>
      <c r="F31" s="200"/>
      <c r="G31" s="338">
        <f t="shared" si="1"/>
        <v>119057.5</v>
      </c>
      <c r="H31" s="200">
        <f t="shared" si="5"/>
        <v>258245</v>
      </c>
      <c r="I31" s="338">
        <v>700000</v>
      </c>
      <c r="J31" s="338">
        <f t="shared" si="7"/>
        <v>21900000</v>
      </c>
      <c r="K31" s="200">
        <f t="shared" si="6"/>
        <v>1412923.5</v>
      </c>
      <c r="L31" s="200">
        <f t="shared" si="2"/>
        <v>1633896</v>
      </c>
      <c r="M31" s="1377"/>
    </row>
    <row r="32" spans="1:13" ht="21" customHeight="1">
      <c r="A32" s="1096">
        <v>42037</v>
      </c>
      <c r="B32" s="338">
        <v>217</v>
      </c>
      <c r="C32" s="338">
        <v>70665</v>
      </c>
      <c r="D32" s="200">
        <f t="shared" si="3"/>
        <v>75223.199999999997</v>
      </c>
      <c r="E32" s="200">
        <f t="shared" si="4"/>
        <v>23604561</v>
      </c>
      <c r="F32" s="200"/>
      <c r="G32" s="338">
        <f t="shared" si="1"/>
        <v>70665</v>
      </c>
      <c r="H32" s="200">
        <f t="shared" si="5"/>
        <v>101915</v>
      </c>
      <c r="I32" s="338"/>
      <c r="J32" s="338">
        <f t="shared" si="7"/>
        <v>21900000</v>
      </c>
      <c r="K32" s="200">
        <f t="shared" si="6"/>
        <v>1514838.5</v>
      </c>
      <c r="L32" s="200">
        <f t="shared" si="2"/>
        <v>1704561</v>
      </c>
      <c r="M32" s="1377"/>
    </row>
    <row r="33" spans="1:13" ht="21" customHeight="1">
      <c r="A33" s="1096">
        <v>42069</v>
      </c>
      <c r="B33" s="338">
        <v>1363.5</v>
      </c>
      <c r="C33" s="338">
        <v>449557.5</v>
      </c>
      <c r="D33" s="200">
        <f t="shared" si="3"/>
        <v>76586.7</v>
      </c>
      <c r="E33" s="200">
        <f t="shared" si="4"/>
        <v>24054118.5</v>
      </c>
      <c r="F33" s="338"/>
      <c r="G33" s="338">
        <f t="shared" si="1"/>
        <v>449557.5</v>
      </c>
      <c r="H33" s="200">
        <f t="shared" si="5"/>
        <v>119057.5</v>
      </c>
      <c r="I33" s="338"/>
      <c r="J33" s="338">
        <f t="shared" si="7"/>
        <v>21900000</v>
      </c>
      <c r="K33" s="200">
        <f t="shared" si="6"/>
        <v>1633896</v>
      </c>
      <c r="L33" s="200">
        <f t="shared" si="2"/>
        <v>2154118.5</v>
      </c>
      <c r="M33" s="1377"/>
    </row>
    <row r="34" spans="1:13" ht="21" customHeight="1">
      <c r="A34" s="1096">
        <v>42095</v>
      </c>
      <c r="B34" s="338">
        <v>1426.5</v>
      </c>
      <c r="C34" s="338">
        <v>471020</v>
      </c>
      <c r="D34" s="200">
        <f t="shared" si="3"/>
        <v>78013.2</v>
      </c>
      <c r="E34" s="200">
        <f t="shared" si="4"/>
        <v>24525138.5</v>
      </c>
      <c r="F34" s="338"/>
      <c r="G34" s="338">
        <f t="shared" si="1"/>
        <v>471020</v>
      </c>
      <c r="H34" s="200">
        <f t="shared" si="5"/>
        <v>70665</v>
      </c>
      <c r="I34" s="338"/>
      <c r="J34" s="338">
        <f t="shared" si="7"/>
        <v>21900000</v>
      </c>
      <c r="K34" s="200">
        <f t="shared" si="6"/>
        <v>1704561</v>
      </c>
      <c r="L34" s="200">
        <f t="shared" si="2"/>
        <v>2625138.5</v>
      </c>
      <c r="M34" s="1376" t="s">
        <v>782</v>
      </c>
    </row>
    <row r="35" spans="1:13" ht="21" customHeight="1">
      <c r="A35" s="1096">
        <v>42125</v>
      </c>
      <c r="B35" s="338">
        <v>516</v>
      </c>
      <c r="C35" s="338">
        <v>176370</v>
      </c>
      <c r="D35" s="200">
        <f t="shared" si="3"/>
        <v>78529.2</v>
      </c>
      <c r="E35" s="200">
        <f t="shared" si="4"/>
        <v>24701508.5</v>
      </c>
      <c r="F35" s="338"/>
      <c r="G35" s="338">
        <f t="shared" si="1"/>
        <v>176370</v>
      </c>
      <c r="H35" s="200">
        <f t="shared" si="5"/>
        <v>449557.5</v>
      </c>
      <c r="I35" s="338"/>
      <c r="J35" s="338">
        <f t="shared" si="7"/>
        <v>21900000</v>
      </c>
      <c r="K35" s="200">
        <f t="shared" si="6"/>
        <v>2154118.5</v>
      </c>
      <c r="L35" s="200">
        <f t="shared" si="2"/>
        <v>2801508.5</v>
      </c>
      <c r="M35" s="1377" t="s">
        <v>783</v>
      </c>
    </row>
    <row r="36" spans="1:13" ht="21" customHeight="1">
      <c r="A36" s="1096">
        <v>42156</v>
      </c>
      <c r="B36" s="338">
        <v>128</v>
      </c>
      <c r="C36" s="338">
        <v>40720</v>
      </c>
      <c r="D36" s="200">
        <f t="shared" si="3"/>
        <v>78657.2</v>
      </c>
      <c r="E36" s="200">
        <f t="shared" si="4"/>
        <v>24742228.5</v>
      </c>
      <c r="F36" s="338"/>
      <c r="G36" s="338">
        <f t="shared" si="1"/>
        <v>40720</v>
      </c>
      <c r="H36" s="200">
        <f t="shared" si="5"/>
        <v>471020</v>
      </c>
      <c r="I36" s="338">
        <v>1200000</v>
      </c>
      <c r="J36" s="338">
        <f t="shared" si="7"/>
        <v>23100000</v>
      </c>
      <c r="K36" s="200">
        <f t="shared" si="6"/>
        <v>1425138.5</v>
      </c>
      <c r="L36" s="200">
        <f t="shared" si="2"/>
        <v>1642228.5</v>
      </c>
      <c r="M36" s="1377" t="s">
        <v>784</v>
      </c>
    </row>
    <row r="37" spans="1:13" ht="21" customHeight="1">
      <c r="A37" s="1096">
        <v>42186</v>
      </c>
      <c r="B37" s="338">
        <v>514</v>
      </c>
      <c r="C37" s="338">
        <v>159980</v>
      </c>
      <c r="D37" s="200">
        <f t="shared" si="3"/>
        <v>79171.199999999997</v>
      </c>
      <c r="E37" s="200">
        <f t="shared" si="4"/>
        <v>24902208.5</v>
      </c>
      <c r="F37" s="338"/>
      <c r="G37" s="338">
        <f t="shared" si="1"/>
        <v>159980</v>
      </c>
      <c r="H37" s="200">
        <f t="shared" si="5"/>
        <v>176370</v>
      </c>
      <c r="I37" s="338"/>
      <c r="J37" s="338">
        <f t="shared" si="7"/>
        <v>23100000</v>
      </c>
      <c r="K37" s="200">
        <f t="shared" si="6"/>
        <v>1601508.5</v>
      </c>
      <c r="L37" s="200">
        <f t="shared" si="2"/>
        <v>1802208.5</v>
      </c>
      <c r="M37" s="1377"/>
    </row>
    <row r="38" spans="1:13" ht="21" customHeight="1">
      <c r="A38" s="1096">
        <v>42217</v>
      </c>
      <c r="B38" s="338">
        <v>288</v>
      </c>
      <c r="C38" s="338">
        <v>84560</v>
      </c>
      <c r="D38" s="200">
        <f t="shared" si="3"/>
        <v>79459.199999999997</v>
      </c>
      <c r="E38" s="200">
        <f t="shared" si="4"/>
        <v>24986768.5</v>
      </c>
      <c r="F38" s="338"/>
      <c r="G38" s="338">
        <f t="shared" si="1"/>
        <v>84560</v>
      </c>
      <c r="H38" s="200">
        <f t="shared" si="5"/>
        <v>40720</v>
      </c>
      <c r="I38" s="338"/>
      <c r="J38" s="338">
        <f t="shared" si="7"/>
        <v>23100000</v>
      </c>
      <c r="K38" s="200">
        <f t="shared" si="6"/>
        <v>1642228.5</v>
      </c>
      <c r="L38" s="200">
        <f t="shared" si="2"/>
        <v>1886768.5</v>
      </c>
      <c r="M38" s="1377"/>
    </row>
    <row r="39" spans="1:13" ht="21" customHeight="1">
      <c r="A39" s="1096" t="s">
        <v>785</v>
      </c>
      <c r="B39" s="338"/>
      <c r="C39" s="338">
        <v>-183787.5</v>
      </c>
      <c r="D39" s="200">
        <f t="shared" si="3"/>
        <v>79459.199999999997</v>
      </c>
      <c r="E39" s="200">
        <f t="shared" si="4"/>
        <v>24802981</v>
      </c>
      <c r="F39" s="338"/>
      <c r="G39" s="338">
        <f t="shared" ref="G39:G44" si="8">C39</f>
        <v>-183787.5</v>
      </c>
      <c r="H39" s="200">
        <f t="shared" si="5"/>
        <v>159980</v>
      </c>
      <c r="I39" s="338"/>
      <c r="J39" s="338">
        <f t="shared" si="7"/>
        <v>23100000</v>
      </c>
      <c r="K39" s="200">
        <f t="shared" si="6"/>
        <v>1802208.5</v>
      </c>
      <c r="L39" s="200">
        <f t="shared" si="2"/>
        <v>1702981</v>
      </c>
      <c r="M39" s="1377"/>
    </row>
    <row r="40" spans="1:13" ht="21" customHeight="1">
      <c r="A40" s="1096" t="s">
        <v>786</v>
      </c>
      <c r="B40" s="338"/>
      <c r="C40" s="338">
        <v>-78405</v>
      </c>
      <c r="D40" s="200">
        <f t="shared" si="3"/>
        <v>79459.199999999997</v>
      </c>
      <c r="E40" s="200">
        <f t="shared" si="4"/>
        <v>24724576</v>
      </c>
      <c r="F40" s="338"/>
      <c r="G40" s="338">
        <f t="shared" si="8"/>
        <v>-78405</v>
      </c>
      <c r="H40" s="200">
        <f t="shared" si="5"/>
        <v>84560</v>
      </c>
      <c r="I40" s="338"/>
      <c r="J40" s="338">
        <f t="shared" si="7"/>
        <v>23100000</v>
      </c>
      <c r="K40" s="200">
        <f t="shared" si="6"/>
        <v>1886768.5</v>
      </c>
      <c r="L40" s="200">
        <f t="shared" si="2"/>
        <v>1624576</v>
      </c>
      <c r="M40" s="1377"/>
    </row>
    <row r="41" spans="1:13" ht="21" customHeight="1">
      <c r="A41" s="1096" t="s">
        <v>787</v>
      </c>
      <c r="B41" s="338"/>
      <c r="C41" s="338">
        <v>-58500</v>
      </c>
      <c r="D41" s="200">
        <f t="shared" si="3"/>
        <v>79459.199999999997</v>
      </c>
      <c r="E41" s="200">
        <f t="shared" si="4"/>
        <v>24666076</v>
      </c>
      <c r="F41" s="338"/>
      <c r="G41" s="338">
        <f t="shared" si="8"/>
        <v>-58500</v>
      </c>
      <c r="H41" s="200">
        <f t="shared" si="5"/>
        <v>-183787.5</v>
      </c>
      <c r="I41" s="338">
        <v>300000</v>
      </c>
      <c r="J41" s="338">
        <f t="shared" si="7"/>
        <v>23400000</v>
      </c>
      <c r="K41" s="200">
        <f t="shared" si="6"/>
        <v>1402981</v>
      </c>
      <c r="L41" s="200">
        <f t="shared" si="2"/>
        <v>1266076</v>
      </c>
      <c r="M41" s="1377" t="s">
        <v>788</v>
      </c>
    </row>
    <row r="42" spans="1:13" ht="21" customHeight="1">
      <c r="A42" s="1096" t="s">
        <v>789</v>
      </c>
      <c r="B42" s="338"/>
      <c r="C42" s="338">
        <v>-62115</v>
      </c>
      <c r="D42" s="200">
        <f t="shared" si="3"/>
        <v>79459.199999999997</v>
      </c>
      <c r="E42" s="200">
        <f t="shared" si="4"/>
        <v>24603961</v>
      </c>
      <c r="F42" s="338"/>
      <c r="G42" s="338">
        <f t="shared" si="8"/>
        <v>-62115</v>
      </c>
      <c r="H42" s="200">
        <f t="shared" si="5"/>
        <v>-78405</v>
      </c>
      <c r="I42" s="338">
        <v>48442.5</v>
      </c>
      <c r="J42" s="338">
        <f t="shared" si="7"/>
        <v>23448442.5</v>
      </c>
      <c r="K42" s="200">
        <f t="shared" si="6"/>
        <v>1276133.5</v>
      </c>
      <c r="L42" s="200">
        <f t="shared" si="2"/>
        <v>1155518.5</v>
      </c>
      <c r="M42" s="1377" t="s">
        <v>790</v>
      </c>
    </row>
    <row r="43" spans="1:13" ht="21" customHeight="1">
      <c r="A43" s="1096" t="s">
        <v>791</v>
      </c>
      <c r="B43" s="338"/>
      <c r="C43" s="338">
        <v>-15420</v>
      </c>
      <c r="D43" s="200">
        <f t="shared" si="3"/>
        <v>79459.199999999997</v>
      </c>
      <c r="E43" s="200">
        <f t="shared" si="4"/>
        <v>24588541</v>
      </c>
      <c r="F43" s="338"/>
      <c r="G43" s="338">
        <f t="shared" si="8"/>
        <v>-15420</v>
      </c>
      <c r="H43" s="200">
        <f t="shared" si="5"/>
        <v>-58500</v>
      </c>
      <c r="I43" s="338">
        <v>151216</v>
      </c>
      <c r="J43" s="338">
        <f t="shared" si="7"/>
        <v>23599658.5</v>
      </c>
      <c r="K43" s="200">
        <f t="shared" si="6"/>
        <v>1066417.5</v>
      </c>
      <c r="L43" s="200">
        <f t="shared" si="2"/>
        <v>988882.5</v>
      </c>
      <c r="M43" s="1377" t="s">
        <v>792</v>
      </c>
    </row>
    <row r="44" spans="1:13" ht="21" customHeight="1">
      <c r="A44" s="1096">
        <v>42339</v>
      </c>
      <c r="B44" s="338">
        <v>180</v>
      </c>
      <c r="C44" s="338">
        <v>54190</v>
      </c>
      <c r="D44" s="200">
        <f t="shared" si="3"/>
        <v>79639.199999999997</v>
      </c>
      <c r="E44" s="200">
        <f t="shared" si="4"/>
        <v>24642731</v>
      </c>
      <c r="F44" s="338"/>
      <c r="G44" s="338">
        <f t="shared" si="8"/>
        <v>54190</v>
      </c>
      <c r="H44" s="200">
        <f t="shared" si="5"/>
        <v>-62115</v>
      </c>
      <c r="I44" s="338">
        <v>400000</v>
      </c>
      <c r="J44" s="338">
        <f t="shared" si="7"/>
        <v>23999658.5</v>
      </c>
      <c r="K44" s="200">
        <f t="shared" si="6"/>
        <v>604302.5</v>
      </c>
      <c r="L44" s="200">
        <f t="shared" si="2"/>
        <v>643072.5</v>
      </c>
      <c r="M44" s="850"/>
    </row>
    <row r="45" spans="1:13" ht="21" customHeight="1">
      <c r="A45" s="1096"/>
      <c r="B45" s="338"/>
      <c r="C45" s="338"/>
      <c r="D45" s="338"/>
      <c r="E45" s="338"/>
      <c r="F45" s="338"/>
      <c r="G45" s="338"/>
      <c r="H45" s="200">
        <f t="shared" si="5"/>
        <v>-15420</v>
      </c>
      <c r="I45" s="338"/>
      <c r="J45" s="338"/>
      <c r="K45" s="200">
        <f t="shared" si="6"/>
        <v>588882.5</v>
      </c>
      <c r="L45" s="200"/>
      <c r="M45" s="1378" t="s">
        <v>793</v>
      </c>
    </row>
    <row r="46" spans="1:13" ht="21" customHeight="1">
      <c r="A46" s="1096"/>
      <c r="B46" s="338"/>
      <c r="C46" s="338"/>
      <c r="D46" s="338"/>
      <c r="E46" s="338"/>
      <c r="F46" s="338"/>
      <c r="G46" s="338"/>
      <c r="H46" s="338"/>
      <c r="I46" s="338"/>
      <c r="J46" s="338"/>
      <c r="K46" s="338"/>
      <c r="L46" s="338"/>
      <c r="M46" s="850"/>
    </row>
    <row r="47" spans="1:13" ht="21" customHeight="1">
      <c r="A47" s="1096"/>
      <c r="B47" s="338"/>
      <c r="C47" s="338"/>
      <c r="D47" s="338"/>
      <c r="E47" s="338"/>
      <c r="F47" s="338"/>
      <c r="G47" s="338"/>
      <c r="H47" s="338"/>
      <c r="I47" s="338"/>
      <c r="J47" s="338"/>
      <c r="K47" s="338"/>
      <c r="L47" s="338"/>
      <c r="M47" s="850"/>
    </row>
    <row r="48" spans="1:13" ht="21" customHeight="1">
      <c r="A48" s="1096"/>
      <c r="B48" s="338"/>
      <c r="C48" s="338"/>
      <c r="D48" s="338"/>
      <c r="E48" s="338"/>
      <c r="F48" s="338"/>
      <c r="G48" s="338"/>
      <c r="H48" s="338"/>
      <c r="I48" s="338"/>
      <c r="J48" s="338"/>
      <c r="K48" s="338"/>
      <c r="L48" s="338"/>
      <c r="M48" s="1377"/>
    </row>
    <row r="49" spans="1:13" ht="21" customHeight="1">
      <c r="A49" s="1096"/>
      <c r="B49" s="338"/>
      <c r="C49" s="338"/>
      <c r="D49" s="338"/>
      <c r="E49" s="338"/>
      <c r="F49" s="338"/>
      <c r="G49" s="338"/>
      <c r="H49" s="338"/>
      <c r="I49" s="338"/>
      <c r="J49" s="338"/>
      <c r="K49" s="338"/>
      <c r="L49" s="338"/>
      <c r="M49" s="1377"/>
    </row>
    <row r="50" spans="1:13" ht="21" customHeight="1">
      <c r="A50" s="1096"/>
      <c r="B50" s="338"/>
      <c r="C50" s="338"/>
      <c r="D50" s="338"/>
      <c r="E50" s="338"/>
      <c r="F50" s="338"/>
      <c r="G50" s="338"/>
      <c r="H50" s="338"/>
      <c r="I50" s="338"/>
      <c r="J50" s="338"/>
      <c r="K50" s="338"/>
      <c r="L50" s="338"/>
      <c r="M50" s="1377"/>
    </row>
    <row r="51" spans="1:13" ht="21" customHeight="1">
      <c r="A51" s="1096"/>
      <c r="B51" s="338"/>
      <c r="C51" s="338"/>
      <c r="D51" s="338"/>
      <c r="E51" s="338"/>
      <c r="F51" s="338"/>
      <c r="G51" s="338"/>
      <c r="H51" s="338"/>
      <c r="I51" s="338"/>
      <c r="J51" s="338"/>
      <c r="K51" s="338"/>
      <c r="L51" s="338"/>
      <c r="M51" s="1377"/>
    </row>
    <row r="52" spans="1:13" ht="40.5" customHeight="1">
      <c r="A52" s="1364" t="s">
        <v>794</v>
      </c>
      <c r="B52" s="1365" t="s">
        <v>795</v>
      </c>
      <c r="C52" s="1365"/>
      <c r="D52" s="38" t="s">
        <v>236</v>
      </c>
      <c r="E52" s="1744"/>
      <c r="F52" s="1744"/>
      <c r="G52" s="1744"/>
      <c r="H52" s="1744"/>
      <c r="I52" s="1367" t="s">
        <v>744</v>
      </c>
      <c r="J52" s="1745" t="s">
        <v>796</v>
      </c>
      <c r="K52" s="1745"/>
      <c r="L52" s="1745"/>
      <c r="M52" s="1368" t="s">
        <v>797</v>
      </c>
    </row>
    <row r="53" spans="1:13" ht="42.75" customHeight="1">
      <c r="A53" s="39" t="s">
        <v>240</v>
      </c>
      <c r="B53" s="1637" t="s">
        <v>798</v>
      </c>
      <c r="C53" s="1637"/>
      <c r="D53" s="41" t="s">
        <v>242</v>
      </c>
      <c r="E53" s="1746" t="s">
        <v>798</v>
      </c>
      <c r="F53" s="1746"/>
      <c r="G53" s="1746"/>
      <c r="H53" s="1746"/>
      <c r="I53" s="90" t="s">
        <v>243</v>
      </c>
      <c r="J53" s="1747"/>
      <c r="K53" s="1747"/>
      <c r="L53" s="1215" t="s">
        <v>245</v>
      </c>
      <c r="M53" s="1369" t="s">
        <v>750</v>
      </c>
    </row>
    <row r="54" spans="1:13" ht="42.75">
      <c r="A54" s="39" t="s">
        <v>247</v>
      </c>
      <c r="B54" s="1637" t="s">
        <v>799</v>
      </c>
      <c r="C54" s="1637"/>
      <c r="D54" s="41" t="s">
        <v>249</v>
      </c>
      <c r="E54" s="103">
        <v>40000</v>
      </c>
      <c r="F54" s="41" t="s">
        <v>251</v>
      </c>
      <c r="G54" s="59" t="s">
        <v>800</v>
      </c>
      <c r="H54" s="268" t="s">
        <v>252</v>
      </c>
      <c r="I54" s="1010">
        <v>13924212468</v>
      </c>
      <c r="J54" s="41" t="s">
        <v>253</v>
      </c>
      <c r="K54" s="40" t="s">
        <v>801</v>
      </c>
      <c r="L54" s="41" t="s">
        <v>255</v>
      </c>
      <c r="M54" s="1370" t="s">
        <v>802</v>
      </c>
    </row>
    <row r="55" spans="1:13" ht="54" customHeight="1">
      <c r="A55" s="39" t="s">
        <v>755</v>
      </c>
      <c r="B55" s="1637" t="s">
        <v>756</v>
      </c>
      <c r="C55" s="1637"/>
      <c r="D55" s="1637"/>
      <c r="E55" s="1717" t="s">
        <v>757</v>
      </c>
      <c r="F55" s="1717"/>
      <c r="G55" s="1717"/>
      <c r="H55" s="1717"/>
      <c r="I55" s="1754" t="s">
        <v>803</v>
      </c>
      <c r="J55" s="1755"/>
      <c r="K55" s="1756"/>
      <c r="L55" s="41"/>
      <c r="M55" s="1370"/>
    </row>
    <row r="56" spans="1:13" ht="54" customHeight="1">
      <c r="A56" s="1366" t="s">
        <v>260</v>
      </c>
      <c r="B56" s="1748" t="s">
        <v>804</v>
      </c>
      <c r="C56" s="1748"/>
      <c r="D56" s="1748"/>
      <c r="E56" s="1748"/>
      <c r="F56" s="1748"/>
      <c r="G56" s="1748" t="s">
        <v>805</v>
      </c>
      <c r="H56" s="1748"/>
      <c r="I56" s="1748"/>
      <c r="J56" s="1748"/>
      <c r="K56" s="1757" t="s">
        <v>806</v>
      </c>
      <c r="L56" s="1758"/>
      <c r="M56" s="1379"/>
    </row>
    <row r="57" spans="1:13" ht="42.75">
      <c r="A57" s="560" t="s">
        <v>266</v>
      </c>
      <c r="B57" s="20" t="s">
        <v>267</v>
      </c>
      <c r="C57" s="20" t="s">
        <v>268</v>
      </c>
      <c r="D57" s="20" t="s">
        <v>269</v>
      </c>
      <c r="E57" s="20" t="s">
        <v>270</v>
      </c>
      <c r="F57" s="20" t="s">
        <v>271</v>
      </c>
      <c r="G57" s="20" t="s">
        <v>763</v>
      </c>
      <c r="H57" s="20" t="s">
        <v>273</v>
      </c>
      <c r="I57" s="20" t="s">
        <v>274</v>
      </c>
      <c r="J57" s="70" t="s">
        <v>275</v>
      </c>
      <c r="K57" s="70" t="s">
        <v>276</v>
      </c>
      <c r="L57" s="20" t="s">
        <v>277</v>
      </c>
      <c r="M57" s="568" t="s">
        <v>278</v>
      </c>
    </row>
    <row r="58" spans="1:13" ht="24" customHeight="1">
      <c r="A58" s="448" t="s">
        <v>807</v>
      </c>
      <c r="B58" s="140">
        <v>519.5</v>
      </c>
      <c r="C58" s="140">
        <v>131315</v>
      </c>
      <c r="D58" s="140">
        <f>B58</f>
        <v>519.5</v>
      </c>
      <c r="E58" s="140">
        <f>C58</f>
        <v>131315</v>
      </c>
      <c r="F58" s="140">
        <f t="shared" ref="F58:F90" si="9">40000-D58</f>
        <v>39480.5</v>
      </c>
      <c r="G58" s="140">
        <f t="shared" ref="G58:G89" si="10">C58</f>
        <v>131315</v>
      </c>
      <c r="H58" s="140"/>
      <c r="I58" s="140"/>
      <c r="J58" s="140"/>
      <c r="K58" s="140"/>
      <c r="L58" s="140">
        <f t="shared" ref="L58:L90" si="11">E58-J58</f>
        <v>131315</v>
      </c>
      <c r="M58" s="1372"/>
    </row>
    <row r="59" spans="1:13" ht="24" customHeight="1">
      <c r="A59" s="448">
        <v>41334</v>
      </c>
      <c r="B59" s="140">
        <v>477.5</v>
      </c>
      <c r="C59" s="140">
        <v>121245</v>
      </c>
      <c r="D59" s="140">
        <f t="shared" ref="D59:D90" si="12">D58+B59</f>
        <v>997</v>
      </c>
      <c r="E59" s="140">
        <f t="shared" ref="E59:E90" si="13">E58+C59</f>
        <v>252560</v>
      </c>
      <c r="F59" s="140">
        <f t="shared" si="9"/>
        <v>39003</v>
      </c>
      <c r="G59" s="140">
        <f t="shared" si="10"/>
        <v>121245</v>
      </c>
      <c r="H59" s="140"/>
      <c r="I59" s="140"/>
      <c r="J59" s="140"/>
      <c r="K59" s="140"/>
      <c r="L59" s="140">
        <f t="shared" si="11"/>
        <v>252560</v>
      </c>
      <c r="M59" s="1372"/>
    </row>
    <row r="60" spans="1:13" ht="24" customHeight="1">
      <c r="A60" s="448">
        <v>41365</v>
      </c>
      <c r="B60" s="140">
        <v>318.5</v>
      </c>
      <c r="C60" s="140">
        <v>82477.5</v>
      </c>
      <c r="D60" s="140">
        <f t="shared" si="12"/>
        <v>1315.5</v>
      </c>
      <c r="E60" s="140">
        <f t="shared" si="13"/>
        <v>335037.5</v>
      </c>
      <c r="F60" s="140">
        <f t="shared" si="9"/>
        <v>38684.5</v>
      </c>
      <c r="G60" s="140">
        <f t="shared" si="10"/>
        <v>82477.5</v>
      </c>
      <c r="H60" s="140">
        <f>C58</f>
        <v>131315</v>
      </c>
      <c r="I60" s="140"/>
      <c r="J60" s="140"/>
      <c r="K60" s="140">
        <f>K58+H60-I60</f>
        <v>131315</v>
      </c>
      <c r="L60" s="140">
        <f t="shared" si="11"/>
        <v>335037.5</v>
      </c>
      <c r="M60" s="1372"/>
    </row>
    <row r="61" spans="1:13" ht="24" customHeight="1">
      <c r="A61" s="1095">
        <v>41395</v>
      </c>
      <c r="B61" s="612">
        <v>2736.5</v>
      </c>
      <c r="C61" s="612">
        <v>752490</v>
      </c>
      <c r="D61" s="140">
        <f t="shared" si="12"/>
        <v>4052</v>
      </c>
      <c r="E61" s="140">
        <f t="shared" si="13"/>
        <v>1087527.5</v>
      </c>
      <c r="F61" s="140">
        <f t="shared" si="9"/>
        <v>35948</v>
      </c>
      <c r="G61" s="140">
        <f t="shared" si="10"/>
        <v>752490</v>
      </c>
      <c r="H61" s="140">
        <f t="shared" ref="H61:H91" si="14">C59</f>
        <v>121245</v>
      </c>
      <c r="I61" s="612"/>
      <c r="J61" s="612"/>
      <c r="K61" s="140">
        <f t="shared" ref="K61:K91" si="15">K60+H61-I61</f>
        <v>252560</v>
      </c>
      <c r="L61" s="140">
        <f t="shared" si="11"/>
        <v>1087527.5</v>
      </c>
      <c r="M61" s="1373"/>
    </row>
    <row r="62" spans="1:13" ht="24" customHeight="1">
      <c r="A62" s="1095">
        <v>41426</v>
      </c>
      <c r="B62" s="612">
        <v>3917.5</v>
      </c>
      <c r="C62" s="612">
        <v>1075180</v>
      </c>
      <c r="D62" s="140">
        <f t="shared" si="12"/>
        <v>7969.5</v>
      </c>
      <c r="E62" s="140">
        <f t="shared" si="13"/>
        <v>2162707.5</v>
      </c>
      <c r="F62" s="140">
        <f t="shared" si="9"/>
        <v>32030.5</v>
      </c>
      <c r="G62" s="140">
        <f t="shared" si="10"/>
        <v>1075180</v>
      </c>
      <c r="H62" s="140">
        <f t="shared" si="14"/>
        <v>82477.5</v>
      </c>
      <c r="I62" s="612"/>
      <c r="J62" s="612"/>
      <c r="K62" s="140">
        <f t="shared" si="15"/>
        <v>335037.5</v>
      </c>
      <c r="L62" s="140">
        <f t="shared" si="11"/>
        <v>2162707.5</v>
      </c>
      <c r="M62" s="1380" t="s">
        <v>808</v>
      </c>
    </row>
    <row r="63" spans="1:13" ht="24" customHeight="1">
      <c r="A63" s="1095">
        <v>41456</v>
      </c>
      <c r="B63" s="612">
        <v>4708</v>
      </c>
      <c r="C63" s="612">
        <v>1278455</v>
      </c>
      <c r="D63" s="140">
        <f t="shared" si="12"/>
        <v>12677.5</v>
      </c>
      <c r="E63" s="140">
        <f t="shared" si="13"/>
        <v>3441162.5</v>
      </c>
      <c r="F63" s="140">
        <f t="shared" si="9"/>
        <v>27322.5</v>
      </c>
      <c r="G63" s="140">
        <f t="shared" si="10"/>
        <v>1278455</v>
      </c>
      <c r="H63" s="140">
        <f t="shared" si="14"/>
        <v>752490</v>
      </c>
      <c r="I63" s="612"/>
      <c r="J63" s="612"/>
      <c r="K63" s="140">
        <f t="shared" si="15"/>
        <v>1087527.5</v>
      </c>
      <c r="L63" s="140">
        <f t="shared" si="11"/>
        <v>3441162.5</v>
      </c>
      <c r="M63" s="1373"/>
    </row>
    <row r="64" spans="1:13" ht="24" customHeight="1">
      <c r="A64" s="1095">
        <v>41487</v>
      </c>
      <c r="B64" s="612">
        <v>3047.5</v>
      </c>
      <c r="C64" s="612">
        <v>849590</v>
      </c>
      <c r="D64" s="140">
        <f t="shared" si="12"/>
        <v>15725</v>
      </c>
      <c r="E64" s="140">
        <f t="shared" si="13"/>
        <v>4290752.5</v>
      </c>
      <c r="F64" s="140">
        <f t="shared" si="9"/>
        <v>24275</v>
      </c>
      <c r="G64" s="140">
        <f t="shared" si="10"/>
        <v>849590</v>
      </c>
      <c r="H64" s="140">
        <f t="shared" si="14"/>
        <v>1075180</v>
      </c>
      <c r="I64" s="612">
        <v>0</v>
      </c>
      <c r="J64" s="612">
        <f t="shared" ref="J64:J90" si="16">J63+I64</f>
        <v>0</v>
      </c>
      <c r="K64" s="140">
        <f t="shared" si="15"/>
        <v>2162707.5</v>
      </c>
      <c r="L64" s="140">
        <f t="shared" si="11"/>
        <v>4290752.5</v>
      </c>
      <c r="M64" s="1373" t="s">
        <v>809</v>
      </c>
    </row>
    <row r="65" spans="1:13" ht="24" customHeight="1">
      <c r="A65" s="1095">
        <v>41518</v>
      </c>
      <c r="B65" s="612">
        <v>3543</v>
      </c>
      <c r="C65" s="612">
        <v>1006355</v>
      </c>
      <c r="D65" s="140">
        <f t="shared" si="12"/>
        <v>19268</v>
      </c>
      <c r="E65" s="140">
        <f t="shared" si="13"/>
        <v>5297107.5</v>
      </c>
      <c r="F65" s="140">
        <f t="shared" si="9"/>
        <v>20732</v>
      </c>
      <c r="G65" s="140">
        <f t="shared" si="10"/>
        <v>1006355</v>
      </c>
      <c r="H65" s="140">
        <f t="shared" si="14"/>
        <v>1278455</v>
      </c>
      <c r="I65" s="612">
        <v>1033150.65</v>
      </c>
      <c r="J65" s="612">
        <f t="shared" si="16"/>
        <v>1033150.65</v>
      </c>
      <c r="K65" s="140">
        <f t="shared" si="15"/>
        <v>2408011.85</v>
      </c>
      <c r="L65" s="140">
        <f t="shared" si="11"/>
        <v>4263956.8499999996</v>
      </c>
      <c r="M65" s="1373" t="s">
        <v>810</v>
      </c>
    </row>
    <row r="66" spans="1:13" ht="24" customHeight="1">
      <c r="A66" s="1095">
        <v>41548</v>
      </c>
      <c r="B66" s="612">
        <v>4672</v>
      </c>
      <c r="C66" s="612">
        <v>1598647.5</v>
      </c>
      <c r="D66" s="140">
        <f t="shared" si="12"/>
        <v>23940</v>
      </c>
      <c r="E66" s="140">
        <f t="shared" si="13"/>
        <v>6895755</v>
      </c>
      <c r="F66" s="140">
        <f t="shared" si="9"/>
        <v>16060</v>
      </c>
      <c r="G66" s="140">
        <f t="shared" si="10"/>
        <v>1598647.5</v>
      </c>
      <c r="H66" s="140">
        <f t="shared" si="14"/>
        <v>849590</v>
      </c>
      <c r="I66" s="612">
        <v>1075180</v>
      </c>
      <c r="J66" s="612">
        <f t="shared" si="16"/>
        <v>2108330.65</v>
      </c>
      <c r="K66" s="140">
        <f t="shared" si="15"/>
        <v>2182421.85</v>
      </c>
      <c r="L66" s="140">
        <f t="shared" si="11"/>
        <v>4787424.3499999996</v>
      </c>
      <c r="M66" s="1373" t="s">
        <v>811</v>
      </c>
    </row>
    <row r="67" spans="1:13" ht="24" customHeight="1">
      <c r="A67" s="1095">
        <v>41579</v>
      </c>
      <c r="B67" s="612">
        <v>4692</v>
      </c>
      <c r="C67" s="612">
        <v>1685677.5</v>
      </c>
      <c r="D67" s="140">
        <f t="shared" si="12"/>
        <v>28632</v>
      </c>
      <c r="E67" s="140">
        <f t="shared" si="13"/>
        <v>8581432.5</v>
      </c>
      <c r="F67" s="140">
        <f t="shared" si="9"/>
        <v>11368</v>
      </c>
      <c r="G67" s="140">
        <f t="shared" si="10"/>
        <v>1685677.5</v>
      </c>
      <c r="H67" s="140">
        <f t="shared" si="14"/>
        <v>1006355</v>
      </c>
      <c r="I67" s="612">
        <v>0</v>
      </c>
      <c r="J67" s="612">
        <f t="shared" si="16"/>
        <v>2108330.65</v>
      </c>
      <c r="K67" s="140">
        <f t="shared" si="15"/>
        <v>3188776.85</v>
      </c>
      <c r="L67" s="140">
        <f t="shared" si="11"/>
        <v>6473101.8499999996</v>
      </c>
      <c r="M67" s="1373" t="s">
        <v>812</v>
      </c>
    </row>
    <row r="68" spans="1:13" ht="24" customHeight="1">
      <c r="A68" s="1095">
        <v>41609</v>
      </c>
      <c r="B68" s="612">
        <v>3978.5</v>
      </c>
      <c r="C68" s="612">
        <v>1420967.5</v>
      </c>
      <c r="D68" s="140">
        <f t="shared" si="12"/>
        <v>32610.5</v>
      </c>
      <c r="E68" s="140">
        <f t="shared" si="13"/>
        <v>10002400</v>
      </c>
      <c r="F68" s="140">
        <f t="shared" si="9"/>
        <v>7389.5</v>
      </c>
      <c r="G68" s="140">
        <f t="shared" si="10"/>
        <v>1420967.5</v>
      </c>
      <c r="H68" s="140">
        <f t="shared" si="14"/>
        <v>1598647.5</v>
      </c>
      <c r="I68" s="612">
        <f>1278455</f>
        <v>1278455</v>
      </c>
      <c r="J68" s="612">
        <f t="shared" si="16"/>
        <v>3386785.65</v>
      </c>
      <c r="K68" s="140">
        <f t="shared" si="15"/>
        <v>3508969.3499999996</v>
      </c>
      <c r="L68" s="140">
        <f t="shared" si="11"/>
        <v>6615614.3499999996</v>
      </c>
      <c r="M68" s="1373" t="s">
        <v>813</v>
      </c>
    </row>
    <row r="69" spans="1:13" ht="24" customHeight="1">
      <c r="A69" s="1095">
        <v>41640</v>
      </c>
      <c r="B69" s="612">
        <v>1257.5</v>
      </c>
      <c r="C69" s="612">
        <v>453517.5</v>
      </c>
      <c r="D69" s="140">
        <f t="shared" si="12"/>
        <v>33868</v>
      </c>
      <c r="E69" s="140">
        <f t="shared" si="13"/>
        <v>10455917.5</v>
      </c>
      <c r="F69" s="140">
        <f t="shared" si="9"/>
        <v>6132</v>
      </c>
      <c r="G69" s="140">
        <f t="shared" si="10"/>
        <v>453517.5</v>
      </c>
      <c r="H69" s="140">
        <f t="shared" si="14"/>
        <v>1685677.5</v>
      </c>
      <c r="I69" s="612">
        <f>849590+1006355+1589647.5</f>
        <v>3445592.5</v>
      </c>
      <c r="J69" s="612">
        <f t="shared" si="16"/>
        <v>6832378.1500000004</v>
      </c>
      <c r="K69" s="140">
        <f t="shared" si="15"/>
        <v>1749054.3499999996</v>
      </c>
      <c r="L69" s="140">
        <f t="shared" si="11"/>
        <v>3623539.3499999996</v>
      </c>
      <c r="M69" s="1373"/>
    </row>
    <row r="70" spans="1:13" ht="24" customHeight="1">
      <c r="A70" s="1095">
        <v>41671</v>
      </c>
      <c r="B70" s="612">
        <v>71.5</v>
      </c>
      <c r="C70" s="612">
        <v>26097.5</v>
      </c>
      <c r="D70" s="140">
        <f t="shared" si="12"/>
        <v>33939.5</v>
      </c>
      <c r="E70" s="140">
        <f t="shared" si="13"/>
        <v>10482015</v>
      </c>
      <c r="F70" s="140">
        <f t="shared" si="9"/>
        <v>6060.5</v>
      </c>
      <c r="G70" s="140">
        <f t="shared" si="10"/>
        <v>26097.5</v>
      </c>
      <c r="H70" s="140">
        <f t="shared" si="14"/>
        <v>1420967.5</v>
      </c>
      <c r="I70" s="612">
        <v>0</v>
      </c>
      <c r="J70" s="612">
        <f t="shared" si="16"/>
        <v>6832378.1500000004</v>
      </c>
      <c r="K70" s="140">
        <f t="shared" si="15"/>
        <v>3170021.8499999996</v>
      </c>
      <c r="L70" s="140">
        <f t="shared" si="11"/>
        <v>3649636.8499999996</v>
      </c>
      <c r="M70" s="1373" t="s">
        <v>814</v>
      </c>
    </row>
    <row r="71" spans="1:13" ht="24" customHeight="1">
      <c r="A71" s="1095">
        <v>41699</v>
      </c>
      <c r="B71" s="612">
        <v>719.5</v>
      </c>
      <c r="C71" s="612">
        <v>261337.5</v>
      </c>
      <c r="D71" s="140">
        <f t="shared" si="12"/>
        <v>34659</v>
      </c>
      <c r="E71" s="140">
        <f t="shared" si="13"/>
        <v>10743352.5</v>
      </c>
      <c r="F71" s="140">
        <f t="shared" si="9"/>
        <v>5341</v>
      </c>
      <c r="G71" s="612">
        <f t="shared" si="10"/>
        <v>261337.5</v>
      </c>
      <c r="H71" s="140">
        <f t="shared" si="14"/>
        <v>453517.5</v>
      </c>
      <c r="I71" s="612"/>
      <c r="J71" s="612">
        <f t="shared" si="16"/>
        <v>6832378.1500000004</v>
      </c>
      <c r="K71" s="140">
        <f t="shared" si="15"/>
        <v>3623539.3499999996</v>
      </c>
      <c r="L71" s="140">
        <f t="shared" si="11"/>
        <v>3910974.3499999996</v>
      </c>
      <c r="M71" s="1373"/>
    </row>
    <row r="72" spans="1:13" ht="24" customHeight="1">
      <c r="A72" s="1096">
        <v>41730</v>
      </c>
      <c r="B72" s="338">
        <v>182.5</v>
      </c>
      <c r="C72" s="338">
        <v>65767.5</v>
      </c>
      <c r="D72" s="200">
        <f t="shared" si="12"/>
        <v>34841.5</v>
      </c>
      <c r="E72" s="200">
        <f t="shared" si="13"/>
        <v>10809120</v>
      </c>
      <c r="F72" s="200">
        <f t="shared" si="9"/>
        <v>5158.5</v>
      </c>
      <c r="G72" s="338">
        <f t="shared" si="10"/>
        <v>65767.5</v>
      </c>
      <c r="H72" s="200">
        <f t="shared" si="14"/>
        <v>26097.5</v>
      </c>
      <c r="I72" s="338"/>
      <c r="J72" s="338">
        <f t="shared" si="16"/>
        <v>6832378.1500000004</v>
      </c>
      <c r="K72" s="200">
        <f t="shared" si="15"/>
        <v>3649636.8499999996</v>
      </c>
      <c r="L72" s="200">
        <f t="shared" si="11"/>
        <v>3976741.8499999996</v>
      </c>
      <c r="M72" s="1375"/>
    </row>
    <row r="73" spans="1:13" ht="24" customHeight="1">
      <c r="A73" s="1096">
        <v>41760</v>
      </c>
      <c r="B73" s="338">
        <v>6.5</v>
      </c>
      <c r="C73" s="338">
        <v>2307.5</v>
      </c>
      <c r="D73" s="200">
        <f t="shared" si="12"/>
        <v>34848</v>
      </c>
      <c r="E73" s="200">
        <f t="shared" si="13"/>
        <v>10811427.5</v>
      </c>
      <c r="F73" s="200">
        <f t="shared" si="9"/>
        <v>5152</v>
      </c>
      <c r="G73" s="338">
        <f t="shared" si="10"/>
        <v>2307.5</v>
      </c>
      <c r="H73" s="200">
        <f t="shared" si="14"/>
        <v>261337.5</v>
      </c>
      <c r="I73" s="338">
        <v>1685677</v>
      </c>
      <c r="J73" s="338">
        <f t="shared" si="16"/>
        <v>8518055.1500000004</v>
      </c>
      <c r="K73" s="200">
        <f t="shared" si="15"/>
        <v>2225297.3499999996</v>
      </c>
      <c r="L73" s="200">
        <f t="shared" si="11"/>
        <v>2293372.3499999996</v>
      </c>
      <c r="M73" s="1376" t="s">
        <v>815</v>
      </c>
    </row>
    <row r="74" spans="1:13" ht="24" customHeight="1">
      <c r="A74" s="1096">
        <v>41791</v>
      </c>
      <c r="B74" s="338">
        <v>94.5</v>
      </c>
      <c r="C74" s="338">
        <v>33457.5</v>
      </c>
      <c r="D74" s="200">
        <f t="shared" si="12"/>
        <v>34942.5</v>
      </c>
      <c r="E74" s="200">
        <f t="shared" si="13"/>
        <v>10844885</v>
      </c>
      <c r="F74" s="200">
        <f t="shared" si="9"/>
        <v>5057.5</v>
      </c>
      <c r="G74" s="338">
        <f t="shared" si="10"/>
        <v>33457.5</v>
      </c>
      <c r="H74" s="200">
        <f t="shared" si="14"/>
        <v>65767.5</v>
      </c>
      <c r="I74" s="338">
        <v>1874485</v>
      </c>
      <c r="J74" s="338">
        <f t="shared" si="16"/>
        <v>10392540.15</v>
      </c>
      <c r="K74" s="200">
        <f t="shared" si="15"/>
        <v>416579.84999999963</v>
      </c>
      <c r="L74" s="200">
        <f t="shared" si="11"/>
        <v>452344.84999999963</v>
      </c>
      <c r="M74" s="193"/>
    </row>
    <row r="75" spans="1:13" ht="24" customHeight="1">
      <c r="A75" s="1096">
        <v>41821</v>
      </c>
      <c r="B75" s="338">
        <v>77</v>
      </c>
      <c r="C75" s="338">
        <v>27290</v>
      </c>
      <c r="D75" s="200">
        <f t="shared" si="12"/>
        <v>35019.5</v>
      </c>
      <c r="E75" s="200">
        <f t="shared" si="13"/>
        <v>10872175</v>
      </c>
      <c r="F75" s="200">
        <f t="shared" si="9"/>
        <v>4980.5</v>
      </c>
      <c r="G75" s="338">
        <f t="shared" si="10"/>
        <v>27290</v>
      </c>
      <c r="H75" s="200">
        <f t="shared" si="14"/>
        <v>2307.5</v>
      </c>
      <c r="I75" s="338"/>
      <c r="J75" s="338">
        <f t="shared" si="16"/>
        <v>10392540.15</v>
      </c>
      <c r="K75" s="200">
        <f t="shared" si="15"/>
        <v>418887.34999999963</v>
      </c>
      <c r="L75" s="200">
        <f t="shared" si="11"/>
        <v>479634.84999999963</v>
      </c>
      <c r="M75" s="1394"/>
    </row>
    <row r="76" spans="1:13" ht="24" customHeight="1">
      <c r="A76" s="1096">
        <v>41853</v>
      </c>
      <c r="B76" s="338">
        <v>22</v>
      </c>
      <c r="C76" s="338">
        <v>7920</v>
      </c>
      <c r="D76" s="200">
        <f t="shared" si="12"/>
        <v>35041.5</v>
      </c>
      <c r="E76" s="200">
        <f t="shared" si="13"/>
        <v>10880095</v>
      </c>
      <c r="F76" s="200">
        <f t="shared" si="9"/>
        <v>4958.5</v>
      </c>
      <c r="G76" s="338">
        <f t="shared" si="10"/>
        <v>7920</v>
      </c>
      <c r="H76" s="200">
        <f t="shared" si="14"/>
        <v>33457.5</v>
      </c>
      <c r="I76" s="338">
        <v>353202.5</v>
      </c>
      <c r="J76" s="338">
        <f t="shared" si="16"/>
        <v>10745742.65</v>
      </c>
      <c r="K76" s="200">
        <f t="shared" si="15"/>
        <v>99142.349999999627</v>
      </c>
      <c r="L76" s="200">
        <f t="shared" si="11"/>
        <v>134352.34999999963</v>
      </c>
      <c r="M76" s="1377" t="s">
        <v>816</v>
      </c>
    </row>
    <row r="77" spans="1:13" ht="24" customHeight="1">
      <c r="A77" s="1096">
        <v>41885</v>
      </c>
      <c r="B77" s="338">
        <v>366.5</v>
      </c>
      <c r="C77" s="338">
        <v>131742.5</v>
      </c>
      <c r="D77" s="200">
        <f t="shared" si="12"/>
        <v>35408</v>
      </c>
      <c r="E77" s="200">
        <f t="shared" si="13"/>
        <v>11011837.5</v>
      </c>
      <c r="F77" s="200">
        <f t="shared" si="9"/>
        <v>4592</v>
      </c>
      <c r="G77" s="338">
        <f t="shared" si="10"/>
        <v>131742.5</v>
      </c>
      <c r="H77" s="200">
        <f t="shared" si="14"/>
        <v>27290</v>
      </c>
      <c r="I77" s="338"/>
      <c r="J77" s="338">
        <f t="shared" si="16"/>
        <v>10745742.65</v>
      </c>
      <c r="K77" s="200">
        <f t="shared" si="15"/>
        <v>126432.34999999963</v>
      </c>
      <c r="L77" s="200">
        <f t="shared" si="11"/>
        <v>266094.84999999963</v>
      </c>
      <c r="M77" s="1377"/>
    </row>
    <row r="78" spans="1:13" ht="24" customHeight="1">
      <c r="A78" s="1096">
        <v>41917</v>
      </c>
      <c r="B78" s="338">
        <v>200</v>
      </c>
      <c r="C78" s="338">
        <v>78940</v>
      </c>
      <c r="D78" s="200">
        <f t="shared" si="12"/>
        <v>35608</v>
      </c>
      <c r="E78" s="200">
        <f t="shared" si="13"/>
        <v>11090777.5</v>
      </c>
      <c r="F78" s="200">
        <f t="shared" si="9"/>
        <v>4392</v>
      </c>
      <c r="G78" s="338">
        <f t="shared" si="10"/>
        <v>78940</v>
      </c>
      <c r="H78" s="200">
        <f t="shared" si="14"/>
        <v>7920</v>
      </c>
      <c r="I78" s="193"/>
      <c r="J78" s="338">
        <f t="shared" si="16"/>
        <v>10745742.65</v>
      </c>
      <c r="K78" s="200">
        <f t="shared" si="15"/>
        <v>134352.34999999963</v>
      </c>
      <c r="L78" s="200">
        <f t="shared" si="11"/>
        <v>345034.84999999963</v>
      </c>
      <c r="M78" s="1377"/>
    </row>
    <row r="79" spans="1:13" ht="24" customHeight="1">
      <c r="A79" s="1096">
        <v>41949</v>
      </c>
      <c r="B79" s="338">
        <v>103</v>
      </c>
      <c r="C79" s="338">
        <v>41215</v>
      </c>
      <c r="D79" s="200">
        <f t="shared" si="12"/>
        <v>35711</v>
      </c>
      <c r="E79" s="200">
        <f t="shared" si="13"/>
        <v>11131992.5</v>
      </c>
      <c r="F79" s="200">
        <f t="shared" si="9"/>
        <v>4289</v>
      </c>
      <c r="G79" s="338">
        <f t="shared" si="10"/>
        <v>41215</v>
      </c>
      <c r="H79" s="200">
        <f t="shared" si="14"/>
        <v>131742.5</v>
      </c>
      <c r="I79" s="338"/>
      <c r="J79" s="338">
        <f t="shared" si="16"/>
        <v>10745742.65</v>
      </c>
      <c r="K79" s="200">
        <f t="shared" si="15"/>
        <v>266094.84999999963</v>
      </c>
      <c r="L79" s="200">
        <f t="shared" si="11"/>
        <v>386249.84999999963</v>
      </c>
      <c r="M79" s="1377"/>
    </row>
    <row r="80" spans="1:13" ht="24" customHeight="1">
      <c r="A80" s="1096">
        <v>41981</v>
      </c>
      <c r="B80" s="338">
        <v>1035.5</v>
      </c>
      <c r="C80" s="338">
        <v>392607.5</v>
      </c>
      <c r="D80" s="200">
        <f t="shared" si="12"/>
        <v>36746.5</v>
      </c>
      <c r="E80" s="200">
        <f t="shared" si="13"/>
        <v>11524600</v>
      </c>
      <c r="F80" s="200">
        <f t="shared" si="9"/>
        <v>3253.5</v>
      </c>
      <c r="G80" s="338">
        <f t="shared" si="10"/>
        <v>392607.5</v>
      </c>
      <c r="H80" s="200">
        <f t="shared" si="14"/>
        <v>78940</v>
      </c>
      <c r="I80" s="338"/>
      <c r="J80" s="338">
        <f t="shared" si="16"/>
        <v>10745742.65</v>
      </c>
      <c r="K80" s="200">
        <f t="shared" si="15"/>
        <v>345034.84999999963</v>
      </c>
      <c r="L80" s="200">
        <f t="shared" si="11"/>
        <v>778857.34999999963</v>
      </c>
      <c r="M80" s="1377"/>
    </row>
    <row r="81" spans="1:13" ht="24" customHeight="1">
      <c r="A81" s="1096">
        <v>42005</v>
      </c>
      <c r="B81" s="338">
        <v>522</v>
      </c>
      <c r="C81" s="338">
        <v>195882.5</v>
      </c>
      <c r="D81" s="200">
        <f t="shared" si="12"/>
        <v>37268.5</v>
      </c>
      <c r="E81" s="200">
        <f t="shared" si="13"/>
        <v>11720482.5</v>
      </c>
      <c r="F81" s="200">
        <f t="shared" si="9"/>
        <v>2731.5</v>
      </c>
      <c r="G81" s="338">
        <f t="shared" si="10"/>
        <v>195882.5</v>
      </c>
      <c r="H81" s="200">
        <f t="shared" si="14"/>
        <v>41215</v>
      </c>
      <c r="I81" s="338">
        <v>256797.5</v>
      </c>
      <c r="J81" s="338">
        <f t="shared" si="16"/>
        <v>11002540.15</v>
      </c>
      <c r="K81" s="200">
        <f t="shared" si="15"/>
        <v>129452.34999999963</v>
      </c>
      <c r="L81" s="200">
        <f t="shared" si="11"/>
        <v>717942.34999999963</v>
      </c>
      <c r="M81" s="1377" t="s">
        <v>817</v>
      </c>
    </row>
    <row r="82" spans="1:13" ht="24" customHeight="1">
      <c r="A82" s="1096">
        <v>42037</v>
      </c>
      <c r="B82" s="338">
        <v>104.5</v>
      </c>
      <c r="C82" s="338">
        <v>39107.5</v>
      </c>
      <c r="D82" s="200">
        <f t="shared" si="12"/>
        <v>37373</v>
      </c>
      <c r="E82" s="200">
        <f t="shared" si="13"/>
        <v>11759590</v>
      </c>
      <c r="F82" s="200">
        <f t="shared" si="9"/>
        <v>2627</v>
      </c>
      <c r="G82" s="338">
        <f t="shared" si="10"/>
        <v>39107.5</v>
      </c>
      <c r="H82" s="200">
        <f t="shared" si="14"/>
        <v>392607.5</v>
      </c>
      <c r="I82" s="338"/>
      <c r="J82" s="338">
        <f t="shared" si="16"/>
        <v>11002540.15</v>
      </c>
      <c r="K82" s="200">
        <f t="shared" si="15"/>
        <v>522059.84999999963</v>
      </c>
      <c r="L82" s="200">
        <f t="shared" si="11"/>
        <v>757049.84999999963</v>
      </c>
      <c r="M82" s="1377"/>
    </row>
    <row r="83" spans="1:13" ht="24" customHeight="1">
      <c r="A83" s="1096">
        <v>42069</v>
      </c>
      <c r="B83" s="338">
        <v>20</v>
      </c>
      <c r="C83" s="338">
        <v>7700</v>
      </c>
      <c r="D83" s="200">
        <f t="shared" si="12"/>
        <v>37393</v>
      </c>
      <c r="E83" s="200">
        <f t="shared" si="13"/>
        <v>11767290</v>
      </c>
      <c r="F83" s="200">
        <f t="shared" si="9"/>
        <v>2607</v>
      </c>
      <c r="G83" s="338">
        <f t="shared" si="10"/>
        <v>7700</v>
      </c>
      <c r="H83" s="200">
        <f t="shared" si="14"/>
        <v>195882.5</v>
      </c>
      <c r="I83" s="338"/>
      <c r="J83" s="338">
        <f t="shared" si="16"/>
        <v>11002540.15</v>
      </c>
      <c r="K83" s="200">
        <f t="shared" si="15"/>
        <v>717942.34999999963</v>
      </c>
      <c r="L83" s="200">
        <f t="shared" si="11"/>
        <v>764749.84999999963</v>
      </c>
      <c r="M83" s="1377"/>
    </row>
    <row r="84" spans="1:13" ht="24" customHeight="1">
      <c r="A84" s="1096">
        <v>42095</v>
      </c>
      <c r="B84" s="338">
        <v>378.5</v>
      </c>
      <c r="C84" s="338">
        <v>134707.5</v>
      </c>
      <c r="D84" s="200">
        <f t="shared" si="12"/>
        <v>37771.5</v>
      </c>
      <c r="E84" s="200">
        <f t="shared" si="13"/>
        <v>11901997.5</v>
      </c>
      <c r="F84" s="200">
        <f t="shared" si="9"/>
        <v>2228.5</v>
      </c>
      <c r="G84" s="338">
        <f t="shared" si="10"/>
        <v>134707.5</v>
      </c>
      <c r="H84" s="200">
        <f t="shared" si="14"/>
        <v>39107.5</v>
      </c>
      <c r="I84" s="338"/>
      <c r="J84" s="338">
        <f t="shared" si="16"/>
        <v>11002540.15</v>
      </c>
      <c r="K84" s="200">
        <f t="shared" si="15"/>
        <v>757049.84999999963</v>
      </c>
      <c r="L84" s="200">
        <f t="shared" si="11"/>
        <v>899457.34999999963</v>
      </c>
      <c r="M84" s="1377"/>
    </row>
    <row r="85" spans="1:13" ht="24" customHeight="1">
      <c r="A85" s="1096">
        <v>42125</v>
      </c>
      <c r="B85" s="338">
        <v>242</v>
      </c>
      <c r="C85" s="338">
        <v>86410</v>
      </c>
      <c r="D85" s="200">
        <f t="shared" si="12"/>
        <v>38013.5</v>
      </c>
      <c r="E85" s="200">
        <f t="shared" si="13"/>
        <v>11988407.5</v>
      </c>
      <c r="F85" s="200">
        <f t="shared" si="9"/>
        <v>1986.5</v>
      </c>
      <c r="G85" s="338">
        <f t="shared" si="10"/>
        <v>86410</v>
      </c>
      <c r="H85" s="200">
        <f t="shared" si="14"/>
        <v>7700</v>
      </c>
      <c r="I85" s="338"/>
      <c r="J85" s="338">
        <f t="shared" si="16"/>
        <v>11002540.15</v>
      </c>
      <c r="K85" s="200">
        <f t="shared" si="15"/>
        <v>764749.84999999963</v>
      </c>
      <c r="L85" s="200">
        <f t="shared" si="11"/>
        <v>985867.34999999963</v>
      </c>
      <c r="M85" s="1377"/>
    </row>
    <row r="86" spans="1:13" ht="24" customHeight="1">
      <c r="A86" s="1096">
        <v>42156</v>
      </c>
      <c r="B86" s="338">
        <v>129.5</v>
      </c>
      <c r="C86" s="338">
        <v>46627.5</v>
      </c>
      <c r="D86" s="200">
        <f t="shared" si="12"/>
        <v>38143</v>
      </c>
      <c r="E86" s="200">
        <f t="shared" si="13"/>
        <v>12035035</v>
      </c>
      <c r="F86" s="200">
        <f t="shared" si="9"/>
        <v>1857</v>
      </c>
      <c r="G86" s="338">
        <f t="shared" si="10"/>
        <v>46627.5</v>
      </c>
      <c r="H86" s="200">
        <f t="shared" si="14"/>
        <v>134707.5</v>
      </c>
      <c r="I86" s="338"/>
      <c r="J86" s="338">
        <f t="shared" si="16"/>
        <v>11002540.15</v>
      </c>
      <c r="K86" s="200">
        <f t="shared" si="15"/>
        <v>899457.34999999963</v>
      </c>
      <c r="L86" s="200">
        <f t="shared" si="11"/>
        <v>1032494.8499999996</v>
      </c>
      <c r="M86" s="1377"/>
    </row>
    <row r="87" spans="1:13" ht="24" customHeight="1">
      <c r="A87" s="1096">
        <v>42186</v>
      </c>
      <c r="B87" s="338">
        <v>186</v>
      </c>
      <c r="C87" s="338">
        <v>64990</v>
      </c>
      <c r="D87" s="200">
        <f t="shared" si="12"/>
        <v>38329</v>
      </c>
      <c r="E87" s="200">
        <f t="shared" si="13"/>
        <v>12100025</v>
      </c>
      <c r="F87" s="200">
        <f t="shared" si="9"/>
        <v>1671</v>
      </c>
      <c r="G87" s="338">
        <f t="shared" si="10"/>
        <v>64990</v>
      </c>
      <c r="H87" s="200">
        <f t="shared" si="14"/>
        <v>86410</v>
      </c>
      <c r="I87" s="338"/>
      <c r="J87" s="338">
        <f t="shared" si="16"/>
        <v>11002540.15</v>
      </c>
      <c r="K87" s="200">
        <f t="shared" si="15"/>
        <v>985867.34999999963</v>
      </c>
      <c r="L87" s="200">
        <f t="shared" si="11"/>
        <v>1097484.8499999996</v>
      </c>
      <c r="M87" s="338"/>
    </row>
    <row r="88" spans="1:13" ht="41.1" customHeight="1">
      <c r="A88" s="1096">
        <v>42217</v>
      </c>
      <c r="B88" s="338">
        <v>33.5</v>
      </c>
      <c r="C88" s="338">
        <v>11477.5</v>
      </c>
      <c r="D88" s="200">
        <f t="shared" si="12"/>
        <v>38362.5</v>
      </c>
      <c r="E88" s="200">
        <f t="shared" si="13"/>
        <v>12111502.5</v>
      </c>
      <c r="F88" s="200">
        <f t="shared" si="9"/>
        <v>1637.5</v>
      </c>
      <c r="G88" s="338">
        <f t="shared" si="10"/>
        <v>11477.5</v>
      </c>
      <c r="H88" s="200">
        <f t="shared" si="14"/>
        <v>46627.5</v>
      </c>
      <c r="I88" s="338"/>
      <c r="J88" s="338">
        <f t="shared" si="16"/>
        <v>11002540.15</v>
      </c>
      <c r="K88" s="200">
        <f t="shared" si="15"/>
        <v>1032494.8499999996</v>
      </c>
      <c r="L88" s="200">
        <f t="shared" si="11"/>
        <v>1108962.3499999996</v>
      </c>
      <c r="M88" s="1395"/>
    </row>
    <row r="89" spans="1:13" ht="41.1" customHeight="1">
      <c r="A89" s="1096">
        <v>42248</v>
      </c>
      <c r="B89" s="338">
        <v>0</v>
      </c>
      <c r="C89" s="338">
        <v>0</v>
      </c>
      <c r="D89" s="200">
        <f t="shared" si="12"/>
        <v>38362.5</v>
      </c>
      <c r="E89" s="200">
        <f t="shared" si="13"/>
        <v>12111502.5</v>
      </c>
      <c r="F89" s="200">
        <f t="shared" si="9"/>
        <v>1637.5</v>
      </c>
      <c r="G89" s="338">
        <f t="shared" si="10"/>
        <v>0</v>
      </c>
      <c r="H89" s="200">
        <f t="shared" si="14"/>
        <v>64990</v>
      </c>
      <c r="I89" s="338">
        <v>159393.41</v>
      </c>
      <c r="J89" s="338">
        <f t="shared" si="16"/>
        <v>11161933.560000001</v>
      </c>
      <c r="K89" s="200">
        <f t="shared" si="15"/>
        <v>938091.43999999959</v>
      </c>
      <c r="L89" s="200">
        <f t="shared" si="11"/>
        <v>949568.93999999948</v>
      </c>
      <c r="M89" s="1395" t="s">
        <v>818</v>
      </c>
    </row>
    <row r="90" spans="1:13" ht="41.1" customHeight="1">
      <c r="A90" s="1096">
        <v>42339</v>
      </c>
      <c r="B90" s="338">
        <v>0</v>
      </c>
      <c r="C90" s="338">
        <v>0</v>
      </c>
      <c r="D90" s="200">
        <f t="shared" si="12"/>
        <v>38362.5</v>
      </c>
      <c r="E90" s="200">
        <f t="shared" si="13"/>
        <v>12111502.5</v>
      </c>
      <c r="F90" s="200">
        <f t="shared" si="9"/>
        <v>1637.5</v>
      </c>
      <c r="G90" s="338"/>
      <c r="H90" s="200">
        <f t="shared" si="14"/>
        <v>11477.5</v>
      </c>
      <c r="I90" s="338">
        <v>85278.27</v>
      </c>
      <c r="J90" s="338">
        <f t="shared" si="16"/>
        <v>11247211.83</v>
      </c>
      <c r="K90" s="200">
        <f t="shared" si="15"/>
        <v>864290.66999999958</v>
      </c>
      <c r="L90" s="200">
        <f t="shared" si="11"/>
        <v>864290.66999999993</v>
      </c>
      <c r="M90" s="1395" t="s">
        <v>819</v>
      </c>
    </row>
    <row r="91" spans="1:13" ht="24" customHeight="1">
      <c r="A91" s="1096"/>
      <c r="B91" s="338"/>
      <c r="C91" s="338"/>
      <c r="D91" s="338"/>
      <c r="E91" s="338"/>
      <c r="F91" s="200"/>
      <c r="G91" s="338"/>
      <c r="H91" s="200">
        <f t="shared" si="14"/>
        <v>0</v>
      </c>
      <c r="I91" s="338"/>
      <c r="J91" s="338"/>
      <c r="K91" s="200">
        <f t="shared" si="15"/>
        <v>864290.66999999958</v>
      </c>
      <c r="L91" s="200"/>
      <c r="M91" s="1395"/>
    </row>
    <row r="92" spans="1:13" ht="24" customHeight="1">
      <c r="A92" s="1096"/>
      <c r="B92" s="338"/>
      <c r="C92" s="338"/>
      <c r="D92" s="338"/>
      <c r="E92" s="338"/>
      <c r="F92" s="338"/>
      <c r="G92" s="338"/>
      <c r="H92" s="338"/>
      <c r="I92" s="338"/>
      <c r="J92" s="338"/>
      <c r="K92" s="338"/>
      <c r="L92" s="338"/>
      <c r="M92" s="1395"/>
    </row>
    <row r="93" spans="1:13" ht="24" customHeight="1">
      <c r="A93" s="1096"/>
      <c r="B93" s="338"/>
      <c r="C93" s="338"/>
      <c r="D93" s="338"/>
      <c r="E93" s="338"/>
      <c r="F93" s="338"/>
      <c r="G93" s="338"/>
      <c r="H93" s="338"/>
      <c r="I93" s="338"/>
      <c r="J93" s="338"/>
      <c r="K93" s="338"/>
      <c r="L93" s="338"/>
      <c r="M93" s="338"/>
    </row>
    <row r="94" spans="1:13" ht="24" customHeight="1">
      <c r="A94" s="1096"/>
      <c r="B94" s="338"/>
      <c r="C94" s="338"/>
      <c r="D94" s="338"/>
      <c r="E94" s="338"/>
      <c r="F94" s="338"/>
      <c r="G94" s="338"/>
      <c r="H94" s="338"/>
      <c r="I94" s="338"/>
      <c r="J94" s="338"/>
      <c r="K94" s="338"/>
      <c r="L94" s="338"/>
      <c r="M94" s="338"/>
    </row>
    <row r="95" spans="1:13" ht="24" customHeight="1">
      <c r="A95" s="1096"/>
      <c r="B95" s="338"/>
      <c r="C95" s="338"/>
      <c r="D95" s="338"/>
      <c r="E95" s="338"/>
      <c r="F95" s="338"/>
      <c r="G95" s="338"/>
      <c r="H95" s="338"/>
      <c r="I95" s="338"/>
      <c r="J95" s="338"/>
      <c r="K95" s="338"/>
      <c r="L95" s="338"/>
      <c r="M95" s="338"/>
    </row>
    <row r="96" spans="1:13" ht="24" customHeight="1">
      <c r="A96" s="1096"/>
      <c r="B96" s="338"/>
      <c r="C96" s="338"/>
      <c r="D96" s="338"/>
      <c r="E96" s="338"/>
      <c r="F96" s="338"/>
      <c r="G96" s="338"/>
      <c r="H96" s="338"/>
      <c r="I96" s="338"/>
      <c r="J96" s="338"/>
      <c r="K96" s="338"/>
      <c r="L96" s="338"/>
      <c r="M96" s="1377"/>
    </row>
    <row r="97" spans="1:13" ht="54" customHeight="1">
      <c r="A97" s="1381" t="s">
        <v>556</v>
      </c>
      <c r="B97" s="1382">
        <v>41702</v>
      </c>
      <c r="C97" s="1645" t="s">
        <v>820</v>
      </c>
      <c r="D97" s="1645"/>
      <c r="E97" s="1759" t="s">
        <v>821</v>
      </c>
      <c r="F97" s="1759"/>
      <c r="G97" s="1759"/>
      <c r="H97" s="1383" t="s">
        <v>237</v>
      </c>
      <c r="I97" s="1760" t="s">
        <v>822</v>
      </c>
      <c r="J97" s="1760"/>
      <c r="K97" s="1760"/>
      <c r="L97" s="1645"/>
      <c r="M97" s="1761"/>
    </row>
    <row r="98" spans="1:13" ht="27.95" customHeight="1">
      <c r="A98" s="1384" t="s">
        <v>240</v>
      </c>
      <c r="B98" s="1648" t="s">
        <v>798</v>
      </c>
      <c r="C98" s="1648"/>
      <c r="D98" s="1385" t="s">
        <v>242</v>
      </c>
      <c r="E98" s="1648"/>
      <c r="F98" s="1648"/>
      <c r="G98" s="1648"/>
      <c r="H98" s="1648"/>
      <c r="I98" s="1648"/>
      <c r="J98" s="1385" t="s">
        <v>243</v>
      </c>
      <c r="K98" s="1385" t="s">
        <v>823</v>
      </c>
      <c r="L98" s="61" t="s">
        <v>245</v>
      </c>
      <c r="M98" s="151"/>
    </row>
    <row r="99" spans="1:13" ht="57" customHeight="1">
      <c r="A99" s="1384" t="s">
        <v>247</v>
      </c>
      <c r="B99" s="1648" t="s">
        <v>824</v>
      </c>
      <c r="C99" s="1648"/>
      <c r="D99" s="1385" t="s">
        <v>249</v>
      </c>
      <c r="E99" s="61" t="s">
        <v>323</v>
      </c>
      <c r="F99" s="1385" t="s">
        <v>251</v>
      </c>
      <c r="G99" s="1385" t="s">
        <v>800</v>
      </c>
      <c r="H99" s="1385" t="s">
        <v>252</v>
      </c>
      <c r="I99" s="1385">
        <v>13189196193</v>
      </c>
      <c r="J99" s="1396" t="s">
        <v>253</v>
      </c>
      <c r="K99" s="66"/>
      <c r="L99" s="66" t="s">
        <v>255</v>
      </c>
      <c r="M99" s="1397" t="s">
        <v>754</v>
      </c>
    </row>
    <row r="100" spans="1:13" ht="63.95" customHeight="1">
      <c r="A100" s="1384" t="s">
        <v>260</v>
      </c>
      <c r="B100" s="1762" t="s">
        <v>825</v>
      </c>
      <c r="C100" s="1762"/>
      <c r="D100" s="1762"/>
      <c r="E100" s="1762"/>
      <c r="F100" s="1762"/>
      <c r="G100" s="1762"/>
      <c r="H100" s="1762" t="s">
        <v>826</v>
      </c>
      <c r="I100" s="1762"/>
      <c r="J100" s="1762"/>
      <c r="K100" s="1670" t="s">
        <v>827</v>
      </c>
      <c r="L100" s="1679"/>
      <c r="M100" s="1763"/>
    </row>
    <row r="101" spans="1:13" ht="62.1" customHeight="1">
      <c r="A101" s="1384" t="s">
        <v>755</v>
      </c>
      <c r="B101" s="1648" t="s">
        <v>828</v>
      </c>
      <c r="C101" s="1648"/>
      <c r="D101" s="1648"/>
      <c r="E101" s="1648"/>
      <c r="F101" s="1648"/>
      <c r="G101" s="1648"/>
      <c r="H101" s="1648"/>
      <c r="I101" s="1633" t="s">
        <v>762</v>
      </c>
      <c r="J101" s="1633"/>
      <c r="K101" s="1633"/>
      <c r="L101" s="1633"/>
      <c r="M101" s="151"/>
    </row>
    <row r="102" spans="1:13" ht="40.5">
      <c r="A102" s="1386" t="s">
        <v>266</v>
      </c>
      <c r="B102" s="1387" t="s">
        <v>829</v>
      </c>
      <c r="C102" s="1387" t="s">
        <v>268</v>
      </c>
      <c r="D102" s="1387" t="s">
        <v>830</v>
      </c>
      <c r="E102" s="1387" t="s">
        <v>270</v>
      </c>
      <c r="F102" s="1387" t="s">
        <v>831</v>
      </c>
      <c r="G102" s="1388" t="s">
        <v>272</v>
      </c>
      <c r="H102" s="1389" t="s">
        <v>273</v>
      </c>
      <c r="I102" s="1387" t="s">
        <v>274</v>
      </c>
      <c r="J102" s="1398" t="s">
        <v>275</v>
      </c>
      <c r="K102" s="1398" t="s">
        <v>276</v>
      </c>
      <c r="L102" s="1387" t="s">
        <v>277</v>
      </c>
      <c r="M102" s="1399" t="s">
        <v>278</v>
      </c>
    </row>
    <row r="103" spans="1:13" ht="27" customHeight="1">
      <c r="A103" s="1390">
        <v>41699</v>
      </c>
      <c r="B103" s="1391">
        <v>2003.5</v>
      </c>
      <c r="C103" s="1391">
        <v>655115</v>
      </c>
      <c r="D103" s="1391">
        <f>B103</f>
        <v>2003.5</v>
      </c>
      <c r="E103" s="1391">
        <f>C103</f>
        <v>655115</v>
      </c>
      <c r="F103" s="1391"/>
      <c r="G103" s="1351">
        <f t="shared" ref="G103:G131" si="17">C103</f>
        <v>655115</v>
      </c>
      <c r="H103" s="1392"/>
      <c r="I103" s="1391"/>
      <c r="J103" s="1391"/>
      <c r="K103" s="1391"/>
      <c r="L103" s="1391">
        <f>E103-J103</f>
        <v>655115</v>
      </c>
      <c r="M103" s="1400"/>
    </row>
    <row r="104" spans="1:13" ht="27" customHeight="1">
      <c r="A104" s="777">
        <v>41730</v>
      </c>
      <c r="B104" s="200">
        <v>3819</v>
      </c>
      <c r="C104" s="200">
        <v>1260417.5</v>
      </c>
      <c r="D104" s="200">
        <f t="shared" ref="D104:D135" si="18">D103+B104</f>
        <v>5822.5</v>
      </c>
      <c r="E104" s="200">
        <f t="shared" ref="E104:E135" si="19">E103+C104</f>
        <v>1915532.5</v>
      </c>
      <c r="F104" s="200"/>
      <c r="G104" s="180">
        <f t="shared" si="17"/>
        <v>1260417.5</v>
      </c>
      <c r="H104" s="201">
        <v>0</v>
      </c>
      <c r="I104" s="200"/>
      <c r="J104" s="200"/>
      <c r="K104" s="200">
        <f t="shared" ref="K104:K135" si="20">K103+H104-I104</f>
        <v>0</v>
      </c>
      <c r="L104" s="200">
        <f>E104-J104</f>
        <v>1915532.5</v>
      </c>
      <c r="M104" s="783"/>
    </row>
    <row r="105" spans="1:13" ht="27" customHeight="1">
      <c r="A105" s="1393">
        <v>41760</v>
      </c>
      <c r="B105" s="211">
        <v>2248</v>
      </c>
      <c r="C105" s="211">
        <v>740602.5</v>
      </c>
      <c r="D105" s="200">
        <f t="shared" si="18"/>
        <v>8070.5</v>
      </c>
      <c r="E105" s="200">
        <f t="shared" si="19"/>
        <v>2656135</v>
      </c>
      <c r="F105" s="211"/>
      <c r="G105" s="180">
        <f t="shared" si="17"/>
        <v>740602.5</v>
      </c>
      <c r="H105" s="933">
        <f t="shared" ref="H105:H132" si="21">C103</f>
        <v>655115</v>
      </c>
      <c r="I105" s="211"/>
      <c r="J105" s="1401"/>
      <c r="K105" s="211">
        <f t="shared" si="20"/>
        <v>655115</v>
      </c>
      <c r="L105" s="200">
        <f t="shared" ref="L105:L135" si="22">E105-J105</f>
        <v>2656135</v>
      </c>
      <c r="M105" s="783"/>
    </row>
    <row r="106" spans="1:13" ht="27" customHeight="1">
      <c r="A106" s="1037">
        <v>41791</v>
      </c>
      <c r="B106" s="200">
        <v>1969.5</v>
      </c>
      <c r="C106" s="200">
        <v>638135</v>
      </c>
      <c r="D106" s="200">
        <f t="shared" si="18"/>
        <v>10040</v>
      </c>
      <c r="E106" s="200">
        <f t="shared" si="19"/>
        <v>3294270</v>
      </c>
      <c r="F106" s="200"/>
      <c r="G106" s="180">
        <f t="shared" si="17"/>
        <v>638135</v>
      </c>
      <c r="H106" s="201">
        <f t="shared" si="21"/>
        <v>1260417.5</v>
      </c>
      <c r="I106" s="200"/>
      <c r="J106" s="200"/>
      <c r="K106" s="211">
        <f t="shared" si="20"/>
        <v>1915532.5</v>
      </c>
      <c r="L106" s="200">
        <f t="shared" si="22"/>
        <v>3294270</v>
      </c>
      <c r="M106" s="783"/>
    </row>
    <row r="107" spans="1:13" ht="27" customHeight="1">
      <c r="A107" s="1037">
        <v>41822</v>
      </c>
      <c r="B107" s="338">
        <v>2751.5</v>
      </c>
      <c r="C107" s="338">
        <v>898237.5</v>
      </c>
      <c r="D107" s="200">
        <f t="shared" si="18"/>
        <v>12791.5</v>
      </c>
      <c r="E107" s="200">
        <f t="shared" si="19"/>
        <v>4192507.5</v>
      </c>
      <c r="F107" s="338"/>
      <c r="G107" s="180">
        <f t="shared" si="17"/>
        <v>898237.5</v>
      </c>
      <c r="H107" s="201">
        <f t="shared" si="21"/>
        <v>740602.5</v>
      </c>
      <c r="I107" s="200"/>
      <c r="J107" s="200"/>
      <c r="K107" s="211">
        <f t="shared" si="20"/>
        <v>2656135</v>
      </c>
      <c r="L107" s="200">
        <f t="shared" si="22"/>
        <v>4192507.5</v>
      </c>
      <c r="M107" s="783"/>
    </row>
    <row r="108" spans="1:13" ht="27" customHeight="1">
      <c r="A108" s="1037">
        <v>41854</v>
      </c>
      <c r="B108" s="338">
        <v>2951</v>
      </c>
      <c r="C108" s="338">
        <v>946315</v>
      </c>
      <c r="D108" s="200">
        <f t="shared" si="18"/>
        <v>15742.5</v>
      </c>
      <c r="E108" s="200">
        <f t="shared" si="19"/>
        <v>5138822.5</v>
      </c>
      <c r="F108" s="338"/>
      <c r="G108" s="180">
        <f t="shared" si="17"/>
        <v>946315</v>
      </c>
      <c r="H108" s="201">
        <f t="shared" si="21"/>
        <v>638135</v>
      </c>
      <c r="I108" s="200">
        <v>2200000</v>
      </c>
      <c r="J108" s="200">
        <f t="shared" ref="J108:J135" si="23">J107+I108</f>
        <v>2200000</v>
      </c>
      <c r="K108" s="200">
        <f t="shared" si="20"/>
        <v>1094270</v>
      </c>
      <c r="L108" s="200">
        <f t="shared" si="22"/>
        <v>2938822.5</v>
      </c>
      <c r="M108" s="1402" t="s">
        <v>832</v>
      </c>
    </row>
    <row r="109" spans="1:13" ht="27" customHeight="1">
      <c r="A109" s="1037">
        <v>41886</v>
      </c>
      <c r="B109" s="338">
        <v>1370.5</v>
      </c>
      <c r="C109" s="338">
        <v>438087.5</v>
      </c>
      <c r="D109" s="200">
        <f t="shared" si="18"/>
        <v>17113</v>
      </c>
      <c r="E109" s="200">
        <f t="shared" si="19"/>
        <v>5576910</v>
      </c>
      <c r="F109" s="338"/>
      <c r="G109" s="180">
        <f t="shared" si="17"/>
        <v>438087.5</v>
      </c>
      <c r="H109" s="201">
        <f t="shared" si="21"/>
        <v>898237.5</v>
      </c>
      <c r="I109" s="338"/>
      <c r="J109" s="200">
        <f t="shared" si="23"/>
        <v>2200000</v>
      </c>
      <c r="K109" s="200">
        <f t="shared" si="20"/>
        <v>1992507.5</v>
      </c>
      <c r="L109" s="200">
        <f t="shared" si="22"/>
        <v>3376910</v>
      </c>
      <c r="M109" s="783" t="s">
        <v>833</v>
      </c>
    </row>
    <row r="110" spans="1:13" ht="27" customHeight="1">
      <c r="A110" s="1037">
        <v>41918</v>
      </c>
      <c r="B110" s="338">
        <v>939</v>
      </c>
      <c r="C110" s="338">
        <v>307615</v>
      </c>
      <c r="D110" s="200">
        <f t="shared" si="18"/>
        <v>18052</v>
      </c>
      <c r="E110" s="200">
        <f t="shared" si="19"/>
        <v>5884525</v>
      </c>
      <c r="F110" s="338"/>
      <c r="G110" s="180">
        <f t="shared" si="17"/>
        <v>307615</v>
      </c>
      <c r="H110" s="201">
        <f t="shared" si="21"/>
        <v>946315</v>
      </c>
      <c r="I110" s="338">
        <v>800000</v>
      </c>
      <c r="J110" s="200">
        <f t="shared" si="23"/>
        <v>3000000</v>
      </c>
      <c r="K110" s="200">
        <f t="shared" si="20"/>
        <v>2138822.5</v>
      </c>
      <c r="L110" s="200">
        <f t="shared" si="22"/>
        <v>2884525</v>
      </c>
      <c r="M110" s="1403" t="s">
        <v>834</v>
      </c>
    </row>
    <row r="111" spans="1:13" ht="27" customHeight="1">
      <c r="A111" s="1037">
        <v>41950</v>
      </c>
      <c r="B111" s="338">
        <v>183</v>
      </c>
      <c r="C111" s="338">
        <v>64567.5</v>
      </c>
      <c r="D111" s="200">
        <f t="shared" si="18"/>
        <v>18235</v>
      </c>
      <c r="E111" s="200">
        <f t="shared" si="19"/>
        <v>5949092.5</v>
      </c>
      <c r="F111" s="338"/>
      <c r="G111" s="180">
        <f t="shared" si="17"/>
        <v>64567.5</v>
      </c>
      <c r="H111" s="201">
        <f t="shared" si="21"/>
        <v>438087.5</v>
      </c>
      <c r="I111" s="338">
        <v>900000</v>
      </c>
      <c r="J111" s="200">
        <f t="shared" si="23"/>
        <v>3900000</v>
      </c>
      <c r="K111" s="200">
        <f t="shared" si="20"/>
        <v>1676910</v>
      </c>
      <c r="L111" s="200">
        <f t="shared" si="22"/>
        <v>2049092.5</v>
      </c>
      <c r="M111" s="1403" t="s">
        <v>835</v>
      </c>
    </row>
    <row r="112" spans="1:13" ht="27" customHeight="1">
      <c r="A112" s="1037">
        <v>41982</v>
      </c>
      <c r="B112" s="338">
        <v>45</v>
      </c>
      <c r="C112" s="338">
        <v>13725</v>
      </c>
      <c r="D112" s="200">
        <f t="shared" si="18"/>
        <v>18280</v>
      </c>
      <c r="E112" s="200">
        <f t="shared" si="19"/>
        <v>5962817.5</v>
      </c>
      <c r="F112" s="338"/>
      <c r="G112" s="180">
        <f t="shared" si="17"/>
        <v>13725</v>
      </c>
      <c r="H112" s="201">
        <f t="shared" si="21"/>
        <v>307615</v>
      </c>
      <c r="I112" s="338">
        <v>1300000</v>
      </c>
      <c r="J112" s="200">
        <f t="shared" si="23"/>
        <v>5200000</v>
      </c>
      <c r="K112" s="200">
        <f t="shared" si="20"/>
        <v>684525</v>
      </c>
      <c r="L112" s="200">
        <f t="shared" si="22"/>
        <v>762817.5</v>
      </c>
      <c r="M112" s="782"/>
    </row>
    <row r="113" spans="1:13" ht="27" customHeight="1">
      <c r="A113" s="1038">
        <v>42005</v>
      </c>
      <c r="B113" s="338">
        <v>163</v>
      </c>
      <c r="C113" s="338">
        <v>52375</v>
      </c>
      <c r="D113" s="200">
        <f t="shared" si="18"/>
        <v>18443</v>
      </c>
      <c r="E113" s="200">
        <f t="shared" si="19"/>
        <v>6015192.5</v>
      </c>
      <c r="F113" s="338"/>
      <c r="G113" s="180">
        <f t="shared" si="17"/>
        <v>52375</v>
      </c>
      <c r="H113" s="201">
        <f t="shared" si="21"/>
        <v>64567.5</v>
      </c>
      <c r="I113" s="338"/>
      <c r="J113" s="200">
        <f t="shared" si="23"/>
        <v>5200000</v>
      </c>
      <c r="K113" s="200">
        <f t="shared" si="20"/>
        <v>749092.5</v>
      </c>
      <c r="L113" s="200">
        <f t="shared" si="22"/>
        <v>815192.5</v>
      </c>
      <c r="M113" s="1404" t="s">
        <v>836</v>
      </c>
    </row>
    <row r="114" spans="1:13" ht="27" customHeight="1">
      <c r="A114" s="1038">
        <v>42037</v>
      </c>
      <c r="B114" s="338">
        <v>86</v>
      </c>
      <c r="C114" s="338">
        <v>27470</v>
      </c>
      <c r="D114" s="200">
        <f t="shared" si="18"/>
        <v>18529</v>
      </c>
      <c r="E114" s="200">
        <f t="shared" si="19"/>
        <v>6042662.5</v>
      </c>
      <c r="F114" s="338"/>
      <c r="G114" s="180">
        <f t="shared" si="17"/>
        <v>27470</v>
      </c>
      <c r="H114" s="201">
        <f t="shared" si="21"/>
        <v>13725</v>
      </c>
      <c r="I114" s="338">
        <v>800000</v>
      </c>
      <c r="J114" s="200">
        <f t="shared" si="23"/>
        <v>6000000</v>
      </c>
      <c r="K114" s="200">
        <f t="shared" si="20"/>
        <v>-37182.5</v>
      </c>
      <c r="L114" s="200">
        <f t="shared" si="22"/>
        <v>42662.5</v>
      </c>
      <c r="M114" s="782"/>
    </row>
    <row r="115" spans="1:13" ht="27" customHeight="1">
      <c r="A115" s="1038">
        <v>42069</v>
      </c>
      <c r="B115" s="338">
        <v>39</v>
      </c>
      <c r="C115" s="338">
        <v>12675</v>
      </c>
      <c r="D115" s="200">
        <f t="shared" si="18"/>
        <v>18568</v>
      </c>
      <c r="E115" s="200">
        <f t="shared" si="19"/>
        <v>6055337.5</v>
      </c>
      <c r="F115" s="338"/>
      <c r="G115" s="340">
        <f t="shared" si="17"/>
        <v>12675</v>
      </c>
      <c r="H115" s="201">
        <f t="shared" si="21"/>
        <v>52375</v>
      </c>
      <c r="I115" s="338"/>
      <c r="J115" s="200">
        <f t="shared" si="23"/>
        <v>6000000</v>
      </c>
      <c r="K115" s="200">
        <f t="shared" si="20"/>
        <v>15192.5</v>
      </c>
      <c r="L115" s="200">
        <f t="shared" si="22"/>
        <v>55337.5</v>
      </c>
      <c r="M115" s="782"/>
    </row>
    <row r="116" spans="1:13" ht="27" customHeight="1">
      <c r="A116" s="780">
        <v>42095</v>
      </c>
      <c r="B116" s="200">
        <v>429</v>
      </c>
      <c r="C116" s="200">
        <v>141295</v>
      </c>
      <c r="D116" s="200">
        <f t="shared" si="18"/>
        <v>18997</v>
      </c>
      <c r="E116" s="200">
        <f t="shared" si="19"/>
        <v>6196632.5</v>
      </c>
      <c r="F116" s="200"/>
      <c r="G116" s="340">
        <f t="shared" si="17"/>
        <v>141295</v>
      </c>
      <c r="H116" s="201">
        <f t="shared" si="21"/>
        <v>27470</v>
      </c>
      <c r="I116" s="200"/>
      <c r="J116" s="200">
        <f t="shared" si="23"/>
        <v>6000000</v>
      </c>
      <c r="K116" s="200">
        <f t="shared" si="20"/>
        <v>42662.5</v>
      </c>
      <c r="L116" s="200">
        <f t="shared" si="22"/>
        <v>196632.5</v>
      </c>
      <c r="M116" s="850"/>
    </row>
    <row r="117" spans="1:13" ht="27" customHeight="1">
      <c r="A117" s="780">
        <v>42125</v>
      </c>
      <c r="B117" s="200">
        <v>28</v>
      </c>
      <c r="C117" s="200">
        <v>9300</v>
      </c>
      <c r="D117" s="200">
        <f t="shared" si="18"/>
        <v>19025</v>
      </c>
      <c r="E117" s="200">
        <f t="shared" si="19"/>
        <v>6205932.5</v>
      </c>
      <c r="F117" s="200"/>
      <c r="G117" s="340">
        <f t="shared" si="17"/>
        <v>9300</v>
      </c>
      <c r="H117" s="201">
        <f t="shared" si="21"/>
        <v>12675</v>
      </c>
      <c r="I117" s="200"/>
      <c r="J117" s="200">
        <f t="shared" si="23"/>
        <v>6000000</v>
      </c>
      <c r="K117" s="200">
        <f t="shared" si="20"/>
        <v>55337.5</v>
      </c>
      <c r="L117" s="200">
        <f t="shared" si="22"/>
        <v>205932.5</v>
      </c>
      <c r="M117" s="850"/>
    </row>
    <row r="118" spans="1:13" ht="27" customHeight="1">
      <c r="A118" s="780">
        <v>42156</v>
      </c>
      <c r="B118" s="200">
        <v>244.5</v>
      </c>
      <c r="C118" s="200">
        <v>78807.5</v>
      </c>
      <c r="D118" s="200">
        <f t="shared" si="18"/>
        <v>19269.5</v>
      </c>
      <c r="E118" s="200">
        <f t="shared" si="19"/>
        <v>6284740</v>
      </c>
      <c r="F118" s="200"/>
      <c r="G118" s="340">
        <f t="shared" si="17"/>
        <v>78807.5</v>
      </c>
      <c r="H118" s="201">
        <f t="shared" si="21"/>
        <v>141295</v>
      </c>
      <c r="I118" s="200"/>
      <c r="J118" s="200">
        <f t="shared" si="23"/>
        <v>6000000</v>
      </c>
      <c r="K118" s="200">
        <f t="shared" si="20"/>
        <v>196632.5</v>
      </c>
      <c r="L118" s="200">
        <f t="shared" si="22"/>
        <v>284740</v>
      </c>
      <c r="M118" s="850"/>
    </row>
    <row r="119" spans="1:13" ht="27" customHeight="1">
      <c r="A119" s="780">
        <v>42186</v>
      </c>
      <c r="B119" s="200">
        <v>206</v>
      </c>
      <c r="C119" s="200">
        <v>65210</v>
      </c>
      <c r="D119" s="200">
        <f t="shared" si="18"/>
        <v>19475.5</v>
      </c>
      <c r="E119" s="200">
        <f t="shared" si="19"/>
        <v>6349950</v>
      </c>
      <c r="F119" s="200"/>
      <c r="G119" s="340">
        <f t="shared" si="17"/>
        <v>65210</v>
      </c>
      <c r="H119" s="201">
        <f t="shared" si="21"/>
        <v>9300</v>
      </c>
      <c r="I119" s="200"/>
      <c r="J119" s="200">
        <f t="shared" si="23"/>
        <v>6000000</v>
      </c>
      <c r="K119" s="200">
        <f t="shared" si="20"/>
        <v>205932.5</v>
      </c>
      <c r="L119" s="200">
        <f t="shared" si="22"/>
        <v>349950</v>
      </c>
      <c r="M119" s="850" t="s">
        <v>837</v>
      </c>
    </row>
    <row r="120" spans="1:13" ht="27" customHeight="1">
      <c r="A120" s="780">
        <v>42217</v>
      </c>
      <c r="B120" s="200">
        <v>135</v>
      </c>
      <c r="C120" s="200">
        <v>38545</v>
      </c>
      <c r="D120" s="200">
        <f t="shared" si="18"/>
        <v>19610.5</v>
      </c>
      <c r="E120" s="200">
        <f t="shared" si="19"/>
        <v>6388495</v>
      </c>
      <c r="F120" s="200"/>
      <c r="G120" s="340">
        <f t="shared" si="17"/>
        <v>38545</v>
      </c>
      <c r="H120" s="201">
        <f t="shared" si="21"/>
        <v>78807.5</v>
      </c>
      <c r="I120" s="200"/>
      <c r="J120" s="200">
        <f t="shared" si="23"/>
        <v>6000000</v>
      </c>
      <c r="K120" s="200">
        <f t="shared" si="20"/>
        <v>284740</v>
      </c>
      <c r="L120" s="200">
        <f t="shared" si="22"/>
        <v>388495</v>
      </c>
      <c r="M120" s="850" t="s">
        <v>838</v>
      </c>
    </row>
    <row r="121" spans="1:13" ht="27" customHeight="1">
      <c r="A121" s="1096" t="s">
        <v>785</v>
      </c>
      <c r="B121" s="200"/>
      <c r="C121" s="200">
        <v>-143690</v>
      </c>
      <c r="D121" s="200">
        <f t="shared" si="18"/>
        <v>19610.5</v>
      </c>
      <c r="E121" s="200">
        <f t="shared" si="19"/>
        <v>6244805</v>
      </c>
      <c r="F121" s="200"/>
      <c r="G121" s="340">
        <f t="shared" si="17"/>
        <v>-143690</v>
      </c>
      <c r="H121" s="201">
        <f t="shared" si="21"/>
        <v>65210</v>
      </c>
      <c r="I121" s="200"/>
      <c r="J121" s="200">
        <f t="shared" si="23"/>
        <v>6000000</v>
      </c>
      <c r="K121" s="200">
        <f t="shared" si="20"/>
        <v>349950</v>
      </c>
      <c r="L121" s="200">
        <f t="shared" si="22"/>
        <v>244805</v>
      </c>
      <c r="M121" s="850"/>
    </row>
    <row r="122" spans="1:13" ht="27" customHeight="1">
      <c r="A122" s="1096" t="s">
        <v>786</v>
      </c>
      <c r="B122" s="200"/>
      <c r="C122" s="200">
        <v>-35010</v>
      </c>
      <c r="D122" s="200">
        <f t="shared" si="18"/>
        <v>19610.5</v>
      </c>
      <c r="E122" s="200">
        <f t="shared" si="19"/>
        <v>6209795</v>
      </c>
      <c r="F122" s="200"/>
      <c r="G122" s="340">
        <f t="shared" si="17"/>
        <v>-35010</v>
      </c>
      <c r="H122" s="201">
        <f t="shared" si="21"/>
        <v>38545</v>
      </c>
      <c r="I122" s="200"/>
      <c r="J122" s="200">
        <f t="shared" si="23"/>
        <v>6000000</v>
      </c>
      <c r="K122" s="200">
        <f t="shared" si="20"/>
        <v>388495</v>
      </c>
      <c r="L122" s="200">
        <f t="shared" si="22"/>
        <v>209795</v>
      </c>
      <c r="M122" s="850"/>
    </row>
    <row r="123" spans="1:13" ht="27" customHeight="1">
      <c r="A123" s="1096" t="s">
        <v>787</v>
      </c>
      <c r="B123" s="200"/>
      <c r="C123" s="200">
        <v>-8640</v>
      </c>
      <c r="D123" s="200">
        <f t="shared" si="18"/>
        <v>19610.5</v>
      </c>
      <c r="E123" s="200">
        <f t="shared" si="19"/>
        <v>6201155</v>
      </c>
      <c r="F123" s="200"/>
      <c r="G123" s="340">
        <f t="shared" si="17"/>
        <v>-8640</v>
      </c>
      <c r="H123" s="201">
        <f t="shared" si="21"/>
        <v>-143690</v>
      </c>
      <c r="I123" s="200"/>
      <c r="J123" s="200">
        <f t="shared" si="23"/>
        <v>6000000</v>
      </c>
      <c r="K123" s="200">
        <f t="shared" si="20"/>
        <v>244805</v>
      </c>
      <c r="L123" s="200">
        <f t="shared" si="22"/>
        <v>201155</v>
      </c>
      <c r="M123" s="850"/>
    </row>
    <row r="124" spans="1:13" ht="27" customHeight="1">
      <c r="A124" s="1096" t="s">
        <v>789</v>
      </c>
      <c r="B124" s="200"/>
      <c r="C124" s="200">
        <v>-21045</v>
      </c>
      <c r="D124" s="200">
        <f t="shared" si="18"/>
        <v>19610.5</v>
      </c>
      <c r="E124" s="200">
        <f t="shared" si="19"/>
        <v>6180110</v>
      </c>
      <c r="F124" s="200"/>
      <c r="G124" s="340">
        <f t="shared" si="17"/>
        <v>-21045</v>
      </c>
      <c r="H124" s="201">
        <f t="shared" si="21"/>
        <v>-35010</v>
      </c>
      <c r="I124" s="200"/>
      <c r="J124" s="200">
        <f t="shared" si="23"/>
        <v>6000000</v>
      </c>
      <c r="K124" s="200">
        <f t="shared" si="20"/>
        <v>209795</v>
      </c>
      <c r="L124" s="200">
        <f t="shared" si="22"/>
        <v>180110</v>
      </c>
      <c r="M124" s="850"/>
    </row>
    <row r="125" spans="1:13" ht="27" customHeight="1">
      <c r="A125" s="1096" t="s">
        <v>791</v>
      </c>
      <c r="B125" s="200"/>
      <c r="C125" s="200">
        <v>-6180</v>
      </c>
      <c r="D125" s="200">
        <f t="shared" si="18"/>
        <v>19610.5</v>
      </c>
      <c r="E125" s="200">
        <f t="shared" si="19"/>
        <v>6173930</v>
      </c>
      <c r="F125" s="200"/>
      <c r="G125" s="340">
        <f t="shared" si="17"/>
        <v>-6180</v>
      </c>
      <c r="H125" s="201">
        <f t="shared" si="21"/>
        <v>-8640</v>
      </c>
      <c r="I125" s="200"/>
      <c r="J125" s="200">
        <f t="shared" si="23"/>
        <v>6000000</v>
      </c>
      <c r="K125" s="200">
        <f t="shared" si="20"/>
        <v>201155</v>
      </c>
      <c r="L125" s="200">
        <f t="shared" si="22"/>
        <v>173930</v>
      </c>
      <c r="M125" s="850"/>
    </row>
    <row r="126" spans="1:13" ht="27" customHeight="1">
      <c r="A126" s="1077">
        <v>42248</v>
      </c>
      <c r="B126" s="200">
        <v>6</v>
      </c>
      <c r="C126" s="200">
        <v>1650</v>
      </c>
      <c r="D126" s="200">
        <f t="shared" si="18"/>
        <v>19616.5</v>
      </c>
      <c r="E126" s="200">
        <f t="shared" si="19"/>
        <v>6175580</v>
      </c>
      <c r="F126" s="200"/>
      <c r="G126" s="340">
        <f t="shared" si="17"/>
        <v>1650</v>
      </c>
      <c r="H126" s="201">
        <f t="shared" si="21"/>
        <v>-21045</v>
      </c>
      <c r="I126" s="200">
        <v>400000</v>
      </c>
      <c r="J126" s="200">
        <f t="shared" si="23"/>
        <v>6400000</v>
      </c>
      <c r="K126" s="200">
        <f t="shared" si="20"/>
        <v>-219890</v>
      </c>
      <c r="L126" s="200">
        <f t="shared" si="22"/>
        <v>-224420</v>
      </c>
      <c r="M126" s="850"/>
    </row>
    <row r="127" spans="1:13" ht="27" customHeight="1">
      <c r="A127" s="1077">
        <v>42278</v>
      </c>
      <c r="B127" s="200">
        <v>7</v>
      </c>
      <c r="C127" s="200">
        <v>1955</v>
      </c>
      <c r="D127" s="200">
        <f t="shared" si="18"/>
        <v>19623.5</v>
      </c>
      <c r="E127" s="200">
        <f t="shared" si="19"/>
        <v>6177535</v>
      </c>
      <c r="F127" s="200"/>
      <c r="G127" s="340">
        <f t="shared" si="17"/>
        <v>1955</v>
      </c>
      <c r="H127" s="201">
        <f t="shared" si="21"/>
        <v>-6180</v>
      </c>
      <c r="I127" s="200"/>
      <c r="J127" s="200">
        <f t="shared" si="23"/>
        <v>6400000</v>
      </c>
      <c r="K127" s="200">
        <f t="shared" si="20"/>
        <v>-226070</v>
      </c>
      <c r="L127" s="200">
        <f t="shared" si="22"/>
        <v>-222465</v>
      </c>
      <c r="M127" s="850"/>
    </row>
    <row r="128" spans="1:13" ht="27" customHeight="1">
      <c r="A128" s="1077">
        <v>42339</v>
      </c>
      <c r="B128" s="200">
        <v>729.5</v>
      </c>
      <c r="C128" s="200">
        <v>225867.5</v>
      </c>
      <c r="D128" s="200">
        <f t="shared" si="18"/>
        <v>20353</v>
      </c>
      <c r="E128" s="200">
        <f t="shared" si="19"/>
        <v>6403402.5</v>
      </c>
      <c r="F128" s="200"/>
      <c r="G128" s="340">
        <f t="shared" si="17"/>
        <v>225867.5</v>
      </c>
      <c r="H128" s="201">
        <f t="shared" si="21"/>
        <v>1650</v>
      </c>
      <c r="I128" s="200"/>
      <c r="J128" s="200">
        <f t="shared" si="23"/>
        <v>6400000</v>
      </c>
      <c r="K128" s="200">
        <f t="shared" si="20"/>
        <v>-224420</v>
      </c>
      <c r="L128" s="200">
        <f t="shared" si="22"/>
        <v>3402.5</v>
      </c>
      <c r="M128" s="850"/>
    </row>
    <row r="129" spans="1:13" ht="27" customHeight="1">
      <c r="A129" s="780">
        <v>42370</v>
      </c>
      <c r="B129" s="200">
        <v>562</v>
      </c>
      <c r="C129" s="200">
        <v>167640</v>
      </c>
      <c r="D129" s="200">
        <f t="shared" si="18"/>
        <v>20915</v>
      </c>
      <c r="E129" s="200">
        <f t="shared" si="19"/>
        <v>6571042.5</v>
      </c>
      <c r="F129" s="200"/>
      <c r="G129" s="340">
        <f t="shared" si="17"/>
        <v>167640</v>
      </c>
      <c r="H129" s="201">
        <f t="shared" si="21"/>
        <v>1955</v>
      </c>
      <c r="I129" s="200"/>
      <c r="J129" s="200">
        <f t="shared" si="23"/>
        <v>6400000</v>
      </c>
      <c r="K129" s="200">
        <f t="shared" si="20"/>
        <v>-222465</v>
      </c>
      <c r="L129" s="200">
        <f t="shared" si="22"/>
        <v>171042.5</v>
      </c>
      <c r="M129" s="850"/>
    </row>
    <row r="130" spans="1:13" ht="27" customHeight="1">
      <c r="A130" s="780">
        <v>42401</v>
      </c>
      <c r="B130" s="200">
        <v>0</v>
      </c>
      <c r="C130" s="200">
        <v>0</v>
      </c>
      <c r="D130" s="200">
        <f t="shared" si="18"/>
        <v>20915</v>
      </c>
      <c r="E130" s="200">
        <f t="shared" si="19"/>
        <v>6571042.5</v>
      </c>
      <c r="F130" s="200"/>
      <c r="G130" s="340">
        <f t="shared" si="17"/>
        <v>0</v>
      </c>
      <c r="H130" s="201">
        <f t="shared" si="21"/>
        <v>225867.5</v>
      </c>
      <c r="I130" s="200">
        <v>300000</v>
      </c>
      <c r="J130" s="200">
        <f t="shared" si="23"/>
        <v>6700000</v>
      </c>
      <c r="K130" s="200">
        <f t="shared" si="20"/>
        <v>-296597.5</v>
      </c>
      <c r="L130" s="200">
        <f t="shared" si="22"/>
        <v>-128957.5</v>
      </c>
      <c r="M130" s="850"/>
    </row>
    <row r="131" spans="1:13" ht="27" customHeight="1">
      <c r="A131" s="780">
        <v>42430</v>
      </c>
      <c r="B131" s="200">
        <v>231</v>
      </c>
      <c r="C131" s="200">
        <f>67945-370</f>
        <v>67575</v>
      </c>
      <c r="D131" s="200">
        <f t="shared" si="18"/>
        <v>21146</v>
      </c>
      <c r="E131" s="200">
        <f t="shared" si="19"/>
        <v>6638617.5</v>
      </c>
      <c r="F131" s="200"/>
      <c r="G131" s="340">
        <f t="shared" si="17"/>
        <v>67575</v>
      </c>
      <c r="H131" s="201">
        <f t="shared" si="21"/>
        <v>167640</v>
      </c>
      <c r="I131" s="200">
        <v>50000</v>
      </c>
      <c r="J131" s="200">
        <f t="shared" si="23"/>
        <v>6750000</v>
      </c>
      <c r="K131" s="200">
        <f t="shared" si="20"/>
        <v>-178957.5</v>
      </c>
      <c r="L131" s="200">
        <f t="shared" si="22"/>
        <v>-111382.5</v>
      </c>
      <c r="M131" s="850"/>
    </row>
    <row r="132" spans="1:13" ht="27" customHeight="1">
      <c r="A132" s="780">
        <v>42461</v>
      </c>
      <c r="B132" s="200">
        <v>386</v>
      </c>
      <c r="C132" s="200">
        <v>112570</v>
      </c>
      <c r="D132" s="200">
        <f t="shared" si="18"/>
        <v>21532</v>
      </c>
      <c r="E132" s="200">
        <f t="shared" si="19"/>
        <v>6751187.5</v>
      </c>
      <c r="F132" s="200"/>
      <c r="G132" s="340"/>
      <c r="H132" s="201">
        <f t="shared" si="21"/>
        <v>0</v>
      </c>
      <c r="I132" s="200">
        <v>1557.5</v>
      </c>
      <c r="J132" s="200">
        <f t="shared" si="23"/>
        <v>6751557.5</v>
      </c>
      <c r="K132" s="200">
        <f t="shared" si="20"/>
        <v>-180515</v>
      </c>
      <c r="L132" s="200">
        <f t="shared" si="22"/>
        <v>-370</v>
      </c>
      <c r="M132" s="338" t="s">
        <v>839</v>
      </c>
    </row>
    <row r="133" spans="1:13" ht="27" customHeight="1">
      <c r="A133" s="780">
        <v>42614</v>
      </c>
      <c r="B133" s="200">
        <v>0</v>
      </c>
      <c r="C133" s="200">
        <v>0</v>
      </c>
      <c r="D133" s="200">
        <f t="shared" si="18"/>
        <v>21532</v>
      </c>
      <c r="E133" s="200">
        <f t="shared" si="19"/>
        <v>6751187.5</v>
      </c>
      <c r="F133" s="200"/>
      <c r="G133" s="180"/>
      <c r="H133" s="201">
        <f>C131+G132+C132</f>
        <v>180145</v>
      </c>
      <c r="I133" s="200">
        <v>10675</v>
      </c>
      <c r="J133" s="200">
        <f t="shared" si="23"/>
        <v>6762232.5</v>
      </c>
      <c r="K133" s="200">
        <f t="shared" si="20"/>
        <v>-11045</v>
      </c>
      <c r="L133" s="200">
        <f t="shared" si="22"/>
        <v>-11045</v>
      </c>
      <c r="M133" s="850" t="s">
        <v>840</v>
      </c>
    </row>
    <row r="134" spans="1:13" ht="27" customHeight="1">
      <c r="A134" s="780">
        <v>42705</v>
      </c>
      <c r="B134" s="200">
        <v>60</v>
      </c>
      <c r="C134" s="200">
        <v>16500</v>
      </c>
      <c r="D134" s="200">
        <f t="shared" si="18"/>
        <v>21592</v>
      </c>
      <c r="E134" s="200">
        <f t="shared" si="19"/>
        <v>6767687.5</v>
      </c>
      <c r="F134" s="200"/>
      <c r="G134" s="180"/>
      <c r="H134" s="201"/>
      <c r="I134" s="200">
        <v>49485</v>
      </c>
      <c r="J134" s="200">
        <f t="shared" si="23"/>
        <v>6811717.5</v>
      </c>
      <c r="K134" s="200">
        <f t="shared" si="20"/>
        <v>-60530</v>
      </c>
      <c r="L134" s="200">
        <f t="shared" si="22"/>
        <v>-44030</v>
      </c>
      <c r="M134" s="850" t="s">
        <v>841</v>
      </c>
    </row>
    <row r="135" spans="1:13" ht="27" customHeight="1">
      <c r="A135" s="780">
        <v>42737</v>
      </c>
      <c r="B135" s="200">
        <v>36</v>
      </c>
      <c r="C135" s="200">
        <v>9900</v>
      </c>
      <c r="D135" s="200">
        <f t="shared" si="18"/>
        <v>21628</v>
      </c>
      <c r="E135" s="200">
        <f t="shared" si="19"/>
        <v>6777587.5</v>
      </c>
      <c r="F135" s="200"/>
      <c r="G135" s="180"/>
      <c r="H135" s="201"/>
      <c r="I135" s="200"/>
      <c r="J135" s="200">
        <f t="shared" si="23"/>
        <v>6811717.5</v>
      </c>
      <c r="K135" s="200">
        <f t="shared" si="20"/>
        <v>-60530</v>
      </c>
      <c r="L135" s="200">
        <f t="shared" si="22"/>
        <v>-34130</v>
      </c>
      <c r="M135" s="850" t="s">
        <v>842</v>
      </c>
    </row>
    <row r="136" spans="1:13" ht="27" customHeight="1"/>
    <row r="142" spans="1:13">
      <c r="H142" t="s">
        <v>179</v>
      </c>
    </row>
  </sheetData>
  <mergeCells count="39">
    <mergeCell ref="B99:C99"/>
    <mergeCell ref="B100:G100"/>
    <mergeCell ref="H100:J100"/>
    <mergeCell ref="K100:M100"/>
    <mergeCell ref="B101:E101"/>
    <mergeCell ref="F101:H101"/>
    <mergeCell ref="I101:L101"/>
    <mergeCell ref="C97:D97"/>
    <mergeCell ref="E97:G97"/>
    <mergeCell ref="I97:K97"/>
    <mergeCell ref="L97:M97"/>
    <mergeCell ref="B98:C98"/>
    <mergeCell ref="E98:G98"/>
    <mergeCell ref="H98:I98"/>
    <mergeCell ref="B55:D55"/>
    <mergeCell ref="E55:H55"/>
    <mergeCell ref="I55:K55"/>
    <mergeCell ref="B56:F56"/>
    <mergeCell ref="G56:J56"/>
    <mergeCell ref="K56:L56"/>
    <mergeCell ref="E52:H52"/>
    <mergeCell ref="J52:L52"/>
    <mergeCell ref="B53:C53"/>
    <mergeCell ref="E53:H53"/>
    <mergeCell ref="J53:K53"/>
    <mergeCell ref="B54:C54"/>
    <mergeCell ref="B4:D4"/>
    <mergeCell ref="E4:H4"/>
    <mergeCell ref="B5:F5"/>
    <mergeCell ref="G5:J5"/>
    <mergeCell ref="K5:M5"/>
    <mergeCell ref="B6:H6"/>
    <mergeCell ref="I6:L6"/>
    <mergeCell ref="E1:H1"/>
    <mergeCell ref="J1:L1"/>
    <mergeCell ref="B2:C2"/>
    <mergeCell ref="E2:H2"/>
    <mergeCell ref="J2:K2"/>
    <mergeCell ref="B3:C3"/>
  </mergeCells>
  <phoneticPr fontId="84" type="noConversion"/>
  <pageMargins left="0.75" right="0.75" top="0.2" bottom="1" header="0.51" footer="0.51"/>
  <pageSetup paperSize="9" orientation="portrait" verticalDpi="200"/>
  <headerFooter scaleWithDoc="0" alignWithMargins="0"/>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86"/>
  <sheetViews>
    <sheetView topLeftCell="A64" zoomScaleSheetLayoutView="100" workbookViewId="0">
      <selection activeCell="A70" sqref="A70"/>
    </sheetView>
  </sheetViews>
  <sheetFormatPr defaultColWidth="9" defaultRowHeight="14.25"/>
  <cols>
    <col min="1" max="1" width="16.5" customWidth="1"/>
    <col min="2" max="2" width="14.375" customWidth="1"/>
    <col min="3" max="3" width="15.375" customWidth="1"/>
    <col min="4" max="4" width="13.25" customWidth="1"/>
    <col min="5" max="5" width="15.875" customWidth="1"/>
    <col min="6" max="6" width="14.875" customWidth="1"/>
    <col min="7" max="7" width="16.375" customWidth="1"/>
    <col min="8" max="8" width="14.25" customWidth="1"/>
    <col min="9" max="9" width="16.125" customWidth="1"/>
    <col min="10" max="10" width="16.25" customWidth="1"/>
    <col min="11" max="11" width="15.875" customWidth="1"/>
    <col min="12" max="12" width="15.75" customWidth="1"/>
    <col min="13" max="13" width="29.125" customWidth="1"/>
    <col min="14" max="14" width="29" customWidth="1"/>
  </cols>
  <sheetData>
    <row r="1" spans="1:14" ht="66.95" customHeight="1">
      <c r="A1" s="34" t="s">
        <v>843</v>
      </c>
      <c r="B1" s="176"/>
      <c r="C1" s="1767" t="s">
        <v>844</v>
      </c>
      <c r="D1" s="1768"/>
      <c r="E1" s="38" t="s">
        <v>236</v>
      </c>
      <c r="F1" s="1769" t="s">
        <v>845</v>
      </c>
      <c r="G1" s="1770"/>
      <c r="H1" s="1771"/>
      <c r="I1" s="57" t="s">
        <v>237</v>
      </c>
      <c r="J1" s="1772" t="s">
        <v>846</v>
      </c>
      <c r="K1" s="1773"/>
      <c r="L1" s="1774"/>
      <c r="M1" s="88" t="s">
        <v>847</v>
      </c>
      <c r="N1" s="4"/>
    </row>
    <row r="2" spans="1:14" ht="26.1" customHeight="1">
      <c r="A2" s="39" t="s">
        <v>240</v>
      </c>
      <c r="B2" s="1637" t="s">
        <v>848</v>
      </c>
      <c r="C2" s="1637"/>
      <c r="D2" s="41" t="s">
        <v>242</v>
      </c>
      <c r="E2" s="1746" t="s">
        <v>848</v>
      </c>
      <c r="F2" s="1746"/>
      <c r="G2" s="1746"/>
      <c r="H2" s="1746"/>
      <c r="I2" s="41" t="s">
        <v>243</v>
      </c>
      <c r="J2" s="59" t="s">
        <v>321</v>
      </c>
      <c r="K2" s="41"/>
      <c r="L2" s="177" t="s">
        <v>245</v>
      </c>
      <c r="M2" s="1083" t="s">
        <v>750</v>
      </c>
      <c r="N2" s="4"/>
    </row>
    <row r="3" spans="1:14" ht="28.5">
      <c r="A3" s="39" t="s">
        <v>247</v>
      </c>
      <c r="B3" s="1637" t="s">
        <v>849</v>
      </c>
      <c r="C3" s="1637"/>
      <c r="D3" s="41" t="s">
        <v>249</v>
      </c>
      <c r="E3" s="43" t="s">
        <v>850</v>
      </c>
      <c r="F3" s="41" t="s">
        <v>251</v>
      </c>
      <c r="G3" s="41" t="s">
        <v>851</v>
      </c>
      <c r="H3" s="177" t="s">
        <v>252</v>
      </c>
      <c r="I3" s="1170" t="s">
        <v>852</v>
      </c>
      <c r="J3" s="91" t="s">
        <v>253</v>
      </c>
      <c r="K3" s="15" t="s">
        <v>853</v>
      </c>
      <c r="L3" s="15" t="s">
        <v>255</v>
      </c>
      <c r="M3" s="92" t="s">
        <v>853</v>
      </c>
      <c r="N3" s="4"/>
    </row>
    <row r="4" spans="1:14" ht="48" customHeight="1">
      <c r="A4" s="1329" t="s">
        <v>260</v>
      </c>
      <c r="B4" s="1764" t="s">
        <v>854</v>
      </c>
      <c r="C4" s="1764"/>
      <c r="D4" s="1764"/>
      <c r="E4" s="1764"/>
      <c r="F4" s="1764"/>
      <c r="G4" s="1764" t="s">
        <v>855</v>
      </c>
      <c r="H4" s="1764"/>
      <c r="I4" s="1764" t="s">
        <v>856</v>
      </c>
      <c r="J4" s="1764"/>
      <c r="K4" s="1764"/>
      <c r="L4" s="1764"/>
      <c r="M4" s="1345" t="s">
        <v>857</v>
      </c>
      <c r="N4" s="1360" t="s">
        <v>858</v>
      </c>
    </row>
    <row r="5" spans="1:14" ht="27" customHeight="1">
      <c r="A5" s="39" t="s">
        <v>258</v>
      </c>
      <c r="B5" s="1765"/>
      <c r="C5" s="1765"/>
      <c r="D5" s="1765"/>
      <c r="E5" s="1765"/>
      <c r="F5" s="1765"/>
      <c r="G5" s="1765"/>
      <c r="H5" s="178"/>
      <c r="I5" s="178"/>
      <c r="J5" s="178"/>
      <c r="K5" s="178"/>
      <c r="L5" s="178"/>
      <c r="M5" s="643"/>
      <c r="N5" s="4"/>
    </row>
    <row r="6" spans="1:14" ht="36.95000000000000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c r="N6" s="4"/>
    </row>
    <row r="7" spans="1:14" ht="24.95" customHeight="1">
      <c r="A7" s="1350">
        <v>40756</v>
      </c>
      <c r="B7" s="1351">
        <v>2374</v>
      </c>
      <c r="C7" s="1351">
        <v>664890</v>
      </c>
      <c r="D7" s="46">
        <f>B7</f>
        <v>2374</v>
      </c>
      <c r="E7" s="46">
        <f>C7</f>
        <v>664890</v>
      </c>
      <c r="F7" s="46">
        <f t="shared" ref="F7:F59" si="0">20000-B7</f>
        <v>17626</v>
      </c>
      <c r="G7" s="47">
        <f>C7</f>
        <v>664890</v>
      </c>
      <c r="H7" s="47"/>
      <c r="I7" s="47"/>
      <c r="J7" s="47"/>
      <c r="K7" s="47"/>
      <c r="L7" s="47">
        <f t="shared" ref="L7:L69" si="1">E7-J7</f>
        <v>664890</v>
      </c>
      <c r="M7" s="1333"/>
      <c r="N7" s="1766" t="s">
        <v>859</v>
      </c>
    </row>
    <row r="8" spans="1:14" ht="24.95" customHeight="1">
      <c r="A8" s="1350">
        <v>40787</v>
      </c>
      <c r="B8" s="1351">
        <v>2770</v>
      </c>
      <c r="C8" s="1351">
        <v>805645</v>
      </c>
      <c r="D8" s="46">
        <f t="shared" ref="D8:D69" si="2">D7+B8</f>
        <v>5144</v>
      </c>
      <c r="E8" s="46">
        <f t="shared" ref="E8:E41" si="3">E7+C8</f>
        <v>1470535</v>
      </c>
      <c r="F8" s="46">
        <f t="shared" si="0"/>
        <v>17230</v>
      </c>
      <c r="G8" s="47">
        <f t="shared" ref="G8:G14" si="4">C8+E7*0.2</f>
        <v>938623</v>
      </c>
      <c r="H8" s="47">
        <v>0</v>
      </c>
      <c r="I8" s="47"/>
      <c r="J8" s="47"/>
      <c r="K8" s="47">
        <f t="shared" ref="K8:K70" si="5">K7+H8-I8</f>
        <v>0</v>
      </c>
      <c r="L8" s="47">
        <f t="shared" si="1"/>
        <v>1470535</v>
      </c>
      <c r="M8" s="989"/>
      <c r="N8" s="1766"/>
    </row>
    <row r="9" spans="1:14" ht="24.95" customHeight="1">
      <c r="A9" s="1350">
        <v>40817</v>
      </c>
      <c r="B9" s="1351">
        <v>3039</v>
      </c>
      <c r="C9" s="1351">
        <v>917250</v>
      </c>
      <c r="D9" s="46">
        <f t="shared" si="2"/>
        <v>8183</v>
      </c>
      <c r="E9" s="46">
        <f t="shared" si="3"/>
        <v>2387785</v>
      </c>
      <c r="F9" s="46">
        <f t="shared" si="0"/>
        <v>16961</v>
      </c>
      <c r="G9" s="47">
        <f t="shared" si="4"/>
        <v>1211357</v>
      </c>
      <c r="H9" s="47">
        <f t="shared" ref="H9:H15" si="6">C7*0.8</f>
        <v>531912</v>
      </c>
      <c r="I9" s="47"/>
      <c r="J9" s="47"/>
      <c r="K9" s="47">
        <f t="shared" si="5"/>
        <v>531912</v>
      </c>
      <c r="L9" s="47">
        <f t="shared" si="1"/>
        <v>2387785</v>
      </c>
      <c r="M9" s="989" t="s">
        <v>860</v>
      </c>
      <c r="N9" s="1766"/>
    </row>
    <row r="10" spans="1:14" ht="24.95" customHeight="1">
      <c r="A10" s="1350">
        <v>40848</v>
      </c>
      <c r="B10" s="1351">
        <v>2285</v>
      </c>
      <c r="C10" s="1351">
        <v>685210</v>
      </c>
      <c r="D10" s="46">
        <f t="shared" si="2"/>
        <v>10468</v>
      </c>
      <c r="E10" s="46">
        <f t="shared" si="3"/>
        <v>3072995</v>
      </c>
      <c r="F10" s="46">
        <f t="shared" si="0"/>
        <v>17715</v>
      </c>
      <c r="G10" s="47">
        <f t="shared" si="4"/>
        <v>1162767</v>
      </c>
      <c r="H10" s="47">
        <f t="shared" si="6"/>
        <v>644516</v>
      </c>
      <c r="I10" s="47">
        <v>531912</v>
      </c>
      <c r="J10" s="47">
        <f t="shared" ref="J10:J69" si="7">J9+I10</f>
        <v>531912</v>
      </c>
      <c r="K10" s="47">
        <f t="shared" si="5"/>
        <v>644516</v>
      </c>
      <c r="L10" s="47">
        <f t="shared" si="1"/>
        <v>2541083</v>
      </c>
      <c r="M10" s="989" t="s">
        <v>861</v>
      </c>
      <c r="N10" s="1766"/>
    </row>
    <row r="11" spans="1:14" ht="24.95" customHeight="1">
      <c r="A11" s="1350">
        <v>40878</v>
      </c>
      <c r="B11" s="1351">
        <v>2674</v>
      </c>
      <c r="C11" s="1351">
        <v>788325</v>
      </c>
      <c r="D11" s="46">
        <f t="shared" si="2"/>
        <v>13142</v>
      </c>
      <c r="E11" s="46">
        <f t="shared" si="3"/>
        <v>3861320</v>
      </c>
      <c r="F11" s="46">
        <f t="shared" si="0"/>
        <v>17326</v>
      </c>
      <c r="G11" s="47">
        <f t="shared" si="4"/>
        <v>1402924</v>
      </c>
      <c r="H11" s="47">
        <f t="shared" si="6"/>
        <v>733800</v>
      </c>
      <c r="I11" s="47">
        <f>644516</f>
        <v>644516</v>
      </c>
      <c r="J11" s="47">
        <f t="shared" si="7"/>
        <v>1176428</v>
      </c>
      <c r="K11" s="47">
        <f t="shared" si="5"/>
        <v>733800</v>
      </c>
      <c r="L11" s="47">
        <f t="shared" si="1"/>
        <v>2684892</v>
      </c>
      <c r="M11" s="989" t="s">
        <v>862</v>
      </c>
      <c r="N11" s="1361"/>
    </row>
    <row r="12" spans="1:14" ht="24.95" customHeight="1">
      <c r="A12" s="1350">
        <v>40909</v>
      </c>
      <c r="B12" s="1351">
        <v>1207</v>
      </c>
      <c r="C12" s="1351">
        <v>335240</v>
      </c>
      <c r="D12" s="46">
        <f t="shared" si="2"/>
        <v>14349</v>
      </c>
      <c r="E12" s="46">
        <f t="shared" si="3"/>
        <v>4196560</v>
      </c>
      <c r="F12" s="46">
        <f t="shared" si="0"/>
        <v>18793</v>
      </c>
      <c r="G12" s="47">
        <f t="shared" si="4"/>
        <v>1107504</v>
      </c>
      <c r="H12" s="47">
        <f t="shared" si="6"/>
        <v>548168</v>
      </c>
      <c r="I12" s="47">
        <v>733800</v>
      </c>
      <c r="J12" s="47">
        <f t="shared" si="7"/>
        <v>1910228</v>
      </c>
      <c r="K12" s="47">
        <f t="shared" si="5"/>
        <v>548168</v>
      </c>
      <c r="L12" s="47">
        <f t="shared" si="1"/>
        <v>2286332</v>
      </c>
      <c r="M12" s="989" t="s">
        <v>863</v>
      </c>
      <c r="N12" s="1361"/>
    </row>
    <row r="13" spans="1:14" ht="24.95" customHeight="1">
      <c r="A13" s="1350">
        <v>40940</v>
      </c>
      <c r="B13" s="1351">
        <v>1153</v>
      </c>
      <c r="C13" s="1351">
        <v>316945</v>
      </c>
      <c r="D13" s="46">
        <f t="shared" si="2"/>
        <v>15502</v>
      </c>
      <c r="E13" s="46">
        <f t="shared" si="3"/>
        <v>4513505</v>
      </c>
      <c r="F13" s="46">
        <f t="shared" si="0"/>
        <v>18847</v>
      </c>
      <c r="G13" s="47">
        <f t="shared" si="4"/>
        <v>1156257</v>
      </c>
      <c r="H13" s="47">
        <f t="shared" si="6"/>
        <v>630660</v>
      </c>
      <c r="I13" s="47">
        <v>548168</v>
      </c>
      <c r="J13" s="47">
        <f t="shared" si="7"/>
        <v>2458396</v>
      </c>
      <c r="K13" s="47">
        <f t="shared" si="5"/>
        <v>630660</v>
      </c>
      <c r="L13" s="47">
        <f t="shared" si="1"/>
        <v>2055109</v>
      </c>
      <c r="M13" s="989" t="s">
        <v>864</v>
      </c>
      <c r="N13" s="1361"/>
    </row>
    <row r="14" spans="1:14" ht="24">
      <c r="A14" s="1350">
        <v>40969</v>
      </c>
      <c r="B14" s="1351">
        <v>2367</v>
      </c>
      <c r="C14" s="1351">
        <v>647385</v>
      </c>
      <c r="D14" s="46">
        <f t="shared" si="2"/>
        <v>17869</v>
      </c>
      <c r="E14" s="46">
        <f t="shared" si="3"/>
        <v>5160890</v>
      </c>
      <c r="F14" s="46">
        <f t="shared" si="0"/>
        <v>17633</v>
      </c>
      <c r="G14" s="47">
        <f t="shared" si="4"/>
        <v>1550086</v>
      </c>
      <c r="H14" s="47">
        <f t="shared" si="6"/>
        <v>268192</v>
      </c>
      <c r="I14" s="47">
        <f>630660</f>
        <v>630660</v>
      </c>
      <c r="J14" s="47">
        <f t="shared" si="7"/>
        <v>3089056</v>
      </c>
      <c r="K14" s="47">
        <f t="shared" si="5"/>
        <v>268192</v>
      </c>
      <c r="L14" s="47">
        <f t="shared" si="1"/>
        <v>2071834</v>
      </c>
      <c r="M14" s="989" t="s">
        <v>865</v>
      </c>
      <c r="N14" s="1361"/>
    </row>
    <row r="15" spans="1:14" ht="26.1" customHeight="1">
      <c r="A15" s="1350">
        <v>41000</v>
      </c>
      <c r="B15" s="1351">
        <v>1808</v>
      </c>
      <c r="C15" s="1351">
        <v>500320</v>
      </c>
      <c r="D15" s="46">
        <f t="shared" si="2"/>
        <v>19677</v>
      </c>
      <c r="E15" s="46">
        <f t="shared" si="3"/>
        <v>5661210</v>
      </c>
      <c r="F15" s="46">
        <f t="shared" si="0"/>
        <v>18192</v>
      </c>
      <c r="G15" s="47">
        <f t="shared" ref="G15:G37" si="8">1000000+C15</f>
        <v>1500320</v>
      </c>
      <c r="H15" s="47">
        <f t="shared" si="6"/>
        <v>253556</v>
      </c>
      <c r="I15" s="47">
        <v>268192</v>
      </c>
      <c r="J15" s="47">
        <f t="shared" si="7"/>
        <v>3357248</v>
      </c>
      <c r="K15" s="47">
        <f t="shared" si="5"/>
        <v>253556</v>
      </c>
      <c r="L15" s="47">
        <f t="shared" si="1"/>
        <v>2303962</v>
      </c>
      <c r="M15" s="989" t="s">
        <v>866</v>
      </c>
      <c r="N15" s="1361"/>
    </row>
    <row r="16" spans="1:14" ht="26.1" customHeight="1">
      <c r="A16" s="1350">
        <v>41030</v>
      </c>
      <c r="B16" s="1351">
        <v>1346</v>
      </c>
      <c r="C16" s="1351">
        <v>390220</v>
      </c>
      <c r="D16" s="46">
        <f t="shared" si="2"/>
        <v>21023</v>
      </c>
      <c r="E16" s="46">
        <f t="shared" si="3"/>
        <v>6051430</v>
      </c>
      <c r="F16" s="46">
        <f t="shared" si="0"/>
        <v>18654</v>
      </c>
      <c r="G16" s="47">
        <f t="shared" si="8"/>
        <v>1390220</v>
      </c>
      <c r="H16" s="47">
        <v>550086</v>
      </c>
      <c r="I16" s="47">
        <v>253556</v>
      </c>
      <c r="J16" s="47">
        <f t="shared" si="7"/>
        <v>3610804</v>
      </c>
      <c r="K16" s="47">
        <f t="shared" si="5"/>
        <v>550086</v>
      </c>
      <c r="L16" s="47">
        <f t="shared" si="1"/>
        <v>2440626</v>
      </c>
      <c r="M16" s="989" t="s">
        <v>867</v>
      </c>
      <c r="N16" s="1361"/>
    </row>
    <row r="17" spans="1:14" ht="26.1" customHeight="1">
      <c r="A17" s="1350">
        <v>41061</v>
      </c>
      <c r="B17" s="1351">
        <v>228</v>
      </c>
      <c r="C17" s="1351">
        <v>65320</v>
      </c>
      <c r="D17" s="46">
        <f t="shared" si="2"/>
        <v>21251</v>
      </c>
      <c r="E17" s="46">
        <f t="shared" si="3"/>
        <v>6116750</v>
      </c>
      <c r="F17" s="46">
        <f t="shared" si="0"/>
        <v>19772</v>
      </c>
      <c r="G17" s="47">
        <f t="shared" si="8"/>
        <v>1065320</v>
      </c>
      <c r="H17" s="47">
        <f t="shared" ref="H17:H38" si="9">C15</f>
        <v>500320</v>
      </c>
      <c r="I17" s="47">
        <v>550086</v>
      </c>
      <c r="J17" s="47">
        <f t="shared" si="7"/>
        <v>4160890</v>
      </c>
      <c r="K17" s="47">
        <f t="shared" si="5"/>
        <v>500320</v>
      </c>
      <c r="L17" s="47">
        <f t="shared" si="1"/>
        <v>1955860</v>
      </c>
      <c r="M17" s="989" t="s">
        <v>868</v>
      </c>
      <c r="N17" s="1361"/>
    </row>
    <row r="18" spans="1:14" ht="26.1" customHeight="1">
      <c r="A18" s="1350">
        <v>41091</v>
      </c>
      <c r="B18" s="1351">
        <v>155.5</v>
      </c>
      <c r="C18" s="1351">
        <v>44252.5</v>
      </c>
      <c r="D18" s="46">
        <f t="shared" si="2"/>
        <v>21406.5</v>
      </c>
      <c r="E18" s="46">
        <f t="shared" si="3"/>
        <v>6161002.5</v>
      </c>
      <c r="F18" s="46">
        <f t="shared" si="0"/>
        <v>19844.5</v>
      </c>
      <c r="G18" s="47">
        <f t="shared" si="8"/>
        <v>1044252.5</v>
      </c>
      <c r="H18" s="47">
        <f t="shared" si="9"/>
        <v>390220</v>
      </c>
      <c r="I18" s="47">
        <v>500320</v>
      </c>
      <c r="J18" s="47">
        <f t="shared" si="7"/>
        <v>4661210</v>
      </c>
      <c r="K18" s="47">
        <f t="shared" si="5"/>
        <v>390220</v>
      </c>
      <c r="L18" s="47">
        <f t="shared" si="1"/>
        <v>1499792.5</v>
      </c>
      <c r="M18" s="989" t="s">
        <v>869</v>
      </c>
      <c r="N18" s="1361"/>
    </row>
    <row r="19" spans="1:14" ht="26.1" customHeight="1">
      <c r="A19" s="1352">
        <v>41122</v>
      </c>
      <c r="B19" s="1351">
        <v>208</v>
      </c>
      <c r="C19" s="1351">
        <v>56984</v>
      </c>
      <c r="D19" s="46">
        <f t="shared" si="2"/>
        <v>21614.5</v>
      </c>
      <c r="E19" s="46">
        <f t="shared" si="3"/>
        <v>6217986.5</v>
      </c>
      <c r="F19" s="46">
        <f t="shared" si="0"/>
        <v>19792</v>
      </c>
      <c r="G19" s="47">
        <f t="shared" si="8"/>
        <v>1056984</v>
      </c>
      <c r="H19" s="47">
        <f t="shared" si="9"/>
        <v>65320</v>
      </c>
      <c r="I19" s="465">
        <f>65320+390175</f>
        <v>455495</v>
      </c>
      <c r="J19" s="47">
        <f t="shared" si="7"/>
        <v>5116705</v>
      </c>
      <c r="K19" s="47">
        <f t="shared" si="5"/>
        <v>45</v>
      </c>
      <c r="L19" s="47">
        <f t="shared" si="1"/>
        <v>1101281.5</v>
      </c>
      <c r="M19" s="989" t="s">
        <v>870</v>
      </c>
      <c r="N19" s="1361"/>
    </row>
    <row r="20" spans="1:14" ht="26.1" customHeight="1">
      <c r="A20" s="1350">
        <v>41153</v>
      </c>
      <c r="B20" s="1351">
        <v>104</v>
      </c>
      <c r="C20" s="1351">
        <v>27768</v>
      </c>
      <c r="D20" s="46">
        <f t="shared" si="2"/>
        <v>21718.5</v>
      </c>
      <c r="E20" s="46">
        <f t="shared" si="3"/>
        <v>6245754.5</v>
      </c>
      <c r="F20" s="46">
        <f t="shared" si="0"/>
        <v>19896</v>
      </c>
      <c r="G20" s="47">
        <f t="shared" si="8"/>
        <v>1027768</v>
      </c>
      <c r="H20" s="47">
        <f t="shared" si="9"/>
        <v>44252.5</v>
      </c>
      <c r="I20" s="47">
        <v>44252.5</v>
      </c>
      <c r="J20" s="47">
        <f t="shared" si="7"/>
        <v>5160957.5</v>
      </c>
      <c r="K20" s="47">
        <f t="shared" si="5"/>
        <v>45</v>
      </c>
      <c r="L20" s="47">
        <f t="shared" si="1"/>
        <v>1084797</v>
      </c>
      <c r="M20" s="989" t="s">
        <v>871</v>
      </c>
      <c r="N20" s="1361"/>
    </row>
    <row r="21" spans="1:14" ht="26.1" customHeight="1">
      <c r="A21" s="1350">
        <v>41183</v>
      </c>
      <c r="B21" s="1351">
        <v>70</v>
      </c>
      <c r="C21" s="1351">
        <v>19250</v>
      </c>
      <c r="D21" s="46">
        <f t="shared" si="2"/>
        <v>21788.5</v>
      </c>
      <c r="E21" s="46">
        <f t="shared" si="3"/>
        <v>6265004.5</v>
      </c>
      <c r="F21" s="46">
        <f t="shared" si="0"/>
        <v>19930</v>
      </c>
      <c r="G21" s="47">
        <f t="shared" si="8"/>
        <v>1019250</v>
      </c>
      <c r="H21" s="47">
        <f t="shared" si="9"/>
        <v>56984</v>
      </c>
      <c r="I21" s="47">
        <v>0</v>
      </c>
      <c r="J21" s="47">
        <f t="shared" si="7"/>
        <v>5160957.5</v>
      </c>
      <c r="K21" s="47">
        <f t="shared" si="5"/>
        <v>57029</v>
      </c>
      <c r="L21" s="47">
        <f t="shared" si="1"/>
        <v>1104047</v>
      </c>
      <c r="M21" s="989"/>
      <c r="N21" s="1361"/>
    </row>
    <row r="22" spans="1:14" ht="26.1" customHeight="1">
      <c r="A22" s="1350">
        <v>41214</v>
      </c>
      <c r="B22" s="1351">
        <v>113</v>
      </c>
      <c r="C22" s="1351">
        <v>30396</v>
      </c>
      <c r="D22" s="46">
        <f t="shared" si="2"/>
        <v>21901.5</v>
      </c>
      <c r="E22" s="46">
        <f t="shared" si="3"/>
        <v>6295400.5</v>
      </c>
      <c r="F22" s="46">
        <f t="shared" si="0"/>
        <v>19887</v>
      </c>
      <c r="G22" s="47">
        <f t="shared" si="8"/>
        <v>1030396</v>
      </c>
      <c r="H22" s="47">
        <f t="shared" si="9"/>
        <v>27768</v>
      </c>
      <c r="I22" s="47">
        <v>56984</v>
      </c>
      <c r="J22" s="47">
        <f t="shared" si="7"/>
        <v>5217941.5</v>
      </c>
      <c r="K22" s="47">
        <f t="shared" si="5"/>
        <v>27813</v>
      </c>
      <c r="L22" s="47">
        <f t="shared" si="1"/>
        <v>1077459</v>
      </c>
      <c r="M22" s="989" t="s">
        <v>872</v>
      </c>
      <c r="N22" s="1361"/>
    </row>
    <row r="23" spans="1:14" ht="27.95" customHeight="1">
      <c r="A23" s="1350">
        <v>41244</v>
      </c>
      <c r="B23" s="1351">
        <v>2718</v>
      </c>
      <c r="C23" s="1351">
        <v>726451</v>
      </c>
      <c r="D23" s="46">
        <f t="shared" si="2"/>
        <v>24619.5</v>
      </c>
      <c r="E23" s="46">
        <f t="shared" si="3"/>
        <v>7021851.5</v>
      </c>
      <c r="F23" s="46">
        <f t="shared" si="0"/>
        <v>17282</v>
      </c>
      <c r="G23" s="47">
        <f t="shared" si="8"/>
        <v>1726451</v>
      </c>
      <c r="H23" s="47">
        <f t="shared" si="9"/>
        <v>19250</v>
      </c>
      <c r="I23" s="47">
        <f>27768+19250</f>
        <v>47018</v>
      </c>
      <c r="J23" s="47">
        <f t="shared" si="7"/>
        <v>5264959.5</v>
      </c>
      <c r="K23" s="47">
        <f t="shared" si="5"/>
        <v>45</v>
      </c>
      <c r="L23" s="47">
        <f t="shared" si="1"/>
        <v>1756892</v>
      </c>
      <c r="M23" s="989"/>
      <c r="N23" s="1361"/>
    </row>
    <row r="24" spans="1:14" s="1221" customFormat="1" ht="27.95" customHeight="1">
      <c r="A24" s="1352">
        <v>41275</v>
      </c>
      <c r="B24" s="1291">
        <v>8861</v>
      </c>
      <c r="C24" s="1291">
        <v>2506487</v>
      </c>
      <c r="D24" s="1291">
        <f t="shared" si="2"/>
        <v>33480.5</v>
      </c>
      <c r="E24" s="1291">
        <f t="shared" si="3"/>
        <v>9528338.5</v>
      </c>
      <c r="F24" s="1291">
        <f t="shared" si="0"/>
        <v>11139</v>
      </c>
      <c r="G24" s="284">
        <f t="shared" si="8"/>
        <v>3506487</v>
      </c>
      <c r="H24" s="284">
        <f t="shared" si="9"/>
        <v>30396</v>
      </c>
      <c r="I24" s="284">
        <v>30396</v>
      </c>
      <c r="J24" s="284">
        <f t="shared" si="7"/>
        <v>5295355.5</v>
      </c>
      <c r="K24" s="284">
        <f t="shared" si="5"/>
        <v>45</v>
      </c>
      <c r="L24" s="284">
        <f t="shared" si="1"/>
        <v>4232983</v>
      </c>
      <c r="M24" s="1362" t="s">
        <v>873</v>
      </c>
      <c r="N24" s="1363"/>
    </row>
    <row r="25" spans="1:14" ht="27.95" customHeight="1">
      <c r="A25" s="1350">
        <v>41306</v>
      </c>
      <c r="B25" s="1351">
        <v>0</v>
      </c>
      <c r="C25" s="1351">
        <v>0</v>
      </c>
      <c r="D25" s="46">
        <f t="shared" si="2"/>
        <v>33480.5</v>
      </c>
      <c r="E25" s="46">
        <f t="shared" si="3"/>
        <v>9528338.5</v>
      </c>
      <c r="F25" s="46">
        <f t="shared" si="0"/>
        <v>20000</v>
      </c>
      <c r="G25" s="110">
        <f t="shared" si="8"/>
        <v>1000000</v>
      </c>
      <c r="H25" s="47">
        <f t="shared" si="9"/>
        <v>726451</v>
      </c>
      <c r="I25" s="47">
        <v>0</v>
      </c>
      <c r="J25" s="47">
        <f t="shared" si="7"/>
        <v>5295355.5</v>
      </c>
      <c r="K25" s="47">
        <f t="shared" si="5"/>
        <v>726496</v>
      </c>
      <c r="L25" s="47">
        <f t="shared" si="1"/>
        <v>4232983</v>
      </c>
      <c r="M25" s="989"/>
      <c r="N25" s="1361"/>
    </row>
    <row r="26" spans="1:14" ht="27.95" customHeight="1">
      <c r="A26" s="1350">
        <v>41334</v>
      </c>
      <c r="B26" s="1351">
        <v>2359</v>
      </c>
      <c r="C26" s="1351">
        <v>672373</v>
      </c>
      <c r="D26" s="46">
        <f t="shared" si="2"/>
        <v>35839.5</v>
      </c>
      <c r="E26" s="46">
        <f t="shared" si="3"/>
        <v>10200711.5</v>
      </c>
      <c r="F26" s="46">
        <f t="shared" si="0"/>
        <v>17641</v>
      </c>
      <c r="G26" s="47">
        <f t="shared" si="8"/>
        <v>1672373</v>
      </c>
      <c r="H26" s="47">
        <f t="shared" si="9"/>
        <v>2506487</v>
      </c>
      <c r="I26" s="47">
        <v>0</v>
      </c>
      <c r="J26" s="47">
        <f t="shared" si="7"/>
        <v>5295355.5</v>
      </c>
      <c r="K26" s="47">
        <f t="shared" si="5"/>
        <v>3232983</v>
      </c>
      <c r="L26" s="47">
        <f t="shared" si="1"/>
        <v>4905356</v>
      </c>
      <c r="M26" s="989" t="s">
        <v>874</v>
      </c>
      <c r="N26" s="1361"/>
    </row>
    <row r="27" spans="1:14" ht="27.95" customHeight="1">
      <c r="A27" s="1350">
        <v>41365</v>
      </c>
      <c r="B27" s="1351">
        <v>2345</v>
      </c>
      <c r="C27" s="1351">
        <v>673835</v>
      </c>
      <c r="D27" s="46">
        <f t="shared" si="2"/>
        <v>38184.5</v>
      </c>
      <c r="E27" s="46">
        <f t="shared" si="3"/>
        <v>10874546.5</v>
      </c>
      <c r="F27" s="46">
        <f t="shared" si="0"/>
        <v>17655</v>
      </c>
      <c r="G27" s="47">
        <f t="shared" si="8"/>
        <v>1673835</v>
      </c>
      <c r="H27" s="47">
        <f t="shared" si="9"/>
        <v>0</v>
      </c>
      <c r="I27" s="47">
        <v>726451</v>
      </c>
      <c r="J27" s="47">
        <f t="shared" si="7"/>
        <v>6021806.5</v>
      </c>
      <c r="K27" s="47">
        <f t="shared" si="5"/>
        <v>2506532</v>
      </c>
      <c r="L27" s="47">
        <f t="shared" si="1"/>
        <v>4852740</v>
      </c>
      <c r="M27" s="989"/>
      <c r="N27" s="1361"/>
    </row>
    <row r="28" spans="1:14" ht="27.95" customHeight="1">
      <c r="A28" s="1350">
        <v>41395</v>
      </c>
      <c r="B28" s="1351">
        <v>1042</v>
      </c>
      <c r="C28" s="1351">
        <v>315459</v>
      </c>
      <c r="D28" s="46">
        <f t="shared" si="2"/>
        <v>39226.5</v>
      </c>
      <c r="E28" s="46">
        <f t="shared" si="3"/>
        <v>11190005.5</v>
      </c>
      <c r="F28" s="46">
        <f t="shared" si="0"/>
        <v>18958</v>
      </c>
      <c r="G28" s="47">
        <f t="shared" si="8"/>
        <v>1315459</v>
      </c>
      <c r="H28" s="47">
        <f t="shared" si="9"/>
        <v>672373</v>
      </c>
      <c r="I28" s="47">
        <v>0</v>
      </c>
      <c r="J28" s="47">
        <f t="shared" si="7"/>
        <v>6021806.5</v>
      </c>
      <c r="K28" s="47">
        <f t="shared" si="5"/>
        <v>3178905</v>
      </c>
      <c r="L28" s="47">
        <f t="shared" si="1"/>
        <v>5168199</v>
      </c>
      <c r="M28" s="989" t="s">
        <v>875</v>
      </c>
      <c r="N28" s="1361"/>
    </row>
    <row r="29" spans="1:14" ht="27.95" customHeight="1">
      <c r="A29" s="1350">
        <v>41426</v>
      </c>
      <c r="B29" s="1351">
        <v>1860.5</v>
      </c>
      <c r="C29" s="1351">
        <v>543711</v>
      </c>
      <c r="D29" s="46">
        <f t="shared" si="2"/>
        <v>41087</v>
      </c>
      <c r="E29" s="46">
        <f t="shared" si="3"/>
        <v>11733716.5</v>
      </c>
      <c r="F29" s="46">
        <f t="shared" si="0"/>
        <v>18139.5</v>
      </c>
      <c r="G29" s="47">
        <f t="shared" si="8"/>
        <v>1543711</v>
      </c>
      <c r="H29" s="47">
        <f t="shared" si="9"/>
        <v>673835</v>
      </c>
      <c r="I29" s="47">
        <v>2506487</v>
      </c>
      <c r="J29" s="47">
        <f t="shared" si="7"/>
        <v>8528293.5</v>
      </c>
      <c r="K29" s="47">
        <f t="shared" si="5"/>
        <v>1346253</v>
      </c>
      <c r="L29" s="47">
        <f t="shared" si="1"/>
        <v>3205423</v>
      </c>
      <c r="M29" s="989" t="s">
        <v>876</v>
      </c>
      <c r="N29" s="1361"/>
    </row>
    <row r="30" spans="1:14" ht="27.95" customHeight="1">
      <c r="A30" s="1350">
        <v>41456</v>
      </c>
      <c r="B30" s="1351">
        <v>2568.5</v>
      </c>
      <c r="C30" s="1351">
        <v>750762</v>
      </c>
      <c r="D30" s="46">
        <f t="shared" si="2"/>
        <v>43655.5</v>
      </c>
      <c r="E30" s="46">
        <f t="shared" si="3"/>
        <v>12484478.5</v>
      </c>
      <c r="F30" s="46">
        <f t="shared" si="0"/>
        <v>17431.5</v>
      </c>
      <c r="G30" s="47">
        <f t="shared" si="8"/>
        <v>1750762</v>
      </c>
      <c r="H30" s="47">
        <f t="shared" si="9"/>
        <v>315459</v>
      </c>
      <c r="I30" s="47">
        <v>672373</v>
      </c>
      <c r="J30" s="47">
        <f t="shared" si="7"/>
        <v>9200666.5</v>
      </c>
      <c r="K30" s="47">
        <f t="shared" si="5"/>
        <v>989339</v>
      </c>
      <c r="L30" s="47">
        <f t="shared" si="1"/>
        <v>3283812</v>
      </c>
      <c r="M30" s="989" t="s">
        <v>877</v>
      </c>
      <c r="N30" s="1361"/>
    </row>
    <row r="31" spans="1:14" ht="24.95" customHeight="1">
      <c r="A31" s="1350">
        <v>41487</v>
      </c>
      <c r="B31" s="1353">
        <v>1941.5</v>
      </c>
      <c r="C31" s="1353">
        <v>540870.5</v>
      </c>
      <c r="D31" s="983">
        <f t="shared" si="2"/>
        <v>45597</v>
      </c>
      <c r="E31" s="983">
        <f t="shared" si="3"/>
        <v>13025349</v>
      </c>
      <c r="F31" s="983">
        <f t="shared" si="0"/>
        <v>18058.5</v>
      </c>
      <c r="G31" s="465">
        <f t="shared" si="8"/>
        <v>1540870.5</v>
      </c>
      <c r="H31" s="465">
        <f t="shared" si="9"/>
        <v>543711</v>
      </c>
      <c r="I31" s="465">
        <f>400000+273835</f>
        <v>673835</v>
      </c>
      <c r="J31" s="465">
        <f t="shared" si="7"/>
        <v>9874501.5</v>
      </c>
      <c r="K31" s="47">
        <f t="shared" si="5"/>
        <v>859215</v>
      </c>
      <c r="L31" s="47">
        <f t="shared" si="1"/>
        <v>3150847.5</v>
      </c>
      <c r="M31" s="989" t="s">
        <v>878</v>
      </c>
      <c r="N31" s="1361"/>
    </row>
    <row r="32" spans="1:14" ht="24.95" customHeight="1">
      <c r="A32" s="1350">
        <v>41518</v>
      </c>
      <c r="B32" s="1353">
        <f>1779.5+234</f>
        <v>2013.5</v>
      </c>
      <c r="C32" s="1353">
        <f>486239+63978</f>
        <v>550217</v>
      </c>
      <c r="D32" s="983">
        <f t="shared" si="2"/>
        <v>47610.5</v>
      </c>
      <c r="E32" s="983">
        <f t="shared" si="3"/>
        <v>13575566</v>
      </c>
      <c r="F32" s="983">
        <f t="shared" si="0"/>
        <v>17986.5</v>
      </c>
      <c r="G32" s="465">
        <f t="shared" si="8"/>
        <v>1550217</v>
      </c>
      <c r="H32" s="465">
        <f t="shared" si="9"/>
        <v>750762</v>
      </c>
      <c r="I32" s="465">
        <v>315459</v>
      </c>
      <c r="J32" s="465">
        <f t="shared" si="7"/>
        <v>10189960.5</v>
      </c>
      <c r="K32" s="47">
        <f t="shared" si="5"/>
        <v>1294518</v>
      </c>
      <c r="L32" s="47">
        <f t="shared" si="1"/>
        <v>3385605.5</v>
      </c>
      <c r="M32" s="989" t="s">
        <v>879</v>
      </c>
      <c r="N32" s="1361"/>
    </row>
    <row r="33" spans="1:14" ht="24.95" customHeight="1">
      <c r="A33" s="1350">
        <v>41548</v>
      </c>
      <c r="B33" s="1353">
        <f>2277+42</f>
        <v>2319</v>
      </c>
      <c r="C33" s="1354">
        <f>703954+11424</f>
        <v>715378</v>
      </c>
      <c r="D33" s="983">
        <f t="shared" si="2"/>
        <v>49929.5</v>
      </c>
      <c r="E33" s="983">
        <f t="shared" si="3"/>
        <v>14290944</v>
      </c>
      <c r="F33" s="983">
        <f t="shared" si="0"/>
        <v>17681</v>
      </c>
      <c r="G33" s="465">
        <f t="shared" si="8"/>
        <v>1715378</v>
      </c>
      <c r="H33" s="465">
        <f t="shared" si="9"/>
        <v>540870.5</v>
      </c>
      <c r="I33" s="465">
        <v>543711</v>
      </c>
      <c r="J33" s="465">
        <f t="shared" si="7"/>
        <v>10733671.5</v>
      </c>
      <c r="K33" s="47">
        <f t="shared" si="5"/>
        <v>1291677.5</v>
      </c>
      <c r="L33" s="47">
        <f t="shared" si="1"/>
        <v>3557272.5</v>
      </c>
      <c r="M33" s="989" t="s">
        <v>880</v>
      </c>
      <c r="N33" s="1361"/>
    </row>
    <row r="34" spans="1:14" ht="24.95" customHeight="1">
      <c r="A34" s="1350">
        <v>41579</v>
      </c>
      <c r="B34" s="1353">
        <f>1378+5</f>
        <v>1383</v>
      </c>
      <c r="C34" s="1355">
        <f>457026+1660</f>
        <v>458686</v>
      </c>
      <c r="D34" s="983">
        <f t="shared" si="2"/>
        <v>51312.5</v>
      </c>
      <c r="E34" s="983">
        <f t="shared" si="3"/>
        <v>14749630</v>
      </c>
      <c r="F34" s="983">
        <f t="shared" si="0"/>
        <v>18617</v>
      </c>
      <c r="G34" s="465">
        <f t="shared" si="8"/>
        <v>1458686</v>
      </c>
      <c r="H34" s="465">
        <f t="shared" si="9"/>
        <v>550217</v>
      </c>
      <c r="I34" s="465">
        <v>750762</v>
      </c>
      <c r="J34" s="465">
        <f t="shared" si="7"/>
        <v>11484433.5</v>
      </c>
      <c r="K34" s="47">
        <f t="shared" si="5"/>
        <v>1091132.5</v>
      </c>
      <c r="L34" s="47">
        <f t="shared" si="1"/>
        <v>3265196.5</v>
      </c>
      <c r="M34" s="989" t="s">
        <v>881</v>
      </c>
      <c r="N34" s="1361"/>
    </row>
    <row r="35" spans="1:14" ht="24.95" customHeight="1">
      <c r="A35" s="1350">
        <v>41609</v>
      </c>
      <c r="B35" s="1353">
        <f>601</f>
        <v>601</v>
      </c>
      <c r="C35" s="1356">
        <f>199107</f>
        <v>199107</v>
      </c>
      <c r="D35" s="983">
        <f t="shared" si="2"/>
        <v>51913.5</v>
      </c>
      <c r="E35" s="983">
        <f t="shared" si="3"/>
        <v>14948737</v>
      </c>
      <c r="F35" s="983">
        <f t="shared" si="0"/>
        <v>19399</v>
      </c>
      <c r="G35" s="465">
        <f t="shared" si="8"/>
        <v>1199107</v>
      </c>
      <c r="H35" s="465">
        <f t="shared" si="9"/>
        <v>715378</v>
      </c>
      <c r="I35" s="465">
        <f>540870.5+63978+486239</f>
        <v>1091087.5</v>
      </c>
      <c r="J35" s="465">
        <f t="shared" si="7"/>
        <v>12575521</v>
      </c>
      <c r="K35" s="47">
        <f t="shared" si="5"/>
        <v>715423</v>
      </c>
      <c r="L35" s="47">
        <f t="shared" si="1"/>
        <v>2373216</v>
      </c>
      <c r="M35" s="989" t="s">
        <v>882</v>
      </c>
      <c r="N35" s="1361"/>
    </row>
    <row r="36" spans="1:14" ht="24.95" customHeight="1">
      <c r="A36" s="1350">
        <v>41640</v>
      </c>
      <c r="B36" s="1353">
        <f>300+2</f>
        <v>302</v>
      </c>
      <c r="C36" s="1355">
        <f>99400+874</f>
        <v>100274</v>
      </c>
      <c r="D36" s="983">
        <f t="shared" si="2"/>
        <v>52215.5</v>
      </c>
      <c r="E36" s="983">
        <f t="shared" si="3"/>
        <v>15049011</v>
      </c>
      <c r="F36" s="983">
        <f t="shared" si="0"/>
        <v>19698</v>
      </c>
      <c r="G36" s="465">
        <f t="shared" si="8"/>
        <v>1100274</v>
      </c>
      <c r="H36" s="465">
        <f t="shared" si="9"/>
        <v>458686</v>
      </c>
      <c r="I36" s="465">
        <f>13084+703954</f>
        <v>717038</v>
      </c>
      <c r="J36" s="465">
        <f t="shared" si="7"/>
        <v>13292559</v>
      </c>
      <c r="K36" s="47">
        <f t="shared" si="5"/>
        <v>457071</v>
      </c>
      <c r="L36" s="47">
        <f t="shared" si="1"/>
        <v>1756452</v>
      </c>
      <c r="M36" s="989" t="s">
        <v>883</v>
      </c>
      <c r="N36" s="1361"/>
    </row>
    <row r="37" spans="1:14" ht="27.95" customHeight="1">
      <c r="A37" s="1350">
        <v>41671</v>
      </c>
      <c r="B37" s="1353">
        <v>5</v>
      </c>
      <c r="C37" s="1356">
        <v>1660</v>
      </c>
      <c r="D37" s="983">
        <f t="shared" si="2"/>
        <v>52220.5</v>
      </c>
      <c r="E37" s="983">
        <f t="shared" si="3"/>
        <v>15050671</v>
      </c>
      <c r="F37" s="983">
        <f t="shared" si="0"/>
        <v>19995</v>
      </c>
      <c r="G37" s="465">
        <f t="shared" si="8"/>
        <v>1001660</v>
      </c>
      <c r="H37" s="465">
        <f t="shared" si="9"/>
        <v>199107</v>
      </c>
      <c r="I37" s="465">
        <v>0</v>
      </c>
      <c r="J37" s="465">
        <f t="shared" si="7"/>
        <v>13292559</v>
      </c>
      <c r="K37" s="47">
        <f t="shared" si="5"/>
        <v>656178</v>
      </c>
      <c r="L37" s="47">
        <f t="shared" si="1"/>
        <v>1758112</v>
      </c>
      <c r="M37" s="989"/>
      <c r="N37" s="1361"/>
    </row>
    <row r="38" spans="1:14" ht="27.95" customHeight="1">
      <c r="A38" s="1350">
        <v>41699</v>
      </c>
      <c r="B38" s="1353">
        <f>21+4.5</f>
        <v>25.5</v>
      </c>
      <c r="C38" s="1356">
        <f>6972+1966.5</f>
        <v>8938.5</v>
      </c>
      <c r="D38" s="983">
        <f t="shared" si="2"/>
        <v>52246</v>
      </c>
      <c r="E38" s="983">
        <f t="shared" si="3"/>
        <v>15059609.5</v>
      </c>
      <c r="F38" s="983">
        <f t="shared" si="0"/>
        <v>19974.5</v>
      </c>
      <c r="G38" s="465">
        <f t="shared" ref="G38:G69" si="10">C38</f>
        <v>8938.5</v>
      </c>
      <c r="H38" s="465">
        <f t="shared" si="9"/>
        <v>100274</v>
      </c>
      <c r="I38" s="465">
        <v>0</v>
      </c>
      <c r="J38" s="465">
        <f t="shared" si="7"/>
        <v>13292559</v>
      </c>
      <c r="K38" s="47">
        <f t="shared" si="5"/>
        <v>756452</v>
      </c>
      <c r="L38" s="47">
        <f t="shared" si="1"/>
        <v>1767050.5</v>
      </c>
      <c r="M38" s="989" t="s">
        <v>884</v>
      </c>
      <c r="N38" s="1361"/>
    </row>
    <row r="39" spans="1:14" ht="27.95" customHeight="1">
      <c r="A39" s="179">
        <v>41730</v>
      </c>
      <c r="B39" s="700">
        <v>39</v>
      </c>
      <c r="C39" s="1356">
        <v>12948</v>
      </c>
      <c r="D39" s="700">
        <f t="shared" si="2"/>
        <v>52285</v>
      </c>
      <c r="E39" s="700">
        <f t="shared" si="3"/>
        <v>15072557.5</v>
      </c>
      <c r="F39" s="700">
        <f t="shared" si="0"/>
        <v>19961</v>
      </c>
      <c r="G39" s="262">
        <f t="shared" si="10"/>
        <v>12948</v>
      </c>
      <c r="H39" s="262">
        <f>C37+1000000</f>
        <v>1001660</v>
      </c>
      <c r="I39" s="262">
        <v>457026</v>
      </c>
      <c r="J39" s="262">
        <f t="shared" si="7"/>
        <v>13749585</v>
      </c>
      <c r="K39" s="181">
        <f t="shared" si="5"/>
        <v>1301086</v>
      </c>
      <c r="L39" s="181">
        <f t="shared" si="1"/>
        <v>1322972.5</v>
      </c>
      <c r="M39" s="990"/>
      <c r="N39" s="1049"/>
    </row>
    <row r="40" spans="1:14" ht="27.95" customHeight="1">
      <c r="A40" s="1330">
        <v>41760</v>
      </c>
      <c r="B40" s="700">
        <f>46+9.5</f>
        <v>55.5</v>
      </c>
      <c r="C40" s="700">
        <f>15602+3239</f>
        <v>18841</v>
      </c>
      <c r="D40" s="700">
        <f t="shared" si="2"/>
        <v>52340.5</v>
      </c>
      <c r="E40" s="700">
        <f t="shared" si="3"/>
        <v>15091398.5</v>
      </c>
      <c r="F40" s="700">
        <f t="shared" si="0"/>
        <v>19944.5</v>
      </c>
      <c r="G40" s="262">
        <f t="shared" si="10"/>
        <v>18841</v>
      </c>
      <c r="H40" s="262">
        <f t="shared" ref="H40:H70" si="11">C38</f>
        <v>8938.5</v>
      </c>
      <c r="I40" s="262">
        <f>2225.5+320087</f>
        <v>322312.5</v>
      </c>
      <c r="J40" s="262">
        <f t="shared" si="7"/>
        <v>14071897.5</v>
      </c>
      <c r="K40" s="181">
        <f t="shared" si="5"/>
        <v>987712</v>
      </c>
      <c r="L40" s="181">
        <f t="shared" si="1"/>
        <v>1019501</v>
      </c>
      <c r="M40" s="990" t="s">
        <v>885</v>
      </c>
      <c r="N40" s="1049"/>
    </row>
    <row r="41" spans="1:14" ht="27.95" customHeight="1">
      <c r="A41" s="1357">
        <v>41791</v>
      </c>
      <c r="B41" s="1358">
        <f>43+6.5</f>
        <v>49.5</v>
      </c>
      <c r="C41" s="1358">
        <f>13566+2233</f>
        <v>15799</v>
      </c>
      <c r="D41" s="700">
        <f t="shared" si="2"/>
        <v>52390</v>
      </c>
      <c r="E41" s="700">
        <f t="shared" si="3"/>
        <v>15107197.5</v>
      </c>
      <c r="F41" s="700">
        <f t="shared" si="0"/>
        <v>19950.5</v>
      </c>
      <c r="G41" s="262">
        <f t="shared" si="10"/>
        <v>15799</v>
      </c>
      <c r="H41" s="262">
        <f t="shared" si="11"/>
        <v>12948</v>
      </c>
      <c r="I41" s="262"/>
      <c r="J41" s="262">
        <f t="shared" si="7"/>
        <v>14071897.5</v>
      </c>
      <c r="K41" s="181">
        <f t="shared" si="5"/>
        <v>1000660</v>
      </c>
      <c r="L41" s="181">
        <f t="shared" si="1"/>
        <v>1035300</v>
      </c>
      <c r="M41" s="990"/>
      <c r="N41" s="1049"/>
    </row>
    <row r="42" spans="1:14" ht="27.95" customHeight="1">
      <c r="A42" s="1330">
        <v>41821</v>
      </c>
      <c r="B42" s="700">
        <v>69</v>
      </c>
      <c r="C42" s="700">
        <v>22563</v>
      </c>
      <c r="D42" s="700">
        <f t="shared" si="2"/>
        <v>52459</v>
      </c>
      <c r="E42" s="700">
        <f t="shared" ref="E42:E69" si="12">E41+C42</f>
        <v>15129760.5</v>
      </c>
      <c r="F42" s="700">
        <f t="shared" si="0"/>
        <v>19931</v>
      </c>
      <c r="G42" s="262">
        <f t="shared" si="10"/>
        <v>22563</v>
      </c>
      <c r="H42" s="262">
        <f t="shared" si="11"/>
        <v>18841</v>
      </c>
      <c r="I42" s="262"/>
      <c r="J42" s="262">
        <f t="shared" si="7"/>
        <v>14071897.5</v>
      </c>
      <c r="K42" s="181">
        <f t="shared" si="5"/>
        <v>1019501</v>
      </c>
      <c r="L42" s="181">
        <f t="shared" si="1"/>
        <v>1057863</v>
      </c>
      <c r="M42" s="990"/>
      <c r="N42" s="1049"/>
    </row>
    <row r="43" spans="1:14" ht="27.95" customHeight="1">
      <c r="A43" s="1330">
        <v>41852</v>
      </c>
      <c r="B43" s="700">
        <f>39+8</f>
        <v>47</v>
      </c>
      <c r="C43" s="700">
        <f>22585.5+1538</f>
        <v>24123.5</v>
      </c>
      <c r="D43" s="700">
        <f t="shared" si="2"/>
        <v>52506</v>
      </c>
      <c r="E43" s="700">
        <f t="shared" si="12"/>
        <v>15153884</v>
      </c>
      <c r="F43" s="700">
        <f t="shared" si="0"/>
        <v>19953</v>
      </c>
      <c r="G43" s="262">
        <f t="shared" si="10"/>
        <v>24123.5</v>
      </c>
      <c r="H43" s="262">
        <f t="shared" si="11"/>
        <v>15799</v>
      </c>
      <c r="I43" s="262"/>
      <c r="J43" s="262">
        <f t="shared" si="7"/>
        <v>14071897.5</v>
      </c>
      <c r="K43" s="181">
        <f t="shared" si="5"/>
        <v>1035300</v>
      </c>
      <c r="L43" s="181">
        <f t="shared" si="1"/>
        <v>1081986.5</v>
      </c>
      <c r="M43" s="1204" t="s">
        <v>886</v>
      </c>
      <c r="N43" s="1049"/>
    </row>
    <row r="44" spans="1:14" ht="26.1" customHeight="1">
      <c r="A44" s="1330">
        <v>41883</v>
      </c>
      <c r="B44" s="700">
        <v>80</v>
      </c>
      <c r="C44" s="700">
        <v>26960</v>
      </c>
      <c r="D44" s="700">
        <f t="shared" si="2"/>
        <v>52586</v>
      </c>
      <c r="E44" s="700">
        <f t="shared" si="12"/>
        <v>15180844</v>
      </c>
      <c r="F44" s="700">
        <f t="shared" si="0"/>
        <v>19920</v>
      </c>
      <c r="G44" s="262">
        <f t="shared" si="10"/>
        <v>26960</v>
      </c>
      <c r="H44" s="262">
        <f t="shared" si="11"/>
        <v>22563</v>
      </c>
      <c r="I44" s="262">
        <v>1000000</v>
      </c>
      <c r="J44" s="262">
        <f t="shared" si="7"/>
        <v>15071897.5</v>
      </c>
      <c r="K44" s="181">
        <f t="shared" si="5"/>
        <v>57863</v>
      </c>
      <c r="L44" s="181">
        <f t="shared" si="1"/>
        <v>108946.5</v>
      </c>
      <c r="M44" s="990"/>
      <c r="N44" s="1049"/>
    </row>
    <row r="45" spans="1:14" ht="26.1" customHeight="1">
      <c r="A45" s="1330">
        <v>41913</v>
      </c>
      <c r="B45" s="1359">
        <v>30</v>
      </c>
      <c r="C45" s="1359">
        <v>9330</v>
      </c>
      <c r="D45" s="700">
        <f t="shared" si="2"/>
        <v>52616</v>
      </c>
      <c r="E45" s="700">
        <f t="shared" si="12"/>
        <v>15190174</v>
      </c>
      <c r="F45" s="700">
        <f t="shared" si="0"/>
        <v>19970</v>
      </c>
      <c r="G45" s="262">
        <f t="shared" si="10"/>
        <v>9330</v>
      </c>
      <c r="H45" s="262">
        <f t="shared" si="11"/>
        <v>24123.5</v>
      </c>
      <c r="I45" s="316"/>
      <c r="J45" s="262">
        <f t="shared" si="7"/>
        <v>15071897.5</v>
      </c>
      <c r="K45" s="181">
        <f t="shared" si="5"/>
        <v>81986.5</v>
      </c>
      <c r="L45" s="181">
        <f t="shared" si="1"/>
        <v>118276.5</v>
      </c>
      <c r="M45" s="993"/>
      <c r="N45" s="1049"/>
    </row>
    <row r="46" spans="1:14" ht="26.1" customHeight="1">
      <c r="A46" s="1330">
        <v>41944</v>
      </c>
      <c r="B46" s="1359">
        <v>1288</v>
      </c>
      <c r="C46" s="1359">
        <v>453706</v>
      </c>
      <c r="D46" s="700">
        <f t="shared" si="2"/>
        <v>53904</v>
      </c>
      <c r="E46" s="700">
        <f t="shared" si="12"/>
        <v>15643880</v>
      </c>
      <c r="F46" s="700">
        <f t="shared" si="0"/>
        <v>18712</v>
      </c>
      <c r="G46" s="262">
        <f t="shared" si="10"/>
        <v>453706</v>
      </c>
      <c r="H46" s="262">
        <f t="shared" si="11"/>
        <v>26960</v>
      </c>
      <c r="I46" s="316"/>
      <c r="J46" s="262">
        <f t="shared" si="7"/>
        <v>15071897.5</v>
      </c>
      <c r="K46" s="181">
        <f t="shared" si="5"/>
        <v>108946.5</v>
      </c>
      <c r="L46" s="181">
        <f t="shared" si="1"/>
        <v>571982.5</v>
      </c>
      <c r="M46" s="993"/>
      <c r="N46" s="1049"/>
    </row>
    <row r="47" spans="1:14" ht="26.1" customHeight="1">
      <c r="A47" s="1330">
        <v>41974</v>
      </c>
      <c r="B47" s="1359">
        <v>0</v>
      </c>
      <c r="C47" s="1359">
        <v>0</v>
      </c>
      <c r="D47" s="700">
        <f t="shared" si="2"/>
        <v>53904</v>
      </c>
      <c r="E47" s="700">
        <f t="shared" si="12"/>
        <v>15643880</v>
      </c>
      <c r="F47" s="700">
        <f t="shared" si="0"/>
        <v>20000</v>
      </c>
      <c r="G47" s="262">
        <f t="shared" si="10"/>
        <v>0</v>
      </c>
      <c r="H47" s="262">
        <f t="shared" si="11"/>
        <v>9330</v>
      </c>
      <c r="I47" s="316"/>
      <c r="J47" s="262">
        <f t="shared" si="7"/>
        <v>15071897.5</v>
      </c>
      <c r="K47" s="181">
        <f t="shared" si="5"/>
        <v>118276.5</v>
      </c>
      <c r="L47" s="181">
        <f t="shared" si="1"/>
        <v>571982.5</v>
      </c>
      <c r="M47" s="993"/>
      <c r="N47" s="1049"/>
    </row>
    <row r="48" spans="1:14" ht="26.1" customHeight="1">
      <c r="A48" s="1331">
        <v>42005</v>
      </c>
      <c r="B48" s="1359">
        <v>26</v>
      </c>
      <c r="C48" s="1359">
        <v>9837</v>
      </c>
      <c r="D48" s="700">
        <f t="shared" si="2"/>
        <v>53930</v>
      </c>
      <c r="E48" s="700">
        <f t="shared" si="12"/>
        <v>15653717</v>
      </c>
      <c r="F48" s="700">
        <f t="shared" si="0"/>
        <v>19974</v>
      </c>
      <c r="G48" s="262">
        <f t="shared" si="10"/>
        <v>9837</v>
      </c>
      <c r="H48" s="262">
        <f t="shared" si="11"/>
        <v>453706</v>
      </c>
      <c r="I48" s="316"/>
      <c r="J48" s="262">
        <f t="shared" si="7"/>
        <v>15071897.5</v>
      </c>
      <c r="K48" s="181">
        <f t="shared" si="5"/>
        <v>571982.5</v>
      </c>
      <c r="L48" s="181">
        <f t="shared" si="1"/>
        <v>581819.5</v>
      </c>
      <c r="M48" s="993"/>
      <c r="N48" s="1049"/>
    </row>
    <row r="49" spans="1:14" ht="27" customHeight="1">
      <c r="A49" s="1331">
        <v>42037</v>
      </c>
      <c r="B49" s="1359">
        <v>35</v>
      </c>
      <c r="C49" s="1359">
        <v>13260</v>
      </c>
      <c r="D49" s="700">
        <f t="shared" si="2"/>
        <v>53965</v>
      </c>
      <c r="E49" s="700">
        <f t="shared" si="12"/>
        <v>15666977</v>
      </c>
      <c r="F49" s="700">
        <f t="shared" si="0"/>
        <v>19965</v>
      </c>
      <c r="G49" s="262">
        <f t="shared" si="10"/>
        <v>13260</v>
      </c>
      <c r="H49" s="262">
        <f t="shared" si="11"/>
        <v>0</v>
      </c>
      <c r="I49" s="316">
        <f>512251.5+6530</f>
        <v>518781.5</v>
      </c>
      <c r="J49" s="262">
        <f t="shared" si="7"/>
        <v>15590679</v>
      </c>
      <c r="K49" s="181">
        <f t="shared" si="5"/>
        <v>53201</v>
      </c>
      <c r="L49" s="181">
        <f t="shared" si="1"/>
        <v>76298</v>
      </c>
      <c r="M49" s="993" t="s">
        <v>887</v>
      </c>
      <c r="N49" s="1049"/>
    </row>
    <row r="50" spans="1:14" ht="27" customHeight="1">
      <c r="A50" s="1331">
        <v>42069</v>
      </c>
      <c r="B50" s="1359">
        <v>13</v>
      </c>
      <c r="C50" s="1359">
        <v>4576</v>
      </c>
      <c r="D50" s="700">
        <f t="shared" si="2"/>
        <v>53978</v>
      </c>
      <c r="E50" s="700">
        <f t="shared" si="12"/>
        <v>15671553</v>
      </c>
      <c r="F50" s="1359">
        <f t="shared" si="0"/>
        <v>19987</v>
      </c>
      <c r="G50" s="316">
        <f t="shared" si="10"/>
        <v>4576</v>
      </c>
      <c r="H50" s="262">
        <f t="shared" si="11"/>
        <v>9837</v>
      </c>
      <c r="I50" s="316"/>
      <c r="J50" s="262">
        <f t="shared" si="7"/>
        <v>15590679</v>
      </c>
      <c r="K50" s="181">
        <f t="shared" si="5"/>
        <v>63038</v>
      </c>
      <c r="L50" s="181">
        <f t="shared" si="1"/>
        <v>80874</v>
      </c>
      <c r="M50" s="993"/>
      <c r="N50" s="1049"/>
    </row>
    <row r="51" spans="1:14" ht="27" customHeight="1">
      <c r="A51" s="1331">
        <v>42100</v>
      </c>
      <c r="B51" s="700">
        <v>36</v>
      </c>
      <c r="C51" s="700">
        <v>12042</v>
      </c>
      <c r="D51" s="700">
        <f t="shared" si="2"/>
        <v>54014</v>
      </c>
      <c r="E51" s="700">
        <f t="shared" si="12"/>
        <v>15683595</v>
      </c>
      <c r="F51" s="700">
        <f t="shared" si="0"/>
        <v>19964</v>
      </c>
      <c r="G51" s="262">
        <f t="shared" si="10"/>
        <v>12042</v>
      </c>
      <c r="H51" s="262">
        <f t="shared" si="11"/>
        <v>13260</v>
      </c>
      <c r="I51" s="262"/>
      <c r="J51" s="262">
        <f t="shared" si="7"/>
        <v>15590679</v>
      </c>
      <c r="K51" s="181">
        <f t="shared" si="5"/>
        <v>76298</v>
      </c>
      <c r="L51" s="181">
        <f t="shared" si="1"/>
        <v>92916</v>
      </c>
      <c r="M51" s="1085"/>
      <c r="N51" s="1049"/>
    </row>
    <row r="52" spans="1:14" ht="27" customHeight="1">
      <c r="A52" s="253">
        <v>42125</v>
      </c>
      <c r="B52" s="700">
        <v>113</v>
      </c>
      <c r="C52" s="700">
        <v>37171</v>
      </c>
      <c r="D52" s="700">
        <f t="shared" si="2"/>
        <v>54127</v>
      </c>
      <c r="E52" s="700">
        <f t="shared" si="12"/>
        <v>15720766</v>
      </c>
      <c r="F52" s="700">
        <f t="shared" si="0"/>
        <v>19887</v>
      </c>
      <c r="G52" s="262">
        <f t="shared" si="10"/>
        <v>37171</v>
      </c>
      <c r="H52" s="262">
        <f t="shared" si="11"/>
        <v>4576</v>
      </c>
      <c r="I52" s="262"/>
      <c r="J52" s="262">
        <f t="shared" si="7"/>
        <v>15590679</v>
      </c>
      <c r="K52" s="181">
        <f t="shared" si="5"/>
        <v>80874</v>
      </c>
      <c r="L52" s="181">
        <f t="shared" si="1"/>
        <v>130087</v>
      </c>
      <c r="M52" s="1085"/>
      <c r="N52" s="1049"/>
    </row>
    <row r="53" spans="1:14" ht="27" customHeight="1">
      <c r="A53" s="253">
        <v>42156</v>
      </c>
      <c r="B53" s="700">
        <v>3.5</v>
      </c>
      <c r="C53" s="700">
        <v>1144.5</v>
      </c>
      <c r="D53" s="700">
        <f t="shared" si="2"/>
        <v>54130.5</v>
      </c>
      <c r="E53" s="700">
        <f t="shared" si="12"/>
        <v>15721910.5</v>
      </c>
      <c r="F53" s="700">
        <f t="shared" si="0"/>
        <v>19996.5</v>
      </c>
      <c r="G53" s="262">
        <f t="shared" si="10"/>
        <v>1144.5</v>
      </c>
      <c r="H53" s="262">
        <f t="shared" si="11"/>
        <v>12042</v>
      </c>
      <c r="I53" s="262"/>
      <c r="J53" s="262">
        <f t="shared" si="7"/>
        <v>15590679</v>
      </c>
      <c r="K53" s="181">
        <f t="shared" si="5"/>
        <v>92916</v>
      </c>
      <c r="L53" s="181">
        <f t="shared" si="1"/>
        <v>131231.5</v>
      </c>
      <c r="M53" s="1085"/>
      <c r="N53" s="1049"/>
    </row>
    <row r="54" spans="1:14" ht="27" customHeight="1">
      <c r="A54" s="253">
        <v>42217</v>
      </c>
      <c r="B54" s="700">
        <v>20</v>
      </c>
      <c r="C54" s="700">
        <v>6240</v>
      </c>
      <c r="D54" s="700">
        <f t="shared" si="2"/>
        <v>54150.5</v>
      </c>
      <c r="E54" s="700">
        <f t="shared" si="12"/>
        <v>15728150.5</v>
      </c>
      <c r="F54" s="700">
        <f t="shared" si="0"/>
        <v>19980</v>
      </c>
      <c r="G54" s="262">
        <f t="shared" si="10"/>
        <v>6240</v>
      </c>
      <c r="H54" s="262">
        <f t="shared" si="11"/>
        <v>37171</v>
      </c>
      <c r="I54" s="262"/>
      <c r="J54" s="262">
        <f t="shared" si="7"/>
        <v>15590679</v>
      </c>
      <c r="K54" s="181">
        <f t="shared" si="5"/>
        <v>130087</v>
      </c>
      <c r="L54" s="181">
        <f t="shared" si="1"/>
        <v>137471.5</v>
      </c>
      <c r="M54" s="1085"/>
      <c r="N54" s="1049"/>
    </row>
    <row r="55" spans="1:14" ht="27" customHeight="1">
      <c r="A55" s="253">
        <v>42248</v>
      </c>
      <c r="B55" s="700">
        <v>0</v>
      </c>
      <c r="C55" s="700">
        <v>0</v>
      </c>
      <c r="D55" s="700">
        <f t="shared" si="2"/>
        <v>54150.5</v>
      </c>
      <c r="E55" s="700">
        <f t="shared" si="12"/>
        <v>15728150.5</v>
      </c>
      <c r="F55" s="700">
        <f t="shared" si="0"/>
        <v>20000</v>
      </c>
      <c r="G55" s="262">
        <f t="shared" si="10"/>
        <v>0</v>
      </c>
      <c r="H55" s="262">
        <f t="shared" si="11"/>
        <v>1144.5</v>
      </c>
      <c r="I55" s="262">
        <v>128437</v>
      </c>
      <c r="J55" s="262">
        <f t="shared" si="7"/>
        <v>15719116</v>
      </c>
      <c r="K55" s="181">
        <f t="shared" si="5"/>
        <v>2794.5</v>
      </c>
      <c r="L55" s="181">
        <f t="shared" si="1"/>
        <v>9034.5</v>
      </c>
      <c r="M55" s="1085"/>
      <c r="N55" s="1049"/>
    </row>
    <row r="56" spans="1:14" ht="27" customHeight="1">
      <c r="A56" s="253">
        <v>42278</v>
      </c>
      <c r="B56" s="700">
        <v>92</v>
      </c>
      <c r="C56" s="700">
        <v>29729</v>
      </c>
      <c r="D56" s="700">
        <f t="shared" si="2"/>
        <v>54242.5</v>
      </c>
      <c r="E56" s="700">
        <f t="shared" si="12"/>
        <v>15757879.5</v>
      </c>
      <c r="F56" s="700">
        <f t="shared" si="0"/>
        <v>19908</v>
      </c>
      <c r="G56" s="262">
        <f t="shared" si="10"/>
        <v>29729</v>
      </c>
      <c r="H56" s="262">
        <f t="shared" si="11"/>
        <v>6240</v>
      </c>
      <c r="I56" s="262"/>
      <c r="J56" s="262">
        <f t="shared" si="7"/>
        <v>15719116</v>
      </c>
      <c r="K56" s="181">
        <f t="shared" si="5"/>
        <v>9034.5</v>
      </c>
      <c r="L56" s="181">
        <f t="shared" si="1"/>
        <v>38763.5</v>
      </c>
      <c r="M56" s="1085" t="s">
        <v>888</v>
      </c>
      <c r="N56" s="1049"/>
    </row>
    <row r="57" spans="1:14" ht="27" customHeight="1">
      <c r="A57" s="253">
        <v>42309</v>
      </c>
      <c r="B57" s="700">
        <v>139</v>
      </c>
      <c r="C57" s="700">
        <v>44068</v>
      </c>
      <c r="D57" s="700">
        <f t="shared" si="2"/>
        <v>54381.5</v>
      </c>
      <c r="E57" s="700">
        <f t="shared" si="12"/>
        <v>15801947.5</v>
      </c>
      <c r="F57" s="700">
        <f t="shared" si="0"/>
        <v>19861</v>
      </c>
      <c r="G57" s="262">
        <f t="shared" si="10"/>
        <v>44068</v>
      </c>
      <c r="H57" s="262">
        <f t="shared" si="11"/>
        <v>0</v>
      </c>
      <c r="I57" s="262"/>
      <c r="J57" s="262">
        <f t="shared" si="7"/>
        <v>15719116</v>
      </c>
      <c r="K57" s="181">
        <f t="shared" si="5"/>
        <v>9034.5</v>
      </c>
      <c r="L57" s="181">
        <f t="shared" si="1"/>
        <v>82831.5</v>
      </c>
      <c r="M57" s="1085"/>
      <c r="N57" s="1049"/>
    </row>
    <row r="58" spans="1:14" ht="27" customHeight="1">
      <c r="A58" s="253">
        <v>42339</v>
      </c>
      <c r="B58" s="700">
        <v>72</v>
      </c>
      <c r="C58" s="700">
        <v>23184</v>
      </c>
      <c r="D58" s="700">
        <f t="shared" si="2"/>
        <v>54453.5</v>
      </c>
      <c r="E58" s="700">
        <f t="shared" si="12"/>
        <v>15825131.5</v>
      </c>
      <c r="F58" s="700">
        <f t="shared" si="0"/>
        <v>19928</v>
      </c>
      <c r="G58" s="262">
        <f t="shared" si="10"/>
        <v>23184</v>
      </c>
      <c r="H58" s="262">
        <f t="shared" si="11"/>
        <v>29729</v>
      </c>
      <c r="I58" s="262"/>
      <c r="J58" s="262">
        <f t="shared" si="7"/>
        <v>15719116</v>
      </c>
      <c r="K58" s="181">
        <f t="shared" si="5"/>
        <v>38763.5</v>
      </c>
      <c r="L58" s="181">
        <f t="shared" si="1"/>
        <v>106015.5</v>
      </c>
      <c r="M58" s="1085" t="s">
        <v>889</v>
      </c>
      <c r="N58" s="1049"/>
    </row>
    <row r="59" spans="1:14" ht="27" customHeight="1">
      <c r="A59" s="253">
        <v>42370</v>
      </c>
      <c r="B59" s="700">
        <v>29</v>
      </c>
      <c r="C59" s="700">
        <v>9048</v>
      </c>
      <c r="D59" s="700">
        <f t="shared" si="2"/>
        <v>54482.5</v>
      </c>
      <c r="E59" s="700">
        <f t="shared" si="12"/>
        <v>15834179.5</v>
      </c>
      <c r="F59" s="700">
        <f t="shared" si="0"/>
        <v>19971</v>
      </c>
      <c r="G59" s="262">
        <f t="shared" si="10"/>
        <v>9048</v>
      </c>
      <c r="H59" s="262">
        <f t="shared" si="11"/>
        <v>44068</v>
      </c>
      <c r="I59" s="262"/>
      <c r="J59" s="262">
        <f t="shared" si="7"/>
        <v>15719116</v>
      </c>
      <c r="K59" s="181">
        <f t="shared" si="5"/>
        <v>82831.5</v>
      </c>
      <c r="L59" s="181">
        <f t="shared" si="1"/>
        <v>115063.5</v>
      </c>
      <c r="M59" s="1085"/>
      <c r="N59" s="1049"/>
    </row>
    <row r="60" spans="1:14" ht="27" customHeight="1">
      <c r="A60" s="253">
        <v>42401</v>
      </c>
      <c r="B60" s="700">
        <v>0</v>
      </c>
      <c r="C60" s="700">
        <v>0</v>
      </c>
      <c r="D60" s="700">
        <f t="shared" si="2"/>
        <v>54482.5</v>
      </c>
      <c r="E60" s="700">
        <f t="shared" si="12"/>
        <v>15834179.5</v>
      </c>
      <c r="F60" s="700"/>
      <c r="G60" s="262">
        <f t="shared" si="10"/>
        <v>0</v>
      </c>
      <c r="H60" s="262">
        <f t="shared" si="11"/>
        <v>23184</v>
      </c>
      <c r="I60" s="262">
        <v>98125.5</v>
      </c>
      <c r="J60" s="262">
        <f t="shared" si="7"/>
        <v>15817241.5</v>
      </c>
      <c r="K60" s="181">
        <f t="shared" si="5"/>
        <v>7890</v>
      </c>
      <c r="L60" s="181">
        <f t="shared" si="1"/>
        <v>16938</v>
      </c>
      <c r="M60" s="1085"/>
      <c r="N60" s="1049"/>
    </row>
    <row r="61" spans="1:14" ht="27" customHeight="1">
      <c r="A61" s="253">
        <v>42430</v>
      </c>
      <c r="B61" s="700">
        <v>0</v>
      </c>
      <c r="C61" s="700">
        <v>0</v>
      </c>
      <c r="D61" s="700">
        <f t="shared" si="2"/>
        <v>54482.5</v>
      </c>
      <c r="E61" s="700">
        <f t="shared" si="12"/>
        <v>15834179.5</v>
      </c>
      <c r="F61" s="700"/>
      <c r="G61" s="262">
        <f t="shared" si="10"/>
        <v>0</v>
      </c>
      <c r="H61" s="262">
        <f t="shared" si="11"/>
        <v>9048</v>
      </c>
      <c r="I61" s="262"/>
      <c r="J61" s="262">
        <f t="shared" si="7"/>
        <v>15817241.5</v>
      </c>
      <c r="K61" s="181">
        <f t="shared" si="5"/>
        <v>16938</v>
      </c>
      <c r="L61" s="181">
        <f t="shared" si="1"/>
        <v>16938</v>
      </c>
      <c r="M61" s="1085"/>
      <c r="N61" s="1049"/>
    </row>
    <row r="62" spans="1:14" ht="27" customHeight="1">
      <c r="A62" s="253">
        <v>42461</v>
      </c>
      <c r="B62" s="700">
        <v>0</v>
      </c>
      <c r="C62" s="700">
        <v>0</v>
      </c>
      <c r="D62" s="700">
        <f t="shared" si="2"/>
        <v>54482.5</v>
      </c>
      <c r="E62" s="700">
        <f t="shared" si="12"/>
        <v>15834179.5</v>
      </c>
      <c r="F62" s="700"/>
      <c r="G62" s="262">
        <f t="shared" si="10"/>
        <v>0</v>
      </c>
      <c r="H62" s="262">
        <f t="shared" si="11"/>
        <v>0</v>
      </c>
      <c r="I62" s="262"/>
      <c r="J62" s="262">
        <f t="shared" si="7"/>
        <v>15817241.5</v>
      </c>
      <c r="K62" s="181">
        <f t="shared" si="5"/>
        <v>16938</v>
      </c>
      <c r="L62" s="181">
        <f t="shared" si="1"/>
        <v>16938</v>
      </c>
      <c r="M62" s="1085"/>
      <c r="N62" s="1049"/>
    </row>
    <row r="63" spans="1:14" ht="27" customHeight="1">
      <c r="A63" s="253">
        <v>42522</v>
      </c>
      <c r="B63" s="700">
        <v>47.5</v>
      </c>
      <c r="C63" s="700">
        <v>15827.5</v>
      </c>
      <c r="D63" s="700">
        <f t="shared" si="2"/>
        <v>54530</v>
      </c>
      <c r="E63" s="700">
        <f t="shared" si="12"/>
        <v>15850007</v>
      </c>
      <c r="F63" s="700"/>
      <c r="G63" s="262">
        <f t="shared" si="10"/>
        <v>15827.5</v>
      </c>
      <c r="H63" s="262">
        <f t="shared" si="11"/>
        <v>0</v>
      </c>
      <c r="I63" s="262"/>
      <c r="J63" s="262">
        <f t="shared" si="7"/>
        <v>15817241.5</v>
      </c>
      <c r="K63" s="181">
        <f t="shared" si="5"/>
        <v>16938</v>
      </c>
      <c r="L63" s="181">
        <f t="shared" si="1"/>
        <v>32765.5</v>
      </c>
      <c r="M63" s="1085"/>
      <c r="N63" s="1049"/>
    </row>
    <row r="64" spans="1:14" ht="27" customHeight="1">
      <c r="A64" s="253">
        <v>42552</v>
      </c>
      <c r="B64" s="1358">
        <v>230</v>
      </c>
      <c r="C64" s="1358">
        <v>76835</v>
      </c>
      <c r="D64" s="700">
        <f t="shared" si="2"/>
        <v>54760</v>
      </c>
      <c r="E64" s="700">
        <f t="shared" si="12"/>
        <v>15926842</v>
      </c>
      <c r="F64" s="700"/>
      <c r="G64" s="262">
        <f t="shared" si="10"/>
        <v>76835</v>
      </c>
      <c r="H64" s="262">
        <f t="shared" si="11"/>
        <v>0</v>
      </c>
      <c r="I64" s="262"/>
      <c r="J64" s="262">
        <f t="shared" si="7"/>
        <v>15817241.5</v>
      </c>
      <c r="K64" s="181">
        <f t="shared" si="5"/>
        <v>16938</v>
      </c>
      <c r="L64" s="181">
        <f t="shared" si="1"/>
        <v>109600.5</v>
      </c>
      <c r="M64" s="1085"/>
      <c r="N64" s="1049"/>
    </row>
    <row r="65" spans="1:14" ht="27" customHeight="1">
      <c r="A65" s="253">
        <v>42583</v>
      </c>
      <c r="B65" s="700">
        <v>15.5</v>
      </c>
      <c r="C65" s="700">
        <v>5533.5</v>
      </c>
      <c r="D65" s="700">
        <f t="shared" si="2"/>
        <v>54775.5</v>
      </c>
      <c r="E65" s="700">
        <f t="shared" si="12"/>
        <v>15932375.5</v>
      </c>
      <c r="F65" s="700"/>
      <c r="G65" s="262">
        <f t="shared" si="10"/>
        <v>5533.5</v>
      </c>
      <c r="H65" s="262">
        <f t="shared" si="11"/>
        <v>15827.5</v>
      </c>
      <c r="I65" s="262"/>
      <c r="J65" s="262">
        <f t="shared" si="7"/>
        <v>15817241.5</v>
      </c>
      <c r="K65" s="181">
        <f t="shared" si="5"/>
        <v>32765.5</v>
      </c>
      <c r="L65" s="181">
        <f t="shared" si="1"/>
        <v>115134</v>
      </c>
      <c r="M65" s="1085"/>
      <c r="N65" s="1049"/>
    </row>
    <row r="66" spans="1:14" ht="27" customHeight="1">
      <c r="A66" s="253">
        <v>42614</v>
      </c>
      <c r="B66" s="700">
        <v>3</v>
      </c>
      <c r="C66" s="700">
        <v>936</v>
      </c>
      <c r="D66" s="700">
        <f t="shared" si="2"/>
        <v>54778.5</v>
      </c>
      <c r="E66" s="700">
        <f t="shared" si="12"/>
        <v>15933311.5</v>
      </c>
      <c r="F66" s="700"/>
      <c r="G66" s="262">
        <f t="shared" si="10"/>
        <v>936</v>
      </c>
      <c r="H66" s="262">
        <f t="shared" si="11"/>
        <v>76835</v>
      </c>
      <c r="I66" s="262">
        <v>9048</v>
      </c>
      <c r="J66" s="262">
        <f t="shared" si="7"/>
        <v>15826289.5</v>
      </c>
      <c r="K66" s="181">
        <f t="shared" si="5"/>
        <v>100552.5</v>
      </c>
      <c r="L66" s="181">
        <f t="shared" si="1"/>
        <v>107022</v>
      </c>
      <c r="M66" s="1085" t="s">
        <v>890</v>
      </c>
      <c r="N66" s="1049"/>
    </row>
    <row r="67" spans="1:14" ht="27" customHeight="1">
      <c r="A67" s="253">
        <v>42644</v>
      </c>
      <c r="B67" s="700">
        <v>191</v>
      </c>
      <c r="C67" s="700">
        <v>64067</v>
      </c>
      <c r="D67" s="700">
        <f t="shared" si="2"/>
        <v>54969.5</v>
      </c>
      <c r="E67" s="700">
        <f t="shared" si="12"/>
        <v>15997378.5</v>
      </c>
      <c r="F67" s="700"/>
      <c r="G67" s="262">
        <f t="shared" si="10"/>
        <v>64067</v>
      </c>
      <c r="H67" s="262">
        <f t="shared" si="11"/>
        <v>5533.5</v>
      </c>
      <c r="I67" s="262"/>
      <c r="J67" s="262">
        <f t="shared" si="7"/>
        <v>15826289.5</v>
      </c>
      <c r="K67" s="181">
        <f t="shared" si="5"/>
        <v>106086</v>
      </c>
      <c r="L67" s="181">
        <f t="shared" si="1"/>
        <v>171089</v>
      </c>
      <c r="M67" s="1085"/>
      <c r="N67" s="1049"/>
    </row>
    <row r="68" spans="1:14" ht="27" customHeight="1">
      <c r="A68" s="253">
        <v>42675</v>
      </c>
      <c r="B68" s="700">
        <v>0</v>
      </c>
      <c r="C68" s="700">
        <v>0</v>
      </c>
      <c r="D68" s="700">
        <f t="shared" si="2"/>
        <v>54969.5</v>
      </c>
      <c r="E68" s="700">
        <f t="shared" si="12"/>
        <v>15997378.5</v>
      </c>
      <c r="F68" s="700"/>
      <c r="G68" s="262">
        <f t="shared" si="10"/>
        <v>0</v>
      </c>
      <c r="H68" s="262">
        <f t="shared" si="11"/>
        <v>936</v>
      </c>
      <c r="I68" s="262"/>
      <c r="J68" s="262">
        <f t="shared" si="7"/>
        <v>15826289.5</v>
      </c>
      <c r="K68" s="181">
        <f t="shared" si="5"/>
        <v>107022</v>
      </c>
      <c r="L68" s="181">
        <f t="shared" si="1"/>
        <v>171089</v>
      </c>
      <c r="M68" s="1085"/>
      <c r="N68" s="1049"/>
    </row>
    <row r="69" spans="1:14" ht="27" customHeight="1">
      <c r="A69" s="253">
        <v>42856</v>
      </c>
      <c r="B69" s="700">
        <v>0</v>
      </c>
      <c r="C69" s="700">
        <v>0</v>
      </c>
      <c r="D69" s="700">
        <f t="shared" si="2"/>
        <v>54969.5</v>
      </c>
      <c r="E69" s="700">
        <f t="shared" si="12"/>
        <v>15997378.5</v>
      </c>
      <c r="F69" s="700"/>
      <c r="G69" s="262">
        <f t="shared" si="10"/>
        <v>0</v>
      </c>
      <c r="H69" s="262">
        <f t="shared" si="11"/>
        <v>64067</v>
      </c>
      <c r="I69" s="262">
        <f>15827.5+76835+6469.5</f>
        <v>99132</v>
      </c>
      <c r="J69" s="262">
        <f t="shared" si="7"/>
        <v>15925421.5</v>
      </c>
      <c r="K69" s="181">
        <f t="shared" si="5"/>
        <v>71957</v>
      </c>
      <c r="L69" s="181">
        <f t="shared" si="1"/>
        <v>71957</v>
      </c>
      <c r="M69" s="1085" t="s">
        <v>891</v>
      </c>
      <c r="N69" s="1049"/>
    </row>
    <row r="70" spans="1:14" ht="27" customHeight="1">
      <c r="A70" s="253"/>
      <c r="B70" s="700"/>
      <c r="C70" s="700"/>
      <c r="D70" s="700"/>
      <c r="E70" s="700"/>
      <c r="F70" s="700"/>
      <c r="G70" s="262"/>
      <c r="H70" s="262">
        <f t="shared" si="11"/>
        <v>0</v>
      </c>
      <c r="I70" s="262"/>
      <c r="J70" s="262"/>
      <c r="K70" s="181">
        <f t="shared" si="5"/>
        <v>71957</v>
      </c>
      <c r="L70" s="181"/>
      <c r="M70" s="1085"/>
      <c r="N70" s="1049"/>
    </row>
    <row r="71" spans="1:14" ht="27" customHeight="1">
      <c r="A71" s="253"/>
      <c r="B71" s="700"/>
      <c r="C71" s="700"/>
      <c r="D71" s="700"/>
      <c r="E71" s="700"/>
      <c r="F71" s="700"/>
      <c r="G71" s="262"/>
      <c r="H71" s="262"/>
      <c r="I71" s="262"/>
      <c r="J71" s="262"/>
      <c r="K71" s="181"/>
      <c r="L71" s="181"/>
      <c r="M71" s="1085"/>
      <c r="N71" s="1049"/>
    </row>
    <row r="72" spans="1:14" ht="27" customHeight="1">
      <c r="A72" s="253"/>
      <c r="B72" s="700"/>
      <c r="C72" s="700"/>
      <c r="D72" s="700"/>
      <c r="E72" s="700"/>
      <c r="F72" s="700"/>
      <c r="G72" s="262"/>
      <c r="H72" s="262"/>
      <c r="I72" s="262"/>
      <c r="J72" s="262"/>
      <c r="K72" s="181"/>
      <c r="L72" s="181"/>
      <c r="M72" s="1085"/>
      <c r="N72" s="1049"/>
    </row>
    <row r="73" spans="1:14" ht="27" customHeight="1">
      <c r="A73" s="253"/>
      <c r="B73" s="700"/>
      <c r="C73" s="700"/>
      <c r="D73" s="700"/>
      <c r="E73" s="700"/>
      <c r="F73" s="700"/>
      <c r="G73" s="262"/>
      <c r="H73" s="262"/>
      <c r="I73" s="262"/>
      <c r="J73" s="262"/>
      <c r="K73" s="181"/>
      <c r="L73" s="181"/>
      <c r="M73" s="1085"/>
      <c r="N73" s="1049"/>
    </row>
    <row r="74" spans="1:14" ht="27" customHeight="1">
      <c r="A74" s="253"/>
      <c r="B74" s="700"/>
      <c r="C74" s="700"/>
      <c r="D74" s="700"/>
      <c r="E74" s="700"/>
      <c r="F74" s="700"/>
      <c r="G74" s="262"/>
      <c r="H74" s="262"/>
      <c r="I74" s="262"/>
      <c r="J74" s="262"/>
      <c r="K74" s="181"/>
      <c r="L74" s="181"/>
      <c r="M74" s="1085"/>
      <c r="N74" s="1049"/>
    </row>
    <row r="75" spans="1:14" ht="27" customHeight="1">
      <c r="A75" s="253"/>
      <c r="B75" s="700"/>
      <c r="C75" s="700"/>
      <c r="D75" s="700"/>
      <c r="E75" s="700"/>
      <c r="F75" s="700"/>
      <c r="G75" s="262"/>
      <c r="H75" s="262"/>
      <c r="I75" s="262"/>
      <c r="J75" s="262"/>
      <c r="K75" s="181"/>
      <c r="L75" s="181"/>
      <c r="M75" s="1085"/>
      <c r="N75" s="1049"/>
    </row>
    <row r="86" spans="10:10">
      <c r="J86" s="994"/>
    </row>
  </sheetData>
  <mergeCells count="11">
    <mergeCell ref="C1:D1"/>
    <mergeCell ref="F1:H1"/>
    <mergeCell ref="J1:L1"/>
    <mergeCell ref="B2:C2"/>
    <mergeCell ref="E2:H2"/>
    <mergeCell ref="B3:C3"/>
    <mergeCell ref="B4:F4"/>
    <mergeCell ref="G4:H4"/>
    <mergeCell ref="I4:L4"/>
    <mergeCell ref="B5:G5"/>
    <mergeCell ref="N7:N10"/>
  </mergeCells>
  <phoneticPr fontId="84" type="noConversion"/>
  <pageMargins left="0.75" right="0.75" top="1" bottom="1" header="0.51" footer="0.51"/>
  <pageSetup paperSize="9" orientation="portrait" verticalDpi="200"/>
  <headerFooter scaleWithDoc="0" alignWithMargins="0"/>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37" zoomScaleSheetLayoutView="100" workbookViewId="0">
      <selection activeCell="I56" sqref="I56"/>
    </sheetView>
  </sheetViews>
  <sheetFormatPr defaultColWidth="9" defaultRowHeight="14.25"/>
  <cols>
    <col min="1" max="1" width="13.125" customWidth="1"/>
    <col min="2" max="2" width="12.875" customWidth="1"/>
    <col min="3" max="3" width="16.25" customWidth="1"/>
    <col min="4" max="4" width="14.125" customWidth="1"/>
    <col min="5" max="5" width="15.875" customWidth="1"/>
    <col min="6" max="6" width="14.5" customWidth="1"/>
    <col min="7" max="7" width="14.875" customWidth="1"/>
    <col min="8" max="8" width="16.75" customWidth="1"/>
    <col min="9" max="9" width="16.5" customWidth="1"/>
    <col min="10" max="10" width="14.5" customWidth="1"/>
    <col min="11" max="11" width="15.375" customWidth="1"/>
    <col min="12" max="12" width="15.25" customWidth="1"/>
    <col min="13" max="13" width="34.375" customWidth="1"/>
  </cols>
  <sheetData>
    <row r="1" spans="1:13" ht="74.099999999999994" customHeight="1">
      <c r="A1" s="1032" t="s">
        <v>892</v>
      </c>
      <c r="B1" s="1033"/>
      <c r="C1" s="1775" t="s">
        <v>893</v>
      </c>
      <c r="D1" s="1775"/>
      <c r="E1" s="1034" t="s">
        <v>236</v>
      </c>
      <c r="F1" s="1776"/>
      <c r="G1" s="1776"/>
      <c r="H1" s="1776"/>
      <c r="I1" s="531" t="s">
        <v>237</v>
      </c>
      <c r="J1" s="1777" t="s">
        <v>894</v>
      </c>
      <c r="K1" s="1777"/>
      <c r="L1" s="1777"/>
      <c r="M1" s="1339" t="s">
        <v>895</v>
      </c>
    </row>
    <row r="2" spans="1:13" ht="30.95" customHeight="1">
      <c r="A2" s="39" t="s">
        <v>240</v>
      </c>
      <c r="B2" s="1637" t="s">
        <v>896</v>
      </c>
      <c r="C2" s="1637"/>
      <c r="D2" s="41" t="s">
        <v>242</v>
      </c>
      <c r="E2" s="1746" t="s">
        <v>896</v>
      </c>
      <c r="F2" s="1746"/>
      <c r="G2" s="1746"/>
      <c r="H2" s="1746"/>
      <c r="I2" s="41" t="s">
        <v>243</v>
      </c>
      <c r="J2" s="1647"/>
      <c r="K2" s="1647"/>
      <c r="L2" s="177" t="s">
        <v>245</v>
      </c>
      <c r="M2" s="1083"/>
    </row>
    <row r="3" spans="1:13" ht="42" customHeight="1">
      <c r="A3" s="39" t="s">
        <v>247</v>
      </c>
      <c r="B3" s="1637" t="s">
        <v>897</v>
      </c>
      <c r="C3" s="1637"/>
      <c r="D3" s="41" t="s">
        <v>249</v>
      </c>
      <c r="E3" s="43" t="s">
        <v>305</v>
      </c>
      <c r="F3" s="41" t="s">
        <v>251</v>
      </c>
      <c r="G3" s="41" t="s">
        <v>898</v>
      </c>
      <c r="H3" s="177" t="s">
        <v>252</v>
      </c>
      <c r="I3" s="1170"/>
      <c r="J3" s="91" t="s">
        <v>253</v>
      </c>
      <c r="K3" s="15" t="s">
        <v>899</v>
      </c>
      <c r="L3" s="15" t="s">
        <v>255</v>
      </c>
      <c r="M3" s="92" t="s">
        <v>900</v>
      </c>
    </row>
    <row r="4" spans="1:13" ht="48.95" customHeight="1">
      <c r="A4" s="1329" t="s">
        <v>260</v>
      </c>
      <c r="B4" s="1764" t="s">
        <v>901</v>
      </c>
      <c r="C4" s="1764"/>
      <c r="D4" s="1764"/>
      <c r="E4" s="1764"/>
      <c r="F4" s="1764"/>
      <c r="G4" s="1764"/>
      <c r="H4" s="1764"/>
      <c r="I4" s="1764" t="s">
        <v>902</v>
      </c>
      <c r="J4" s="1764"/>
      <c r="K4" s="1764"/>
      <c r="L4" s="1764"/>
      <c r="M4" s="1345"/>
    </row>
    <row r="5" spans="1:13" ht="36" customHeight="1">
      <c r="A5" s="39" t="s">
        <v>258</v>
      </c>
      <c r="B5" s="1765"/>
      <c r="C5" s="1765"/>
      <c r="D5" s="1765"/>
      <c r="E5" s="1765"/>
      <c r="F5" s="1765"/>
      <c r="G5" s="1765"/>
      <c r="H5" s="178"/>
      <c r="I5" s="178"/>
      <c r="J5" s="178"/>
      <c r="K5" s="178"/>
      <c r="L5" s="178"/>
      <c r="M5" s="643"/>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7.95" customHeight="1">
      <c r="A7" s="48">
        <v>40940</v>
      </c>
      <c r="B7" s="46">
        <v>222</v>
      </c>
      <c r="C7" s="46">
        <v>62826</v>
      </c>
      <c r="D7" s="140">
        <f>B7</f>
        <v>222</v>
      </c>
      <c r="E7" s="140">
        <f>C7</f>
        <v>62826</v>
      </c>
      <c r="F7" s="140">
        <f>30000-B7</f>
        <v>29778</v>
      </c>
      <c r="G7" s="46">
        <f t="shared" ref="G7:G40" si="0">C7</f>
        <v>62826</v>
      </c>
      <c r="H7" s="141"/>
      <c r="I7" s="140"/>
      <c r="J7" s="140"/>
      <c r="K7" s="140"/>
      <c r="L7" s="140">
        <f t="shared" ref="L7:L40" si="1">E7-J7</f>
        <v>62826</v>
      </c>
      <c r="M7" s="1346"/>
    </row>
    <row r="8" spans="1:13" ht="27.95" customHeight="1">
      <c r="A8" s="48">
        <v>40969</v>
      </c>
      <c r="B8" s="46">
        <v>1029</v>
      </c>
      <c r="C8" s="46">
        <v>290837</v>
      </c>
      <c r="D8" s="46">
        <f t="shared" ref="D8:D40" si="2">D7+B8</f>
        <v>1251</v>
      </c>
      <c r="E8" s="46">
        <f t="shared" ref="E8:E40" si="3">E7+C8</f>
        <v>353663</v>
      </c>
      <c r="F8" s="46">
        <f t="shared" ref="F8:F40" si="4">F7-B8</f>
        <v>28749</v>
      </c>
      <c r="G8" s="47">
        <f t="shared" si="0"/>
        <v>290837</v>
      </c>
      <c r="H8" s="47"/>
      <c r="I8" s="47"/>
      <c r="J8" s="47"/>
      <c r="K8" s="47"/>
      <c r="L8" s="140">
        <f t="shared" si="1"/>
        <v>353663</v>
      </c>
      <c r="M8" s="1347"/>
    </row>
    <row r="9" spans="1:13" ht="27.95" customHeight="1">
      <c r="A9" s="48">
        <v>41000</v>
      </c>
      <c r="B9" s="46">
        <v>1339.5</v>
      </c>
      <c r="C9" s="46">
        <v>379108.5</v>
      </c>
      <c r="D9" s="46">
        <f t="shared" si="2"/>
        <v>2590.5</v>
      </c>
      <c r="E9" s="46">
        <f t="shared" si="3"/>
        <v>732771.5</v>
      </c>
      <c r="F9" s="46">
        <f t="shared" si="4"/>
        <v>27409.5</v>
      </c>
      <c r="G9" s="47">
        <f t="shared" si="0"/>
        <v>379108.5</v>
      </c>
      <c r="H9" s="47">
        <f t="shared" ref="H9:H40" si="5">C7</f>
        <v>62826</v>
      </c>
      <c r="I9" s="47"/>
      <c r="J9" s="47"/>
      <c r="K9" s="47">
        <f t="shared" ref="K9:K40" si="6">K8+H9-I9</f>
        <v>62826</v>
      </c>
      <c r="L9" s="140">
        <f t="shared" si="1"/>
        <v>732771.5</v>
      </c>
      <c r="M9" s="94" t="s">
        <v>903</v>
      </c>
    </row>
    <row r="10" spans="1:13" ht="27.95" customHeight="1">
      <c r="A10" s="48">
        <v>41030</v>
      </c>
      <c r="B10" s="46">
        <v>1251.5</v>
      </c>
      <c r="C10" s="46">
        <v>353689.5</v>
      </c>
      <c r="D10" s="46">
        <f t="shared" si="2"/>
        <v>3842</v>
      </c>
      <c r="E10" s="46">
        <f t="shared" si="3"/>
        <v>1086461</v>
      </c>
      <c r="F10" s="46">
        <f t="shared" si="4"/>
        <v>26158</v>
      </c>
      <c r="G10" s="47">
        <f t="shared" si="0"/>
        <v>353689.5</v>
      </c>
      <c r="H10" s="47">
        <f t="shared" si="5"/>
        <v>290837</v>
      </c>
      <c r="I10" s="47">
        <v>62826</v>
      </c>
      <c r="J10" s="47">
        <f t="shared" ref="J10:J40" si="7">J9+I10</f>
        <v>62826</v>
      </c>
      <c r="K10" s="47">
        <f t="shared" si="6"/>
        <v>290837</v>
      </c>
      <c r="L10" s="140">
        <f t="shared" si="1"/>
        <v>1023635</v>
      </c>
      <c r="M10" s="94" t="s">
        <v>904</v>
      </c>
    </row>
    <row r="11" spans="1:13" ht="27.95" customHeight="1">
      <c r="A11" s="48">
        <v>41061</v>
      </c>
      <c r="B11" s="46">
        <v>1226</v>
      </c>
      <c r="C11" s="46">
        <v>346073</v>
      </c>
      <c r="D11" s="46">
        <f t="shared" si="2"/>
        <v>5068</v>
      </c>
      <c r="E11" s="46">
        <f t="shared" si="3"/>
        <v>1432534</v>
      </c>
      <c r="F11" s="46">
        <f t="shared" si="4"/>
        <v>24932</v>
      </c>
      <c r="G11" s="47">
        <f t="shared" si="0"/>
        <v>346073</v>
      </c>
      <c r="H11" s="47">
        <f t="shared" si="5"/>
        <v>379108.5</v>
      </c>
      <c r="I11" s="47">
        <v>290837</v>
      </c>
      <c r="J11" s="47">
        <f t="shared" si="7"/>
        <v>353663</v>
      </c>
      <c r="K11" s="47">
        <f t="shared" si="6"/>
        <v>379108.5</v>
      </c>
      <c r="L11" s="140">
        <f t="shared" si="1"/>
        <v>1078871</v>
      </c>
      <c r="M11" s="94" t="s">
        <v>905</v>
      </c>
    </row>
    <row r="12" spans="1:13" ht="27" customHeight="1">
      <c r="A12" s="48">
        <v>41091</v>
      </c>
      <c r="B12" s="46">
        <v>427.5</v>
      </c>
      <c r="C12" s="46">
        <v>118190</v>
      </c>
      <c r="D12" s="46">
        <f t="shared" si="2"/>
        <v>5495.5</v>
      </c>
      <c r="E12" s="46">
        <f t="shared" si="3"/>
        <v>1550724</v>
      </c>
      <c r="F12" s="46">
        <f t="shared" si="4"/>
        <v>24504.5</v>
      </c>
      <c r="G12" s="47">
        <f t="shared" si="0"/>
        <v>118190</v>
      </c>
      <c r="H12" s="47">
        <f t="shared" si="5"/>
        <v>353689.5</v>
      </c>
      <c r="I12" s="47">
        <v>379108.5</v>
      </c>
      <c r="J12" s="47">
        <f t="shared" si="7"/>
        <v>732771.5</v>
      </c>
      <c r="K12" s="47">
        <f t="shared" si="6"/>
        <v>353689.5</v>
      </c>
      <c r="L12" s="140">
        <f t="shared" si="1"/>
        <v>817952.5</v>
      </c>
      <c r="M12" s="94" t="s">
        <v>906</v>
      </c>
    </row>
    <row r="13" spans="1:13" ht="27" customHeight="1">
      <c r="A13" s="48">
        <v>41122</v>
      </c>
      <c r="B13" s="46">
        <v>601.5</v>
      </c>
      <c r="C13" s="46">
        <v>161297</v>
      </c>
      <c r="D13" s="46">
        <f t="shared" si="2"/>
        <v>6097</v>
      </c>
      <c r="E13" s="46">
        <f t="shared" si="3"/>
        <v>1712021</v>
      </c>
      <c r="F13" s="46">
        <f t="shared" si="4"/>
        <v>23903</v>
      </c>
      <c r="G13" s="47">
        <f t="shared" si="0"/>
        <v>161297</v>
      </c>
      <c r="H13" s="47">
        <f t="shared" si="5"/>
        <v>346073</v>
      </c>
      <c r="I13" s="47">
        <v>353689.5</v>
      </c>
      <c r="J13" s="47">
        <f t="shared" si="7"/>
        <v>1086461</v>
      </c>
      <c r="K13" s="47">
        <f t="shared" si="6"/>
        <v>346073</v>
      </c>
      <c r="L13" s="140">
        <f t="shared" si="1"/>
        <v>625560</v>
      </c>
      <c r="M13" s="94"/>
    </row>
    <row r="14" spans="1:13" ht="27" customHeight="1">
      <c r="A14" s="48">
        <v>41153</v>
      </c>
      <c r="B14" s="46">
        <v>311.5</v>
      </c>
      <c r="C14" s="46">
        <v>83294.5</v>
      </c>
      <c r="D14" s="46">
        <f t="shared" si="2"/>
        <v>6408.5</v>
      </c>
      <c r="E14" s="46">
        <f t="shared" si="3"/>
        <v>1795315.5</v>
      </c>
      <c r="F14" s="46">
        <f t="shared" si="4"/>
        <v>23591.5</v>
      </c>
      <c r="G14" s="47">
        <f t="shared" si="0"/>
        <v>83294.5</v>
      </c>
      <c r="H14" s="47">
        <f t="shared" si="5"/>
        <v>118190</v>
      </c>
      <c r="I14" s="47">
        <v>0</v>
      </c>
      <c r="J14" s="47">
        <f t="shared" si="7"/>
        <v>1086461</v>
      </c>
      <c r="K14" s="47">
        <f t="shared" si="6"/>
        <v>464263</v>
      </c>
      <c r="L14" s="140">
        <f t="shared" si="1"/>
        <v>708854.5</v>
      </c>
      <c r="M14" s="94"/>
    </row>
    <row r="15" spans="1:13" ht="27" customHeight="1">
      <c r="A15" s="48">
        <v>41183</v>
      </c>
      <c r="B15" s="46">
        <v>639</v>
      </c>
      <c r="C15" s="46">
        <v>156196</v>
      </c>
      <c r="D15" s="46">
        <f t="shared" si="2"/>
        <v>7047.5</v>
      </c>
      <c r="E15" s="46">
        <f t="shared" si="3"/>
        <v>1951511.5</v>
      </c>
      <c r="F15" s="46">
        <f t="shared" si="4"/>
        <v>22952.5</v>
      </c>
      <c r="G15" s="47">
        <f t="shared" si="0"/>
        <v>156196</v>
      </c>
      <c r="H15" s="47">
        <f t="shared" si="5"/>
        <v>161297</v>
      </c>
      <c r="I15" s="47">
        <v>346073</v>
      </c>
      <c r="J15" s="47">
        <f t="shared" si="7"/>
        <v>1432534</v>
      </c>
      <c r="K15" s="47">
        <f t="shared" si="6"/>
        <v>279487</v>
      </c>
      <c r="L15" s="140">
        <f t="shared" si="1"/>
        <v>518977.5</v>
      </c>
      <c r="M15" s="94" t="s">
        <v>907</v>
      </c>
    </row>
    <row r="16" spans="1:13" ht="27" customHeight="1">
      <c r="A16" s="48">
        <v>41214</v>
      </c>
      <c r="B16" s="46">
        <v>511</v>
      </c>
      <c r="C16" s="46">
        <v>132831.5</v>
      </c>
      <c r="D16" s="46">
        <f t="shared" si="2"/>
        <v>7558.5</v>
      </c>
      <c r="E16" s="46">
        <f t="shared" si="3"/>
        <v>2084343</v>
      </c>
      <c r="F16" s="46">
        <f t="shared" si="4"/>
        <v>22441.5</v>
      </c>
      <c r="G16" s="47">
        <f t="shared" si="0"/>
        <v>132831.5</v>
      </c>
      <c r="H16" s="47">
        <f t="shared" si="5"/>
        <v>83294.5</v>
      </c>
      <c r="I16" s="47">
        <v>0</v>
      </c>
      <c r="J16" s="47">
        <f t="shared" si="7"/>
        <v>1432534</v>
      </c>
      <c r="K16" s="47">
        <f t="shared" si="6"/>
        <v>362781.5</v>
      </c>
      <c r="L16" s="140">
        <f t="shared" si="1"/>
        <v>651809</v>
      </c>
      <c r="M16" s="94" t="s">
        <v>908</v>
      </c>
    </row>
    <row r="17" spans="1:13" ht="24.95" customHeight="1">
      <c r="A17" s="48">
        <v>41244</v>
      </c>
      <c r="B17" s="46">
        <v>2078.5</v>
      </c>
      <c r="C17" s="46">
        <v>581281</v>
      </c>
      <c r="D17" s="46">
        <f t="shared" si="2"/>
        <v>9637</v>
      </c>
      <c r="E17" s="46">
        <f t="shared" si="3"/>
        <v>2665624</v>
      </c>
      <c r="F17" s="46">
        <f t="shared" si="4"/>
        <v>20363</v>
      </c>
      <c r="G17" s="47">
        <f t="shared" si="0"/>
        <v>581281</v>
      </c>
      <c r="H17" s="47">
        <f t="shared" si="5"/>
        <v>156196</v>
      </c>
      <c r="I17" s="47">
        <f>118190+161297</f>
        <v>279487</v>
      </c>
      <c r="J17" s="47">
        <f t="shared" si="7"/>
        <v>1712021</v>
      </c>
      <c r="K17" s="47">
        <f t="shared" si="6"/>
        <v>239490.5</v>
      </c>
      <c r="L17" s="140">
        <f t="shared" si="1"/>
        <v>953603</v>
      </c>
      <c r="M17" s="94" t="s">
        <v>909</v>
      </c>
    </row>
    <row r="18" spans="1:13" ht="24.95" customHeight="1">
      <c r="A18" s="48">
        <v>41275</v>
      </c>
      <c r="B18" s="46">
        <v>2120.5</v>
      </c>
      <c r="C18" s="46">
        <v>592813</v>
      </c>
      <c r="D18" s="46">
        <f t="shared" si="2"/>
        <v>11757.5</v>
      </c>
      <c r="E18" s="46">
        <f t="shared" si="3"/>
        <v>3258437</v>
      </c>
      <c r="F18" s="46">
        <f t="shared" si="4"/>
        <v>18242.5</v>
      </c>
      <c r="G18" s="47">
        <f t="shared" si="0"/>
        <v>592813</v>
      </c>
      <c r="H18" s="47">
        <f t="shared" si="5"/>
        <v>132831.5</v>
      </c>
      <c r="I18" s="47">
        <f>156196+83294.5</f>
        <v>239490.5</v>
      </c>
      <c r="J18" s="47">
        <f t="shared" si="7"/>
        <v>1951511.5</v>
      </c>
      <c r="K18" s="47">
        <f t="shared" si="6"/>
        <v>132831.5</v>
      </c>
      <c r="L18" s="140">
        <f t="shared" si="1"/>
        <v>1306925.5</v>
      </c>
      <c r="M18" s="94"/>
    </row>
    <row r="19" spans="1:13" ht="24.95" customHeight="1">
      <c r="A19" s="48">
        <v>41306</v>
      </c>
      <c r="B19" s="46">
        <v>330</v>
      </c>
      <c r="C19" s="46">
        <v>91880</v>
      </c>
      <c r="D19" s="46">
        <f t="shared" si="2"/>
        <v>12087.5</v>
      </c>
      <c r="E19" s="46">
        <f t="shared" si="3"/>
        <v>3350317</v>
      </c>
      <c r="F19" s="46">
        <f t="shared" si="4"/>
        <v>17912.5</v>
      </c>
      <c r="G19" s="47">
        <f t="shared" si="0"/>
        <v>91880</v>
      </c>
      <c r="H19" s="47">
        <f t="shared" si="5"/>
        <v>581281</v>
      </c>
      <c r="I19" s="47">
        <v>0</v>
      </c>
      <c r="J19" s="47">
        <f t="shared" si="7"/>
        <v>1951511.5</v>
      </c>
      <c r="K19" s="47">
        <f t="shared" si="6"/>
        <v>714112.5</v>
      </c>
      <c r="L19" s="140">
        <f t="shared" si="1"/>
        <v>1398805.5</v>
      </c>
      <c r="M19" s="94"/>
    </row>
    <row r="20" spans="1:13" ht="24.95" customHeight="1">
      <c r="A20" s="48">
        <v>41334</v>
      </c>
      <c r="B20" s="46">
        <v>1820.5</v>
      </c>
      <c r="C20" s="46">
        <v>502945.5</v>
      </c>
      <c r="D20" s="46">
        <f t="shared" si="2"/>
        <v>13908</v>
      </c>
      <c r="E20" s="46">
        <f t="shared" si="3"/>
        <v>3853262.5</v>
      </c>
      <c r="F20" s="46">
        <f t="shared" si="4"/>
        <v>16092</v>
      </c>
      <c r="G20" s="47">
        <f t="shared" si="0"/>
        <v>502945.5</v>
      </c>
      <c r="H20" s="47">
        <f t="shared" si="5"/>
        <v>592813</v>
      </c>
      <c r="I20" s="47">
        <v>0</v>
      </c>
      <c r="J20" s="47">
        <f t="shared" si="7"/>
        <v>1951511.5</v>
      </c>
      <c r="K20" s="47">
        <f t="shared" si="6"/>
        <v>1306925.5</v>
      </c>
      <c r="L20" s="140">
        <f t="shared" si="1"/>
        <v>1901751</v>
      </c>
      <c r="M20" s="94"/>
    </row>
    <row r="21" spans="1:13" ht="24.95" customHeight="1">
      <c r="A21" s="48">
        <v>41365</v>
      </c>
      <c r="B21" s="46">
        <v>1890</v>
      </c>
      <c r="C21" s="46">
        <v>523480</v>
      </c>
      <c r="D21" s="46">
        <f t="shared" si="2"/>
        <v>15798</v>
      </c>
      <c r="E21" s="46">
        <f t="shared" si="3"/>
        <v>4376742.5</v>
      </c>
      <c r="F21" s="46">
        <f t="shared" si="4"/>
        <v>14202</v>
      </c>
      <c r="G21" s="47">
        <f t="shared" si="0"/>
        <v>523480</v>
      </c>
      <c r="H21" s="47">
        <f t="shared" si="5"/>
        <v>91880</v>
      </c>
      <c r="I21" s="47">
        <v>0</v>
      </c>
      <c r="J21" s="47">
        <f t="shared" si="7"/>
        <v>1951511.5</v>
      </c>
      <c r="K21" s="47">
        <f t="shared" si="6"/>
        <v>1398805.5</v>
      </c>
      <c r="L21" s="140">
        <f t="shared" si="1"/>
        <v>2425231</v>
      </c>
      <c r="M21" s="94" t="s">
        <v>910</v>
      </c>
    </row>
    <row r="22" spans="1:13" ht="24.95" customHeight="1">
      <c r="A22" s="48">
        <v>41395</v>
      </c>
      <c r="B22" s="46">
        <v>1794</v>
      </c>
      <c r="C22" s="46">
        <v>478734</v>
      </c>
      <c r="D22" s="46">
        <f t="shared" si="2"/>
        <v>17592</v>
      </c>
      <c r="E22" s="46">
        <f t="shared" si="3"/>
        <v>4855476.5</v>
      </c>
      <c r="F22" s="46">
        <f t="shared" si="4"/>
        <v>12408</v>
      </c>
      <c r="G22" s="47">
        <f t="shared" si="0"/>
        <v>478734</v>
      </c>
      <c r="H22" s="47">
        <f t="shared" si="5"/>
        <v>502945.5</v>
      </c>
      <c r="I22" s="47">
        <v>532831.5</v>
      </c>
      <c r="J22" s="47">
        <f t="shared" si="7"/>
        <v>2484343</v>
      </c>
      <c r="K22" s="47">
        <f t="shared" si="6"/>
        <v>1368919.5</v>
      </c>
      <c r="L22" s="140">
        <f t="shared" si="1"/>
        <v>2371133.5</v>
      </c>
      <c r="M22" s="94" t="s">
        <v>911</v>
      </c>
    </row>
    <row r="23" spans="1:13" ht="24.95" customHeight="1">
      <c r="A23" s="48">
        <v>41426</v>
      </c>
      <c r="B23" s="46">
        <v>1927</v>
      </c>
      <c r="C23" s="46">
        <v>501202</v>
      </c>
      <c r="D23" s="46">
        <f t="shared" si="2"/>
        <v>19519</v>
      </c>
      <c r="E23" s="46">
        <f t="shared" si="3"/>
        <v>5356678.5</v>
      </c>
      <c r="F23" s="46">
        <f t="shared" si="4"/>
        <v>10481</v>
      </c>
      <c r="G23" s="47">
        <f t="shared" si="0"/>
        <v>501202</v>
      </c>
      <c r="H23" s="47">
        <f t="shared" si="5"/>
        <v>523480</v>
      </c>
      <c r="I23" s="47">
        <v>500000</v>
      </c>
      <c r="J23" s="47">
        <f t="shared" si="7"/>
        <v>2984343</v>
      </c>
      <c r="K23" s="47">
        <f t="shared" si="6"/>
        <v>1392399.5</v>
      </c>
      <c r="L23" s="140">
        <f t="shared" si="1"/>
        <v>2372335.5</v>
      </c>
      <c r="M23" s="94" t="s">
        <v>912</v>
      </c>
    </row>
    <row r="24" spans="1:13" ht="27.95" customHeight="1">
      <c r="A24" s="48">
        <v>41456</v>
      </c>
      <c r="B24" s="46">
        <v>1630</v>
      </c>
      <c r="C24" s="46">
        <v>417490</v>
      </c>
      <c r="D24" s="46">
        <f t="shared" si="2"/>
        <v>21149</v>
      </c>
      <c r="E24" s="46">
        <f t="shared" si="3"/>
        <v>5774168.5</v>
      </c>
      <c r="F24" s="46">
        <f t="shared" si="4"/>
        <v>8851</v>
      </c>
      <c r="G24" s="47">
        <f t="shared" si="0"/>
        <v>417490</v>
      </c>
      <c r="H24" s="47">
        <f t="shared" si="5"/>
        <v>478734</v>
      </c>
      <c r="I24" s="47">
        <f>363500+488624.5</f>
        <v>852124.5</v>
      </c>
      <c r="J24" s="47">
        <f t="shared" si="7"/>
        <v>3836467.5</v>
      </c>
      <c r="K24" s="47">
        <f t="shared" si="6"/>
        <v>1019009</v>
      </c>
      <c r="L24" s="140">
        <f t="shared" si="1"/>
        <v>1937701</v>
      </c>
      <c r="M24" s="94" t="s">
        <v>913</v>
      </c>
    </row>
    <row r="25" spans="1:13" ht="27.95" customHeight="1">
      <c r="A25" s="48">
        <v>41487</v>
      </c>
      <c r="B25" s="46">
        <v>1478</v>
      </c>
      <c r="C25" s="46">
        <v>378068</v>
      </c>
      <c r="D25" s="46">
        <f t="shared" si="2"/>
        <v>22627</v>
      </c>
      <c r="E25" s="46">
        <f t="shared" si="3"/>
        <v>6152236.5</v>
      </c>
      <c r="F25" s="46">
        <f t="shared" si="4"/>
        <v>7373</v>
      </c>
      <c r="G25" s="47">
        <f t="shared" si="0"/>
        <v>378068</v>
      </c>
      <c r="H25" s="47">
        <f t="shared" si="5"/>
        <v>501202</v>
      </c>
      <c r="I25" s="47">
        <v>523480</v>
      </c>
      <c r="J25" s="47">
        <f t="shared" si="7"/>
        <v>4359947.5</v>
      </c>
      <c r="K25" s="47">
        <f t="shared" si="6"/>
        <v>996731</v>
      </c>
      <c r="L25" s="140">
        <f t="shared" si="1"/>
        <v>1792289</v>
      </c>
      <c r="M25" s="94" t="s">
        <v>914</v>
      </c>
    </row>
    <row r="26" spans="1:13" ht="27.95" customHeight="1">
      <c r="A26" s="48">
        <v>41518</v>
      </c>
      <c r="B26" s="46">
        <v>827</v>
      </c>
      <c r="C26" s="46">
        <v>214022</v>
      </c>
      <c r="D26" s="46">
        <f t="shared" si="2"/>
        <v>23454</v>
      </c>
      <c r="E26" s="46">
        <f t="shared" si="3"/>
        <v>6366258.5</v>
      </c>
      <c r="F26" s="46">
        <f t="shared" si="4"/>
        <v>6546</v>
      </c>
      <c r="G26" s="47">
        <f t="shared" si="0"/>
        <v>214022</v>
      </c>
      <c r="H26" s="47">
        <f t="shared" si="5"/>
        <v>417490</v>
      </c>
      <c r="I26" s="47">
        <v>0</v>
      </c>
      <c r="J26" s="47">
        <f t="shared" si="7"/>
        <v>4359947.5</v>
      </c>
      <c r="K26" s="47">
        <f t="shared" si="6"/>
        <v>1414221</v>
      </c>
      <c r="L26" s="140">
        <f t="shared" si="1"/>
        <v>2006311</v>
      </c>
      <c r="M26" s="94" t="s">
        <v>915</v>
      </c>
    </row>
    <row r="27" spans="1:13" ht="27.95" customHeight="1">
      <c r="A27" s="48">
        <v>41548</v>
      </c>
      <c r="B27" s="46">
        <v>326</v>
      </c>
      <c r="C27" s="46">
        <v>85086</v>
      </c>
      <c r="D27" s="46">
        <f t="shared" si="2"/>
        <v>23780</v>
      </c>
      <c r="E27" s="46">
        <f t="shared" si="3"/>
        <v>6451344.5</v>
      </c>
      <c r="F27" s="46">
        <f t="shared" si="4"/>
        <v>6220</v>
      </c>
      <c r="G27" s="47">
        <f t="shared" si="0"/>
        <v>85086</v>
      </c>
      <c r="H27" s="47">
        <f t="shared" si="5"/>
        <v>378068</v>
      </c>
      <c r="I27" s="47">
        <v>478494</v>
      </c>
      <c r="J27" s="47">
        <f t="shared" si="7"/>
        <v>4838441.5</v>
      </c>
      <c r="K27" s="47">
        <f t="shared" si="6"/>
        <v>1313795</v>
      </c>
      <c r="L27" s="140">
        <f t="shared" si="1"/>
        <v>1612903</v>
      </c>
      <c r="M27" s="94"/>
    </row>
    <row r="28" spans="1:13" ht="27.95" customHeight="1">
      <c r="A28" s="48">
        <v>41579</v>
      </c>
      <c r="B28" s="46">
        <v>77.5</v>
      </c>
      <c r="C28" s="46">
        <v>20295</v>
      </c>
      <c r="D28" s="46">
        <f t="shared" si="2"/>
        <v>23857.5</v>
      </c>
      <c r="E28" s="46">
        <f t="shared" si="3"/>
        <v>6471639.5</v>
      </c>
      <c r="F28" s="46">
        <f t="shared" si="4"/>
        <v>6142.5</v>
      </c>
      <c r="G28" s="47">
        <f t="shared" si="0"/>
        <v>20295</v>
      </c>
      <c r="H28" s="47">
        <f t="shared" si="5"/>
        <v>214022</v>
      </c>
      <c r="I28" s="47">
        <v>501082</v>
      </c>
      <c r="J28" s="47">
        <f t="shared" si="7"/>
        <v>5339523.5</v>
      </c>
      <c r="K28" s="47">
        <f t="shared" si="6"/>
        <v>1026735</v>
      </c>
      <c r="L28" s="140">
        <f t="shared" si="1"/>
        <v>1132116</v>
      </c>
      <c r="M28" s="94" t="s">
        <v>916</v>
      </c>
    </row>
    <row r="29" spans="1:13" ht="24.95" customHeight="1">
      <c r="A29" s="48">
        <v>41609</v>
      </c>
      <c r="B29" s="46">
        <v>7</v>
      </c>
      <c r="C29" s="46">
        <v>1827</v>
      </c>
      <c r="D29" s="46">
        <f t="shared" si="2"/>
        <v>23864.5</v>
      </c>
      <c r="E29" s="46">
        <f t="shared" si="3"/>
        <v>6473466.5</v>
      </c>
      <c r="F29" s="46">
        <f t="shared" si="4"/>
        <v>6135.5</v>
      </c>
      <c r="G29" s="47">
        <f t="shared" si="0"/>
        <v>1827</v>
      </c>
      <c r="H29" s="47">
        <f t="shared" si="5"/>
        <v>85086</v>
      </c>
      <c r="I29" s="47">
        <v>417490</v>
      </c>
      <c r="J29" s="47">
        <f t="shared" si="7"/>
        <v>5757013.5</v>
      </c>
      <c r="K29" s="47">
        <f t="shared" si="6"/>
        <v>694331</v>
      </c>
      <c r="L29" s="140">
        <f t="shared" si="1"/>
        <v>716453</v>
      </c>
      <c r="M29" s="94"/>
    </row>
    <row r="30" spans="1:13" ht="24.95" customHeight="1">
      <c r="A30" s="1342"/>
      <c r="B30" s="46"/>
      <c r="C30" s="109"/>
      <c r="D30" s="46">
        <f t="shared" si="2"/>
        <v>23864.5</v>
      </c>
      <c r="E30" s="46">
        <f t="shared" si="3"/>
        <v>6473466.5</v>
      </c>
      <c r="F30" s="46">
        <f t="shared" si="4"/>
        <v>6135.5</v>
      </c>
      <c r="G30" s="47">
        <f t="shared" si="0"/>
        <v>0</v>
      </c>
      <c r="H30" s="47">
        <f t="shared" si="5"/>
        <v>20295</v>
      </c>
      <c r="I30" s="47">
        <v>0</v>
      </c>
      <c r="J30" s="47">
        <f t="shared" si="7"/>
        <v>5757013.5</v>
      </c>
      <c r="K30" s="47">
        <f t="shared" si="6"/>
        <v>714626</v>
      </c>
      <c r="L30" s="140">
        <f t="shared" si="1"/>
        <v>716453</v>
      </c>
      <c r="M30" s="94"/>
    </row>
    <row r="31" spans="1:13" ht="24.95" customHeight="1">
      <c r="A31" s="48">
        <v>41640</v>
      </c>
      <c r="B31" s="46">
        <v>0</v>
      </c>
      <c r="C31" s="46">
        <v>0</v>
      </c>
      <c r="D31" s="46">
        <f t="shared" si="2"/>
        <v>23864.5</v>
      </c>
      <c r="E31" s="46">
        <f t="shared" si="3"/>
        <v>6473466.5</v>
      </c>
      <c r="F31" s="46">
        <f t="shared" si="4"/>
        <v>6135.5</v>
      </c>
      <c r="G31" s="47">
        <f t="shared" si="0"/>
        <v>0</v>
      </c>
      <c r="H31" s="47">
        <f t="shared" si="5"/>
        <v>1827</v>
      </c>
      <c r="I31" s="47">
        <v>0</v>
      </c>
      <c r="J31" s="47">
        <f t="shared" si="7"/>
        <v>5757013.5</v>
      </c>
      <c r="K31" s="47">
        <f t="shared" si="6"/>
        <v>716453</v>
      </c>
      <c r="L31" s="140">
        <f t="shared" si="1"/>
        <v>716453</v>
      </c>
      <c r="M31" s="1348"/>
    </row>
    <row r="32" spans="1:13" ht="24.95" customHeight="1">
      <c r="A32" s="1343">
        <v>41671</v>
      </c>
      <c r="B32" s="46">
        <v>0</v>
      </c>
      <c r="C32" s="46">
        <v>0</v>
      </c>
      <c r="D32" s="46">
        <f t="shared" si="2"/>
        <v>23864.5</v>
      </c>
      <c r="E32" s="46">
        <f t="shared" si="3"/>
        <v>6473466.5</v>
      </c>
      <c r="F32" s="46">
        <f t="shared" si="4"/>
        <v>6135.5</v>
      </c>
      <c r="G32" s="47">
        <f t="shared" si="0"/>
        <v>0</v>
      </c>
      <c r="H32" s="47">
        <f t="shared" si="5"/>
        <v>0</v>
      </c>
      <c r="I32" s="47">
        <v>699298</v>
      </c>
      <c r="J32" s="47">
        <f t="shared" si="7"/>
        <v>6456311.5</v>
      </c>
      <c r="K32" s="599">
        <f t="shared" si="6"/>
        <v>17155</v>
      </c>
      <c r="L32" s="140">
        <f t="shared" si="1"/>
        <v>17155</v>
      </c>
      <c r="M32" s="1348" t="s">
        <v>917</v>
      </c>
    </row>
    <row r="33" spans="1:13" ht="24.95" customHeight="1">
      <c r="A33" s="1337">
        <v>41760</v>
      </c>
      <c r="B33" s="128">
        <v>254</v>
      </c>
      <c r="C33" s="128">
        <v>91440</v>
      </c>
      <c r="D33" s="46">
        <f t="shared" si="2"/>
        <v>24118.5</v>
      </c>
      <c r="E33" s="46">
        <f t="shared" si="3"/>
        <v>6564906.5</v>
      </c>
      <c r="F33" s="46">
        <f t="shared" si="4"/>
        <v>5881.5</v>
      </c>
      <c r="G33" s="163">
        <f t="shared" si="0"/>
        <v>91440</v>
      </c>
      <c r="H33" s="47">
        <f t="shared" si="5"/>
        <v>0</v>
      </c>
      <c r="I33" s="47">
        <v>0</v>
      </c>
      <c r="J33" s="47">
        <f t="shared" si="7"/>
        <v>6456311.5</v>
      </c>
      <c r="K33" s="47">
        <f t="shared" si="6"/>
        <v>17155</v>
      </c>
      <c r="L33" s="140">
        <f t="shared" si="1"/>
        <v>108595</v>
      </c>
      <c r="M33" s="1348"/>
    </row>
    <row r="34" spans="1:13" ht="24.95" customHeight="1">
      <c r="A34" s="1337">
        <v>41791</v>
      </c>
      <c r="B34" s="128">
        <v>403</v>
      </c>
      <c r="C34" s="128">
        <v>140640</v>
      </c>
      <c r="D34" s="46">
        <f t="shared" si="2"/>
        <v>24521.5</v>
      </c>
      <c r="E34" s="46">
        <f t="shared" si="3"/>
        <v>6705546.5</v>
      </c>
      <c r="F34" s="46">
        <f t="shared" si="4"/>
        <v>5478.5</v>
      </c>
      <c r="G34" s="163">
        <f t="shared" si="0"/>
        <v>140640</v>
      </c>
      <c r="H34" s="47">
        <f t="shared" si="5"/>
        <v>0</v>
      </c>
      <c r="I34" s="163"/>
      <c r="J34" s="47">
        <f t="shared" si="7"/>
        <v>6456311.5</v>
      </c>
      <c r="K34" s="47">
        <f t="shared" si="6"/>
        <v>17155</v>
      </c>
      <c r="L34" s="140">
        <f t="shared" si="1"/>
        <v>249235</v>
      </c>
      <c r="M34" s="1348"/>
    </row>
    <row r="35" spans="1:13" ht="24.95" customHeight="1">
      <c r="A35" s="1330">
        <v>41821</v>
      </c>
      <c r="B35" s="180">
        <v>244</v>
      </c>
      <c r="C35" s="180">
        <v>85970</v>
      </c>
      <c r="D35" s="180">
        <f t="shared" si="2"/>
        <v>24765.5</v>
      </c>
      <c r="E35" s="180">
        <f t="shared" si="3"/>
        <v>6791516.5</v>
      </c>
      <c r="F35" s="180">
        <f t="shared" si="4"/>
        <v>5234.5</v>
      </c>
      <c r="G35" s="181">
        <f t="shared" si="0"/>
        <v>85970</v>
      </c>
      <c r="H35" s="181">
        <f t="shared" si="5"/>
        <v>91440</v>
      </c>
      <c r="I35" s="181"/>
      <c r="J35" s="181">
        <f t="shared" si="7"/>
        <v>6456311.5</v>
      </c>
      <c r="K35" s="181">
        <f t="shared" si="6"/>
        <v>108595</v>
      </c>
      <c r="L35" s="200">
        <f t="shared" si="1"/>
        <v>335205</v>
      </c>
      <c r="M35" s="1275"/>
    </row>
    <row r="36" spans="1:13" ht="26.1" customHeight="1">
      <c r="A36" s="1330">
        <v>41852</v>
      </c>
      <c r="B36" s="180">
        <v>63.5</v>
      </c>
      <c r="C36" s="180">
        <v>20942.5</v>
      </c>
      <c r="D36" s="180">
        <f t="shared" si="2"/>
        <v>24829</v>
      </c>
      <c r="E36" s="180">
        <f t="shared" si="3"/>
        <v>6812459</v>
      </c>
      <c r="F36" s="180">
        <f t="shared" si="4"/>
        <v>5171</v>
      </c>
      <c r="G36" s="181">
        <f t="shared" si="0"/>
        <v>20942.5</v>
      </c>
      <c r="H36" s="181">
        <f t="shared" si="5"/>
        <v>140640</v>
      </c>
      <c r="I36" s="181"/>
      <c r="J36" s="181">
        <f t="shared" si="7"/>
        <v>6456311.5</v>
      </c>
      <c r="K36" s="181">
        <f t="shared" si="6"/>
        <v>249235</v>
      </c>
      <c r="L36" s="200">
        <f t="shared" si="1"/>
        <v>356147.5</v>
      </c>
      <c r="M36" s="1275"/>
    </row>
    <row r="37" spans="1:13" ht="26.1" customHeight="1">
      <c r="A37" s="1330">
        <v>41883</v>
      </c>
      <c r="B37" s="180">
        <v>0</v>
      </c>
      <c r="C37" s="180">
        <v>0</v>
      </c>
      <c r="D37" s="180">
        <f t="shared" si="2"/>
        <v>24829</v>
      </c>
      <c r="E37" s="180">
        <f t="shared" si="3"/>
        <v>6812459</v>
      </c>
      <c r="F37" s="180">
        <f t="shared" si="4"/>
        <v>5171</v>
      </c>
      <c r="G37" s="181">
        <f t="shared" si="0"/>
        <v>0</v>
      </c>
      <c r="H37" s="181">
        <f t="shared" si="5"/>
        <v>85970</v>
      </c>
      <c r="I37" s="181"/>
      <c r="J37" s="181">
        <f t="shared" si="7"/>
        <v>6456311.5</v>
      </c>
      <c r="K37" s="181">
        <f t="shared" si="6"/>
        <v>335205</v>
      </c>
      <c r="L37" s="200">
        <f t="shared" si="1"/>
        <v>356147.5</v>
      </c>
      <c r="M37" s="1275"/>
    </row>
    <row r="38" spans="1:13" ht="26.1" customHeight="1">
      <c r="A38" s="1330">
        <v>41913</v>
      </c>
      <c r="B38" s="340">
        <v>0</v>
      </c>
      <c r="C38" s="1344">
        <v>0</v>
      </c>
      <c r="D38" s="180">
        <f t="shared" si="2"/>
        <v>24829</v>
      </c>
      <c r="E38" s="180">
        <f t="shared" si="3"/>
        <v>6812459</v>
      </c>
      <c r="F38" s="180">
        <f t="shared" si="4"/>
        <v>5171</v>
      </c>
      <c r="G38" s="181">
        <f t="shared" si="0"/>
        <v>0</v>
      </c>
      <c r="H38" s="181">
        <f t="shared" si="5"/>
        <v>20942.5</v>
      </c>
      <c r="I38" s="457"/>
      <c r="J38" s="181">
        <f t="shared" si="7"/>
        <v>6456311.5</v>
      </c>
      <c r="K38" s="181">
        <f t="shared" si="6"/>
        <v>356147.5</v>
      </c>
      <c r="L38" s="200">
        <f t="shared" si="1"/>
        <v>356147.5</v>
      </c>
      <c r="M38" s="1275"/>
    </row>
    <row r="39" spans="1:13" ht="26.1" customHeight="1">
      <c r="A39" s="1330">
        <v>41944</v>
      </c>
      <c r="B39" s="340">
        <v>0</v>
      </c>
      <c r="C39" s="1344">
        <v>0</v>
      </c>
      <c r="D39" s="180">
        <f t="shared" si="2"/>
        <v>24829</v>
      </c>
      <c r="E39" s="180">
        <f t="shared" si="3"/>
        <v>6812459</v>
      </c>
      <c r="F39" s="180">
        <f t="shared" si="4"/>
        <v>5171</v>
      </c>
      <c r="G39" s="181">
        <f t="shared" si="0"/>
        <v>0</v>
      </c>
      <c r="H39" s="181">
        <f t="shared" si="5"/>
        <v>0</v>
      </c>
      <c r="I39" s="457">
        <v>142097.5</v>
      </c>
      <c r="J39" s="181">
        <f t="shared" si="7"/>
        <v>6598409</v>
      </c>
      <c r="K39" s="181">
        <f t="shared" si="6"/>
        <v>214050</v>
      </c>
      <c r="L39" s="200">
        <f t="shared" si="1"/>
        <v>214050</v>
      </c>
      <c r="M39" s="1349"/>
    </row>
    <row r="40" spans="1:13" ht="26.1" customHeight="1">
      <c r="A40" s="1330">
        <v>41974</v>
      </c>
      <c r="B40" s="340">
        <v>0</v>
      </c>
      <c r="C40" s="1344">
        <v>0</v>
      </c>
      <c r="D40" s="180">
        <f t="shared" si="2"/>
        <v>24829</v>
      </c>
      <c r="E40" s="180">
        <f t="shared" si="3"/>
        <v>6812459</v>
      </c>
      <c r="F40" s="180">
        <f t="shared" si="4"/>
        <v>5171</v>
      </c>
      <c r="G40" s="181">
        <f t="shared" si="0"/>
        <v>0</v>
      </c>
      <c r="H40" s="181">
        <f t="shared" si="5"/>
        <v>0</v>
      </c>
      <c r="I40" s="457">
        <v>200000</v>
      </c>
      <c r="J40" s="181">
        <f t="shared" si="7"/>
        <v>6798409</v>
      </c>
      <c r="K40" s="181">
        <f t="shared" si="6"/>
        <v>14050</v>
      </c>
      <c r="L40" s="200">
        <f t="shared" si="1"/>
        <v>14050</v>
      </c>
      <c r="M40" s="1349" t="s">
        <v>918</v>
      </c>
    </row>
    <row r="41" spans="1:13" ht="26.1" customHeight="1">
      <c r="A41" s="253"/>
      <c r="B41" s="180"/>
      <c r="C41" s="180"/>
      <c r="D41" s="180"/>
      <c r="E41" s="180"/>
      <c r="F41" s="180"/>
      <c r="G41" s="181"/>
      <c r="H41" s="181"/>
      <c r="I41" s="181"/>
      <c r="J41" s="181"/>
      <c r="K41" s="181"/>
      <c r="L41" s="200"/>
      <c r="M41" s="1220" t="s">
        <v>919</v>
      </c>
    </row>
    <row r="42" spans="1:13" ht="51" customHeight="1">
      <c r="A42" s="253"/>
      <c r="B42" s="180"/>
      <c r="C42" s="180"/>
      <c r="D42" s="180"/>
      <c r="E42" s="180"/>
      <c r="F42" s="180"/>
      <c r="G42" s="181"/>
      <c r="H42" s="181"/>
      <c r="I42" s="181"/>
      <c r="J42" s="181"/>
      <c r="K42" s="181"/>
      <c r="L42" s="200"/>
      <c r="M42" s="1220" t="s">
        <v>920</v>
      </c>
    </row>
    <row r="43" spans="1:13" ht="26.1" customHeight="1">
      <c r="A43" s="253"/>
      <c r="B43" s="180"/>
      <c r="C43" s="180"/>
      <c r="D43" s="180"/>
      <c r="E43" s="180"/>
      <c r="F43" s="180"/>
      <c r="G43" s="181"/>
      <c r="H43" s="181"/>
      <c r="I43" s="181"/>
      <c r="J43" s="181"/>
      <c r="K43" s="181"/>
      <c r="L43" s="200"/>
      <c r="M43" s="1220"/>
    </row>
    <row r="44" spans="1:13" ht="26.1" customHeight="1"/>
    <row r="45" spans="1:13" ht="26.1" customHeight="1"/>
  </sheetData>
  <mergeCells count="10">
    <mergeCell ref="B3:C3"/>
    <mergeCell ref="B4:H4"/>
    <mergeCell ref="I4:L4"/>
    <mergeCell ref="B5:G5"/>
    <mergeCell ref="C1:D1"/>
    <mergeCell ref="F1:H1"/>
    <mergeCell ref="J1:L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60"/>
  </sheetPr>
  <dimension ref="A1:M85"/>
  <sheetViews>
    <sheetView topLeftCell="A87" zoomScale="90" zoomScaleSheetLayoutView="100" workbookViewId="0"/>
  </sheetViews>
  <sheetFormatPr defaultColWidth="23.75" defaultRowHeight="14.25"/>
  <cols>
    <col min="1" max="1" width="14.625" style="10" customWidth="1"/>
    <col min="2" max="2" width="14.75" style="10" customWidth="1"/>
    <col min="3" max="3" width="15" style="10" customWidth="1"/>
    <col min="4" max="5" width="15.75" style="10" customWidth="1"/>
    <col min="6" max="6" width="14.875" style="10" customWidth="1"/>
    <col min="7" max="7" width="14.625" style="10" customWidth="1"/>
    <col min="8" max="8" width="16.375" style="10" customWidth="1"/>
    <col min="9" max="9" width="14.125" style="10" customWidth="1"/>
    <col min="10" max="10" width="15.875" style="10" customWidth="1"/>
    <col min="11" max="11" width="15.375" style="10" customWidth="1"/>
    <col min="12" max="12" width="18.75" style="10" customWidth="1"/>
    <col min="13" max="13" width="27.25" style="10" customWidth="1"/>
    <col min="14" max="16384" width="23.75" style="10"/>
  </cols>
  <sheetData>
    <row r="1" spans="1:13" ht="57" customHeight="1">
      <c r="A1" s="1032" t="s">
        <v>921</v>
      </c>
      <c r="B1" s="1033"/>
      <c r="C1" s="1778" t="s">
        <v>922</v>
      </c>
      <c r="D1" s="1779"/>
      <c r="E1" s="1034" t="s">
        <v>236</v>
      </c>
      <c r="F1" s="1780"/>
      <c r="G1" s="1781"/>
      <c r="H1" s="1782"/>
      <c r="I1" s="531" t="s">
        <v>237</v>
      </c>
      <c r="J1" s="1772" t="s">
        <v>923</v>
      </c>
      <c r="K1" s="1774"/>
      <c r="L1" s="1659" t="s">
        <v>924</v>
      </c>
      <c r="M1" s="1783"/>
    </row>
    <row r="2" spans="1:13" ht="39" customHeight="1">
      <c r="A2" s="39" t="s">
        <v>240</v>
      </c>
      <c r="B2" s="1637" t="s">
        <v>925</v>
      </c>
      <c r="C2" s="1637"/>
      <c r="D2" s="41" t="s">
        <v>242</v>
      </c>
      <c r="E2" s="1746"/>
      <c r="F2" s="1746"/>
      <c r="G2" s="1746"/>
      <c r="H2" s="1746"/>
      <c r="I2" s="41" t="s">
        <v>243</v>
      </c>
      <c r="J2" s="1647" t="s">
        <v>926</v>
      </c>
      <c r="K2" s="1647"/>
      <c r="L2" s="177" t="s">
        <v>245</v>
      </c>
      <c r="M2" s="1083" t="s">
        <v>927</v>
      </c>
    </row>
    <row r="3" spans="1:13" ht="42.75">
      <c r="A3" s="39" t="s">
        <v>247</v>
      </c>
      <c r="B3" s="1637" t="s">
        <v>928</v>
      </c>
      <c r="C3" s="1637"/>
      <c r="D3" s="41" t="s">
        <v>249</v>
      </c>
      <c r="E3" s="43" t="s">
        <v>929</v>
      </c>
      <c r="F3" s="41" t="s">
        <v>251</v>
      </c>
      <c r="G3" s="40" t="s">
        <v>930</v>
      </c>
      <c r="H3" s="177" t="s">
        <v>252</v>
      </c>
      <c r="I3" s="1170" t="s">
        <v>931</v>
      </c>
      <c r="J3" s="91" t="s">
        <v>253</v>
      </c>
      <c r="K3" s="15" t="s">
        <v>932</v>
      </c>
      <c r="L3" s="15" t="s">
        <v>255</v>
      </c>
      <c r="M3" s="92" t="s">
        <v>933</v>
      </c>
    </row>
    <row r="4" spans="1:13" ht="36" customHeight="1">
      <c r="A4" s="1329" t="s">
        <v>260</v>
      </c>
      <c r="B4" s="1764" t="s">
        <v>934</v>
      </c>
      <c r="C4" s="1764"/>
      <c r="D4" s="1764"/>
      <c r="E4" s="1764"/>
      <c r="F4" s="1764"/>
      <c r="G4" s="1336"/>
      <c r="H4" s="1764" t="s">
        <v>935</v>
      </c>
      <c r="I4" s="1764"/>
      <c r="J4" s="1764"/>
      <c r="K4" s="1764"/>
      <c r="L4" s="1784"/>
      <c r="M4" s="1785"/>
    </row>
    <row r="5" spans="1:13" ht="24" customHeight="1">
      <c r="A5" s="39" t="s">
        <v>258</v>
      </c>
      <c r="B5" s="1765" t="s">
        <v>936</v>
      </c>
      <c r="C5" s="1765"/>
      <c r="D5" s="1765"/>
      <c r="E5" s="1765"/>
      <c r="F5" s="1765"/>
      <c r="G5" s="1765"/>
      <c r="H5" s="1786"/>
      <c r="I5" s="1786"/>
      <c r="J5" s="1786"/>
      <c r="K5" s="1786"/>
      <c r="L5" s="178"/>
      <c r="M5" s="643"/>
    </row>
    <row r="6" spans="1:13" ht="30" customHeight="1">
      <c r="A6" s="39" t="s">
        <v>937</v>
      </c>
      <c r="B6" s="1787" t="s">
        <v>938</v>
      </c>
      <c r="C6" s="1787"/>
      <c r="D6" s="1787"/>
      <c r="E6" s="1787"/>
      <c r="F6" s="1787"/>
      <c r="G6" s="1787"/>
      <c r="H6" s="629"/>
      <c r="I6" s="629"/>
      <c r="J6" s="629"/>
      <c r="K6" s="629"/>
      <c r="L6" s="178"/>
      <c r="M6" s="643"/>
    </row>
    <row r="7" spans="1:13" ht="36.950000000000003" customHeight="1">
      <c r="A7" s="19" t="s">
        <v>266</v>
      </c>
      <c r="B7" s="20" t="s">
        <v>267</v>
      </c>
      <c r="C7" s="20" t="s">
        <v>268</v>
      </c>
      <c r="D7" s="20" t="s">
        <v>269</v>
      </c>
      <c r="E7" s="20" t="s">
        <v>270</v>
      </c>
      <c r="F7" s="20" t="s">
        <v>271</v>
      </c>
      <c r="G7" s="21" t="s">
        <v>939</v>
      </c>
      <c r="H7" s="22" t="s">
        <v>273</v>
      </c>
      <c r="I7" s="20" t="s">
        <v>274</v>
      </c>
      <c r="J7" s="70" t="s">
        <v>275</v>
      </c>
      <c r="K7" s="70" t="s">
        <v>276</v>
      </c>
      <c r="L7" s="20" t="s">
        <v>277</v>
      </c>
      <c r="M7" s="71" t="s">
        <v>278</v>
      </c>
    </row>
    <row r="8" spans="1:13" ht="33" customHeight="1">
      <c r="A8" s="48" t="s">
        <v>940</v>
      </c>
      <c r="B8" s="46">
        <v>1409</v>
      </c>
      <c r="C8" s="46">
        <v>405140</v>
      </c>
      <c r="D8" s="46">
        <f>B8</f>
        <v>1409</v>
      </c>
      <c r="E8" s="46">
        <f>C8</f>
        <v>405140</v>
      </c>
      <c r="F8" s="46">
        <f t="shared" ref="F8:F15" si="0">8000-D8</f>
        <v>6591</v>
      </c>
      <c r="G8" s="47"/>
      <c r="H8" s="47"/>
      <c r="I8" s="47"/>
      <c r="J8" s="47"/>
      <c r="K8" s="47"/>
      <c r="L8" s="47">
        <f t="shared" ref="L8:L34" si="1">E8-J8</f>
        <v>405140</v>
      </c>
      <c r="M8" s="989"/>
    </row>
    <row r="9" spans="1:13" ht="33" customHeight="1">
      <c r="A9" s="48">
        <v>41214</v>
      </c>
      <c r="B9" s="46">
        <v>0</v>
      </c>
      <c r="C9" s="46">
        <v>0</v>
      </c>
      <c r="D9" s="46">
        <f t="shared" ref="D9:D34" si="2">D8+B9</f>
        <v>1409</v>
      </c>
      <c r="E9" s="46">
        <f t="shared" ref="E9:E34" si="3">E8+C9</f>
        <v>405140</v>
      </c>
      <c r="F9" s="46">
        <f t="shared" si="0"/>
        <v>6591</v>
      </c>
      <c r="G9" s="47"/>
      <c r="H9" s="47">
        <f t="shared" ref="H9:H34" si="4">C8</f>
        <v>405140</v>
      </c>
      <c r="I9" s="47"/>
      <c r="J9" s="47"/>
      <c r="K9" s="47">
        <f t="shared" ref="K9:K34" si="5">K8+H9-I9</f>
        <v>405140</v>
      </c>
      <c r="L9" s="47">
        <f t="shared" si="1"/>
        <v>405140</v>
      </c>
      <c r="M9" s="989"/>
    </row>
    <row r="10" spans="1:13" ht="33" customHeight="1">
      <c r="A10" s="48">
        <v>41244</v>
      </c>
      <c r="B10" s="46">
        <v>104</v>
      </c>
      <c r="C10" s="46">
        <v>29970</v>
      </c>
      <c r="D10" s="46">
        <f t="shared" si="2"/>
        <v>1513</v>
      </c>
      <c r="E10" s="46">
        <f t="shared" si="3"/>
        <v>435110</v>
      </c>
      <c r="F10" s="46">
        <f t="shared" si="0"/>
        <v>6487</v>
      </c>
      <c r="G10" s="47"/>
      <c r="H10" s="47">
        <f t="shared" si="4"/>
        <v>0</v>
      </c>
      <c r="I10" s="47"/>
      <c r="J10" s="47"/>
      <c r="K10" s="47">
        <f t="shared" si="5"/>
        <v>405140</v>
      </c>
      <c r="L10" s="47">
        <f t="shared" si="1"/>
        <v>435110</v>
      </c>
      <c r="M10" s="989" t="s">
        <v>941</v>
      </c>
    </row>
    <row r="11" spans="1:13" ht="33" customHeight="1">
      <c r="A11" s="48">
        <v>41275</v>
      </c>
      <c r="B11" s="46">
        <v>113</v>
      </c>
      <c r="C11" s="46">
        <v>29835</v>
      </c>
      <c r="D11" s="46">
        <f t="shared" si="2"/>
        <v>1626</v>
      </c>
      <c r="E11" s="46">
        <f t="shared" si="3"/>
        <v>464945</v>
      </c>
      <c r="F11" s="46">
        <f t="shared" si="0"/>
        <v>6374</v>
      </c>
      <c r="G11" s="47"/>
      <c r="H11" s="47">
        <f t="shared" si="4"/>
        <v>29970</v>
      </c>
      <c r="I11" s="47">
        <v>0</v>
      </c>
      <c r="J11" s="47">
        <f t="shared" ref="J11:J34" si="6">J10+I11</f>
        <v>0</v>
      </c>
      <c r="K11" s="47">
        <f t="shared" si="5"/>
        <v>435110</v>
      </c>
      <c r="L11" s="47">
        <f t="shared" si="1"/>
        <v>464945</v>
      </c>
      <c r="M11" s="989"/>
    </row>
    <row r="12" spans="1:13" ht="33" customHeight="1">
      <c r="A12" s="48">
        <v>41306</v>
      </c>
      <c r="B12" s="46">
        <v>0</v>
      </c>
      <c r="C12" s="46">
        <v>0</v>
      </c>
      <c r="D12" s="46">
        <f t="shared" si="2"/>
        <v>1626</v>
      </c>
      <c r="E12" s="46">
        <f t="shared" si="3"/>
        <v>464945</v>
      </c>
      <c r="F12" s="46">
        <f t="shared" si="0"/>
        <v>6374</v>
      </c>
      <c r="G12" s="47"/>
      <c r="H12" s="47">
        <f t="shared" si="4"/>
        <v>29835</v>
      </c>
      <c r="I12" s="47">
        <v>200000</v>
      </c>
      <c r="J12" s="47">
        <f t="shared" si="6"/>
        <v>200000</v>
      </c>
      <c r="K12" s="47">
        <f t="shared" si="5"/>
        <v>264945</v>
      </c>
      <c r="L12" s="47">
        <f t="shared" si="1"/>
        <v>264945</v>
      </c>
      <c r="M12" s="989"/>
    </row>
    <row r="13" spans="1:13" ht="33" customHeight="1">
      <c r="A13" s="48">
        <v>41334</v>
      </c>
      <c r="B13" s="46">
        <v>10</v>
      </c>
      <c r="C13" s="46">
        <v>3170</v>
      </c>
      <c r="D13" s="46">
        <f t="shared" si="2"/>
        <v>1636</v>
      </c>
      <c r="E13" s="46">
        <f t="shared" si="3"/>
        <v>468115</v>
      </c>
      <c r="F13" s="46">
        <f t="shared" si="0"/>
        <v>6364</v>
      </c>
      <c r="G13" s="47"/>
      <c r="H13" s="47">
        <f t="shared" si="4"/>
        <v>0</v>
      </c>
      <c r="I13" s="47">
        <v>0</v>
      </c>
      <c r="J13" s="47">
        <f t="shared" si="6"/>
        <v>200000</v>
      </c>
      <c r="K13" s="47">
        <f t="shared" si="5"/>
        <v>264945</v>
      </c>
      <c r="L13" s="47">
        <f t="shared" si="1"/>
        <v>268115</v>
      </c>
      <c r="M13" s="989"/>
    </row>
    <row r="14" spans="1:13" ht="33" customHeight="1">
      <c r="A14" s="48">
        <v>41365</v>
      </c>
      <c r="B14" s="46">
        <v>3</v>
      </c>
      <c r="C14" s="46">
        <v>1005</v>
      </c>
      <c r="D14" s="46">
        <f t="shared" si="2"/>
        <v>1639</v>
      </c>
      <c r="E14" s="46">
        <f t="shared" si="3"/>
        <v>469120</v>
      </c>
      <c r="F14" s="46">
        <f t="shared" si="0"/>
        <v>6361</v>
      </c>
      <c r="G14" s="47"/>
      <c r="H14" s="47">
        <f t="shared" si="4"/>
        <v>3170</v>
      </c>
      <c r="I14" s="47">
        <v>0</v>
      </c>
      <c r="J14" s="47">
        <f t="shared" si="6"/>
        <v>200000</v>
      </c>
      <c r="K14" s="47">
        <f t="shared" si="5"/>
        <v>268115</v>
      </c>
      <c r="L14" s="47">
        <f t="shared" si="1"/>
        <v>269120</v>
      </c>
      <c r="M14" s="989"/>
    </row>
    <row r="15" spans="1:13" ht="33" customHeight="1">
      <c r="A15" s="48">
        <v>41395</v>
      </c>
      <c r="B15" s="46">
        <v>0</v>
      </c>
      <c r="C15" s="46">
        <v>0</v>
      </c>
      <c r="D15" s="46">
        <f t="shared" si="2"/>
        <v>1639</v>
      </c>
      <c r="E15" s="46">
        <f t="shared" si="3"/>
        <v>469120</v>
      </c>
      <c r="F15" s="46">
        <f t="shared" si="0"/>
        <v>6361</v>
      </c>
      <c r="G15" s="47"/>
      <c r="H15" s="47">
        <f t="shared" si="4"/>
        <v>1005</v>
      </c>
      <c r="I15" s="47">
        <v>0</v>
      </c>
      <c r="J15" s="47">
        <f t="shared" si="6"/>
        <v>200000</v>
      </c>
      <c r="K15" s="47">
        <f t="shared" si="5"/>
        <v>269120</v>
      </c>
      <c r="L15" s="47">
        <f t="shared" si="1"/>
        <v>269120</v>
      </c>
      <c r="M15" s="989"/>
    </row>
    <row r="16" spans="1:13" ht="33" customHeight="1">
      <c r="A16" s="48">
        <v>41426</v>
      </c>
      <c r="B16" s="46">
        <v>0</v>
      </c>
      <c r="C16" s="46">
        <v>0</v>
      </c>
      <c r="D16" s="46">
        <f t="shared" si="2"/>
        <v>1639</v>
      </c>
      <c r="E16" s="46">
        <f t="shared" si="3"/>
        <v>469120</v>
      </c>
      <c r="F16" s="46">
        <v>0</v>
      </c>
      <c r="G16" s="47"/>
      <c r="H16" s="47">
        <f t="shared" si="4"/>
        <v>0</v>
      </c>
      <c r="I16" s="47">
        <v>0</v>
      </c>
      <c r="J16" s="47">
        <f t="shared" si="6"/>
        <v>200000</v>
      </c>
      <c r="K16" s="47">
        <f t="shared" si="5"/>
        <v>269120</v>
      </c>
      <c r="L16" s="47">
        <f t="shared" si="1"/>
        <v>269120</v>
      </c>
      <c r="M16" s="989" t="s">
        <v>942</v>
      </c>
    </row>
    <row r="17" spans="1:13" ht="33" customHeight="1">
      <c r="A17" s="48">
        <v>41456</v>
      </c>
      <c r="B17" s="46">
        <v>150</v>
      </c>
      <c r="C17" s="46">
        <v>35250</v>
      </c>
      <c r="D17" s="46">
        <f t="shared" si="2"/>
        <v>1789</v>
      </c>
      <c r="E17" s="46">
        <f t="shared" si="3"/>
        <v>504370</v>
      </c>
      <c r="F17" s="46">
        <v>0</v>
      </c>
      <c r="G17" s="47"/>
      <c r="H17" s="47">
        <f t="shared" si="4"/>
        <v>0</v>
      </c>
      <c r="I17" s="47">
        <v>100000</v>
      </c>
      <c r="J17" s="47">
        <f t="shared" si="6"/>
        <v>300000</v>
      </c>
      <c r="K17" s="47">
        <f t="shared" si="5"/>
        <v>169120</v>
      </c>
      <c r="L17" s="47">
        <f t="shared" si="1"/>
        <v>204370</v>
      </c>
      <c r="M17" s="989"/>
    </row>
    <row r="18" spans="1:13" ht="33" customHeight="1">
      <c r="A18" s="48">
        <v>41487</v>
      </c>
      <c r="B18" s="46">
        <v>82</v>
      </c>
      <c r="C18" s="46">
        <v>21510</v>
      </c>
      <c r="D18" s="46">
        <f t="shared" si="2"/>
        <v>1871</v>
      </c>
      <c r="E18" s="46">
        <f t="shared" si="3"/>
        <v>525880</v>
      </c>
      <c r="F18" s="46">
        <v>0</v>
      </c>
      <c r="G18" s="47"/>
      <c r="H18" s="47">
        <f t="shared" si="4"/>
        <v>35250</v>
      </c>
      <c r="I18" s="47">
        <v>0</v>
      </c>
      <c r="J18" s="47">
        <f t="shared" si="6"/>
        <v>300000</v>
      </c>
      <c r="K18" s="47">
        <f t="shared" si="5"/>
        <v>204370</v>
      </c>
      <c r="L18" s="47">
        <f t="shared" si="1"/>
        <v>225880</v>
      </c>
      <c r="M18" s="989"/>
    </row>
    <row r="19" spans="1:13" ht="33" customHeight="1">
      <c r="A19" s="48">
        <v>41518</v>
      </c>
      <c r="B19" s="46">
        <v>975</v>
      </c>
      <c r="C19" s="46">
        <v>272640</v>
      </c>
      <c r="D19" s="46">
        <f t="shared" si="2"/>
        <v>2846</v>
      </c>
      <c r="E19" s="46">
        <f t="shared" si="3"/>
        <v>798520</v>
      </c>
      <c r="F19" s="46">
        <v>0</v>
      </c>
      <c r="G19" s="47"/>
      <c r="H19" s="47">
        <f t="shared" si="4"/>
        <v>21510</v>
      </c>
      <c r="I19" s="47">
        <v>200000</v>
      </c>
      <c r="J19" s="47">
        <f t="shared" si="6"/>
        <v>500000</v>
      </c>
      <c r="K19" s="47">
        <f t="shared" si="5"/>
        <v>25880</v>
      </c>
      <c r="L19" s="47">
        <f t="shared" si="1"/>
        <v>298520</v>
      </c>
      <c r="M19" s="989"/>
    </row>
    <row r="20" spans="1:13" ht="33" customHeight="1">
      <c r="A20" s="48">
        <v>41548</v>
      </c>
      <c r="B20" s="46">
        <f>872+31</f>
        <v>903</v>
      </c>
      <c r="C20" s="46">
        <f>288950+8990</f>
        <v>297940</v>
      </c>
      <c r="D20" s="46">
        <f t="shared" si="2"/>
        <v>3749</v>
      </c>
      <c r="E20" s="46">
        <f t="shared" si="3"/>
        <v>1096460</v>
      </c>
      <c r="F20" s="46">
        <v>0</v>
      </c>
      <c r="G20" s="47"/>
      <c r="H20" s="47">
        <f t="shared" si="4"/>
        <v>272640</v>
      </c>
      <c r="I20" s="47">
        <v>0</v>
      </c>
      <c r="J20" s="47">
        <f t="shared" si="6"/>
        <v>500000</v>
      </c>
      <c r="K20" s="47">
        <f t="shared" si="5"/>
        <v>298520</v>
      </c>
      <c r="L20" s="47">
        <f t="shared" si="1"/>
        <v>596460</v>
      </c>
      <c r="M20" s="989" t="s">
        <v>943</v>
      </c>
    </row>
    <row r="21" spans="1:13" ht="33" customHeight="1">
      <c r="A21" s="48">
        <v>41579</v>
      </c>
      <c r="B21" s="46">
        <f>612+143</f>
        <v>755</v>
      </c>
      <c r="C21" s="46">
        <f>197320+45670</f>
        <v>242990</v>
      </c>
      <c r="D21" s="46">
        <f t="shared" si="2"/>
        <v>4504</v>
      </c>
      <c r="E21" s="46">
        <f t="shared" si="3"/>
        <v>1339450</v>
      </c>
      <c r="F21" s="46">
        <v>0</v>
      </c>
      <c r="G21" s="47"/>
      <c r="H21" s="47">
        <f t="shared" si="4"/>
        <v>297940</v>
      </c>
      <c r="I21" s="47">
        <v>0</v>
      </c>
      <c r="J21" s="47">
        <f t="shared" si="6"/>
        <v>500000</v>
      </c>
      <c r="K21" s="47">
        <f t="shared" si="5"/>
        <v>596460</v>
      </c>
      <c r="L21" s="47">
        <f t="shared" si="1"/>
        <v>839450</v>
      </c>
      <c r="M21" s="1333" t="s">
        <v>944</v>
      </c>
    </row>
    <row r="22" spans="1:13" ht="33" customHeight="1">
      <c r="A22" s="48">
        <v>41609</v>
      </c>
      <c r="B22" s="46">
        <f>526+191</f>
        <v>717</v>
      </c>
      <c r="C22" s="46">
        <f>168320+62380</f>
        <v>230700</v>
      </c>
      <c r="D22" s="46">
        <f t="shared" si="2"/>
        <v>5221</v>
      </c>
      <c r="E22" s="46">
        <f t="shared" si="3"/>
        <v>1570150</v>
      </c>
      <c r="F22" s="46">
        <v>0</v>
      </c>
      <c r="G22" s="47"/>
      <c r="H22" s="47">
        <f t="shared" si="4"/>
        <v>242990</v>
      </c>
      <c r="I22" s="47">
        <v>500000</v>
      </c>
      <c r="J22" s="47">
        <f t="shared" si="6"/>
        <v>1000000</v>
      </c>
      <c r="K22" s="47">
        <f t="shared" si="5"/>
        <v>339450</v>
      </c>
      <c r="L22" s="47">
        <f t="shared" si="1"/>
        <v>570150</v>
      </c>
      <c r="M22" s="989"/>
    </row>
    <row r="23" spans="1:13" ht="33" customHeight="1">
      <c r="A23" s="48">
        <v>41640</v>
      </c>
      <c r="B23" s="46">
        <f>468.5+89</f>
        <v>557.5</v>
      </c>
      <c r="C23" s="46">
        <f>149920+29200</f>
        <v>179120</v>
      </c>
      <c r="D23" s="46">
        <f t="shared" si="2"/>
        <v>5778.5</v>
      </c>
      <c r="E23" s="46">
        <f t="shared" si="3"/>
        <v>1749270</v>
      </c>
      <c r="F23" s="46">
        <v>0</v>
      </c>
      <c r="G23" s="47"/>
      <c r="H23" s="47">
        <f t="shared" si="4"/>
        <v>230700</v>
      </c>
      <c r="I23" s="47">
        <v>304592</v>
      </c>
      <c r="J23" s="47">
        <f t="shared" si="6"/>
        <v>1304592</v>
      </c>
      <c r="K23" s="47">
        <f t="shared" si="5"/>
        <v>265558</v>
      </c>
      <c r="L23" s="47">
        <f t="shared" si="1"/>
        <v>444678</v>
      </c>
      <c r="M23" s="989"/>
    </row>
    <row r="24" spans="1:13" ht="33" customHeight="1">
      <c r="A24" s="48">
        <v>41671</v>
      </c>
      <c r="B24" s="46">
        <v>18</v>
      </c>
      <c r="C24" s="46">
        <v>5800</v>
      </c>
      <c r="D24" s="46">
        <f t="shared" si="2"/>
        <v>5796.5</v>
      </c>
      <c r="E24" s="46">
        <f t="shared" si="3"/>
        <v>1755070</v>
      </c>
      <c r="F24" s="46">
        <v>0</v>
      </c>
      <c r="G24" s="47"/>
      <c r="H24" s="47">
        <f t="shared" si="4"/>
        <v>179120</v>
      </c>
      <c r="I24" s="47">
        <v>0</v>
      </c>
      <c r="J24" s="47">
        <f t="shared" si="6"/>
        <v>1304592</v>
      </c>
      <c r="K24" s="47">
        <f t="shared" si="5"/>
        <v>444678</v>
      </c>
      <c r="L24" s="47">
        <f t="shared" si="1"/>
        <v>450478</v>
      </c>
      <c r="M24" s="989"/>
    </row>
    <row r="25" spans="1:13" ht="33" customHeight="1">
      <c r="A25" s="48">
        <v>41699</v>
      </c>
      <c r="B25" s="46">
        <f>148.5+4.5</f>
        <v>153</v>
      </c>
      <c r="C25" s="46">
        <f>52668+1395</f>
        <v>54063</v>
      </c>
      <c r="D25" s="46">
        <f t="shared" si="2"/>
        <v>5949.5</v>
      </c>
      <c r="E25" s="46">
        <f t="shared" si="3"/>
        <v>1809133</v>
      </c>
      <c r="F25" s="46">
        <v>0</v>
      </c>
      <c r="G25" s="47"/>
      <c r="H25" s="47">
        <f t="shared" si="4"/>
        <v>5800</v>
      </c>
      <c r="I25" s="47">
        <v>0</v>
      </c>
      <c r="J25" s="47">
        <f t="shared" si="6"/>
        <v>1304592</v>
      </c>
      <c r="K25" s="47">
        <f t="shared" si="5"/>
        <v>450478</v>
      </c>
      <c r="L25" s="47">
        <f t="shared" si="1"/>
        <v>504541</v>
      </c>
      <c r="M25" s="989"/>
    </row>
    <row r="26" spans="1:13" ht="33" customHeight="1">
      <c r="A26" s="1337">
        <v>41730</v>
      </c>
      <c r="B26" s="46">
        <v>0</v>
      </c>
      <c r="C26" s="46">
        <v>0</v>
      </c>
      <c r="D26" s="46">
        <f t="shared" si="2"/>
        <v>5949.5</v>
      </c>
      <c r="E26" s="46">
        <f t="shared" si="3"/>
        <v>1809133</v>
      </c>
      <c r="F26" s="46">
        <v>0</v>
      </c>
      <c r="G26" s="5"/>
      <c r="H26" s="47">
        <f t="shared" si="4"/>
        <v>54063</v>
      </c>
      <c r="I26" s="47"/>
      <c r="J26" s="47">
        <f t="shared" si="6"/>
        <v>1304592</v>
      </c>
      <c r="K26" s="47">
        <f t="shared" si="5"/>
        <v>504541</v>
      </c>
      <c r="L26" s="47">
        <f t="shared" si="1"/>
        <v>504541</v>
      </c>
      <c r="M26" s="1338" t="s">
        <v>945</v>
      </c>
    </row>
    <row r="27" spans="1:13" ht="33" customHeight="1">
      <c r="A27" s="1337">
        <v>41760</v>
      </c>
      <c r="B27" s="46">
        <v>0</v>
      </c>
      <c r="C27" s="46">
        <v>0</v>
      </c>
      <c r="D27" s="46">
        <f t="shared" si="2"/>
        <v>5949.5</v>
      </c>
      <c r="E27" s="46">
        <f t="shared" si="3"/>
        <v>1809133</v>
      </c>
      <c r="F27" s="46">
        <v>0</v>
      </c>
      <c r="G27" s="47"/>
      <c r="H27" s="47">
        <f t="shared" si="4"/>
        <v>0</v>
      </c>
      <c r="I27" s="47"/>
      <c r="J27" s="47">
        <f t="shared" si="6"/>
        <v>1304592</v>
      </c>
      <c r="K27" s="47">
        <f t="shared" si="5"/>
        <v>504541</v>
      </c>
      <c r="L27" s="47">
        <f t="shared" si="1"/>
        <v>504541</v>
      </c>
      <c r="M27" s="989" t="s">
        <v>946</v>
      </c>
    </row>
    <row r="28" spans="1:13" ht="33" customHeight="1">
      <c r="A28" s="1330">
        <v>41791</v>
      </c>
      <c r="B28" s="180">
        <v>28</v>
      </c>
      <c r="C28" s="181">
        <v>9300</v>
      </c>
      <c r="D28" s="180">
        <f t="shared" si="2"/>
        <v>5977.5</v>
      </c>
      <c r="E28" s="180">
        <f t="shared" si="3"/>
        <v>1818433</v>
      </c>
      <c r="F28" s="180">
        <v>0</v>
      </c>
      <c r="G28" s="181"/>
      <c r="H28" s="181">
        <f t="shared" si="4"/>
        <v>0</v>
      </c>
      <c r="I28" s="181"/>
      <c r="J28" s="181">
        <f t="shared" si="6"/>
        <v>1304592</v>
      </c>
      <c r="K28" s="181">
        <f t="shared" si="5"/>
        <v>504541</v>
      </c>
      <c r="L28" s="181">
        <f t="shared" si="1"/>
        <v>513841</v>
      </c>
      <c r="M28" s="990"/>
    </row>
    <row r="29" spans="1:13" ht="33" customHeight="1">
      <c r="A29" s="1330">
        <v>41821</v>
      </c>
      <c r="B29" s="180">
        <v>46</v>
      </c>
      <c r="C29" s="180">
        <v>14720</v>
      </c>
      <c r="D29" s="180">
        <f t="shared" si="2"/>
        <v>6023.5</v>
      </c>
      <c r="E29" s="180">
        <f t="shared" si="3"/>
        <v>1833153</v>
      </c>
      <c r="F29" s="180">
        <v>0</v>
      </c>
      <c r="G29" s="181"/>
      <c r="H29" s="181">
        <f t="shared" si="4"/>
        <v>9300</v>
      </c>
      <c r="I29" s="181"/>
      <c r="J29" s="181">
        <f t="shared" si="6"/>
        <v>1304592</v>
      </c>
      <c r="K29" s="181">
        <f t="shared" si="5"/>
        <v>513841</v>
      </c>
      <c r="L29" s="181">
        <f t="shared" si="1"/>
        <v>528561</v>
      </c>
      <c r="M29" s="990"/>
    </row>
    <row r="30" spans="1:13" ht="33" customHeight="1">
      <c r="A30" s="1330">
        <v>41852</v>
      </c>
      <c r="B30" s="340">
        <v>108</v>
      </c>
      <c r="C30" s="340">
        <v>34855</v>
      </c>
      <c r="D30" s="180">
        <f t="shared" si="2"/>
        <v>6131.5</v>
      </c>
      <c r="E30" s="180">
        <f t="shared" si="3"/>
        <v>1868008</v>
      </c>
      <c r="F30" s="180">
        <v>0</v>
      </c>
      <c r="G30" s="457"/>
      <c r="H30" s="181">
        <f t="shared" si="4"/>
        <v>14720</v>
      </c>
      <c r="I30" s="457">
        <v>463675.5</v>
      </c>
      <c r="J30" s="181">
        <f t="shared" si="6"/>
        <v>1768267.5</v>
      </c>
      <c r="K30" s="181">
        <f t="shared" si="5"/>
        <v>64885.5</v>
      </c>
      <c r="L30" s="181">
        <f t="shared" si="1"/>
        <v>99740.5</v>
      </c>
      <c r="M30" s="992" t="s">
        <v>947</v>
      </c>
    </row>
    <row r="31" spans="1:13" ht="33" customHeight="1">
      <c r="A31" s="1330">
        <v>41883</v>
      </c>
      <c r="B31" s="340">
        <v>22</v>
      </c>
      <c r="C31" s="340">
        <v>6820</v>
      </c>
      <c r="D31" s="180">
        <f t="shared" si="2"/>
        <v>6153.5</v>
      </c>
      <c r="E31" s="180">
        <f t="shared" si="3"/>
        <v>1874828</v>
      </c>
      <c r="F31" s="180">
        <v>0</v>
      </c>
      <c r="G31" s="457"/>
      <c r="H31" s="181">
        <f t="shared" si="4"/>
        <v>34855</v>
      </c>
      <c r="I31" s="181">
        <v>162395</v>
      </c>
      <c r="J31" s="181">
        <f t="shared" si="6"/>
        <v>1930662.5</v>
      </c>
      <c r="K31" s="181">
        <f t="shared" si="5"/>
        <v>-62654.5</v>
      </c>
      <c r="L31" s="181">
        <f t="shared" si="1"/>
        <v>-55834.5</v>
      </c>
      <c r="M31" s="993" t="s">
        <v>948</v>
      </c>
    </row>
    <row r="32" spans="1:13" ht="33" customHeight="1">
      <c r="A32" s="1330">
        <v>41913</v>
      </c>
      <c r="B32" s="340">
        <v>252</v>
      </c>
      <c r="C32" s="340">
        <v>80640</v>
      </c>
      <c r="D32" s="180">
        <f t="shared" si="2"/>
        <v>6405.5</v>
      </c>
      <c r="E32" s="180">
        <f t="shared" si="3"/>
        <v>1955468</v>
      </c>
      <c r="F32" s="340"/>
      <c r="G32" s="457"/>
      <c r="H32" s="181">
        <f t="shared" si="4"/>
        <v>6820</v>
      </c>
      <c r="I32" s="457"/>
      <c r="J32" s="181">
        <f t="shared" si="6"/>
        <v>1930662.5</v>
      </c>
      <c r="K32" s="181">
        <f t="shared" si="5"/>
        <v>-55834.5</v>
      </c>
      <c r="L32" s="181">
        <f t="shared" si="1"/>
        <v>24805.5</v>
      </c>
      <c r="M32" s="993"/>
    </row>
    <row r="33" spans="1:13" ht="33" customHeight="1">
      <c r="A33" s="1330">
        <v>41944</v>
      </c>
      <c r="B33" s="340">
        <v>0</v>
      </c>
      <c r="C33" s="340">
        <v>0</v>
      </c>
      <c r="D33" s="180">
        <f t="shared" si="2"/>
        <v>6405.5</v>
      </c>
      <c r="E33" s="180">
        <f t="shared" si="3"/>
        <v>1955468</v>
      </c>
      <c r="F33" s="340"/>
      <c r="G33" s="457"/>
      <c r="H33" s="181">
        <f t="shared" si="4"/>
        <v>80640</v>
      </c>
      <c r="I33" s="457"/>
      <c r="J33" s="181">
        <f t="shared" si="6"/>
        <v>1930662.5</v>
      </c>
      <c r="K33" s="181">
        <f t="shared" si="5"/>
        <v>24805.5</v>
      </c>
      <c r="L33" s="181">
        <f t="shared" si="1"/>
        <v>24805.5</v>
      </c>
      <c r="M33" s="993"/>
    </row>
    <row r="34" spans="1:13" ht="33" customHeight="1">
      <c r="A34" s="1330">
        <v>41974</v>
      </c>
      <c r="B34" s="340">
        <v>0</v>
      </c>
      <c r="C34" s="340">
        <v>0</v>
      </c>
      <c r="D34" s="180">
        <f t="shared" si="2"/>
        <v>6405.5</v>
      </c>
      <c r="E34" s="180">
        <f t="shared" si="3"/>
        <v>1955468</v>
      </c>
      <c r="F34" s="340"/>
      <c r="G34" s="457"/>
      <c r="H34" s="181">
        <f t="shared" si="4"/>
        <v>0</v>
      </c>
      <c r="I34" s="457">
        <v>24805.5</v>
      </c>
      <c r="J34" s="181">
        <f t="shared" si="6"/>
        <v>1955468</v>
      </c>
      <c r="K34" s="181">
        <f t="shared" si="5"/>
        <v>0</v>
      </c>
      <c r="L34" s="181">
        <f t="shared" si="1"/>
        <v>0</v>
      </c>
      <c r="M34" s="993" t="s">
        <v>949</v>
      </c>
    </row>
    <row r="35" spans="1:13" ht="24" customHeight="1">
      <c r="A35" s="1032" t="s">
        <v>950</v>
      </c>
      <c r="B35" s="1033"/>
      <c r="C35" s="1775" t="s">
        <v>951</v>
      </c>
      <c r="D35" s="1775"/>
      <c r="E35" s="1034" t="s">
        <v>236</v>
      </c>
      <c r="F35" s="1776"/>
      <c r="G35" s="1776"/>
      <c r="H35" s="1776"/>
      <c r="I35" s="531" t="s">
        <v>237</v>
      </c>
      <c r="J35" s="1777" t="s">
        <v>952</v>
      </c>
      <c r="K35" s="1777"/>
      <c r="L35" s="1777"/>
      <c r="M35" s="1339" t="s">
        <v>924</v>
      </c>
    </row>
    <row r="36" spans="1:13" ht="29.1" customHeight="1">
      <c r="A36" s="39" t="s">
        <v>240</v>
      </c>
      <c r="B36" s="1637" t="s">
        <v>925</v>
      </c>
      <c r="C36" s="1637"/>
      <c r="D36" s="41" t="s">
        <v>242</v>
      </c>
      <c r="E36" s="1746" t="s">
        <v>925</v>
      </c>
      <c r="F36" s="1746"/>
      <c r="G36" s="1746"/>
      <c r="H36" s="1746"/>
      <c r="I36" s="41" t="s">
        <v>243</v>
      </c>
      <c r="J36" s="1647" t="s">
        <v>953</v>
      </c>
      <c r="K36" s="1647"/>
      <c r="L36" s="177" t="s">
        <v>245</v>
      </c>
      <c r="M36" s="1083" t="s">
        <v>750</v>
      </c>
    </row>
    <row r="37" spans="1:13" ht="47.1" customHeight="1">
      <c r="A37" s="39" t="s">
        <v>247</v>
      </c>
      <c r="B37" s="1788" t="s">
        <v>954</v>
      </c>
      <c r="C37" s="1788"/>
      <c r="D37" s="41" t="s">
        <v>249</v>
      </c>
      <c r="E37" s="43" t="s">
        <v>955</v>
      </c>
      <c r="F37" s="41" t="s">
        <v>251</v>
      </c>
      <c r="G37" s="41"/>
      <c r="H37" s="177" t="s">
        <v>252</v>
      </c>
      <c r="I37" s="1332" t="s">
        <v>956</v>
      </c>
      <c r="J37" s="91" t="s">
        <v>253</v>
      </c>
      <c r="K37" s="15" t="s">
        <v>957</v>
      </c>
      <c r="L37" s="15" t="s">
        <v>255</v>
      </c>
      <c r="M37" s="92" t="s">
        <v>958</v>
      </c>
    </row>
    <row r="38" spans="1:13" ht="26.1" customHeight="1">
      <c r="A38" s="39" t="s">
        <v>937</v>
      </c>
      <c r="B38" s="1746" t="s">
        <v>959</v>
      </c>
      <c r="C38" s="1746"/>
      <c r="D38" s="1746"/>
      <c r="E38" s="1746"/>
      <c r="F38" s="1746"/>
      <c r="G38" s="1746"/>
      <c r="H38" s="1746"/>
      <c r="I38" s="1746"/>
      <c r="J38" s="1746"/>
      <c r="K38" s="91"/>
      <c r="L38" s="91"/>
      <c r="M38" s="1340"/>
    </row>
    <row r="39" spans="1:13" ht="39" customHeight="1">
      <c r="A39" s="1329" t="s">
        <v>260</v>
      </c>
      <c r="B39" s="1764" t="s">
        <v>960</v>
      </c>
      <c r="C39" s="1764"/>
      <c r="D39" s="1764"/>
      <c r="E39" s="1764"/>
      <c r="F39" s="1764"/>
      <c r="G39" s="1764"/>
      <c r="H39" s="1764"/>
      <c r="I39" s="1764" t="s">
        <v>961</v>
      </c>
      <c r="J39" s="1764"/>
      <c r="K39" s="1764"/>
      <c r="L39" s="1784"/>
      <c r="M39" s="1785"/>
    </row>
    <row r="40" spans="1:13" ht="30.95" customHeight="1">
      <c r="A40" s="39" t="s">
        <v>258</v>
      </c>
      <c r="B40" s="1765"/>
      <c r="C40" s="1765"/>
      <c r="D40" s="1765"/>
      <c r="E40" s="1765"/>
      <c r="F40" s="1765"/>
      <c r="G40" s="1765"/>
      <c r="H40" s="178"/>
      <c r="I40" s="178"/>
      <c r="J40" s="178"/>
      <c r="K40" s="178"/>
      <c r="L40" s="178"/>
      <c r="M40" s="643"/>
    </row>
    <row r="41" spans="1:13" ht="30.75">
      <c r="A41" s="19" t="s">
        <v>266</v>
      </c>
      <c r="B41" s="20" t="s">
        <v>267</v>
      </c>
      <c r="C41" s="20" t="s">
        <v>268</v>
      </c>
      <c r="D41" s="20" t="s">
        <v>269</v>
      </c>
      <c r="E41" s="20" t="s">
        <v>270</v>
      </c>
      <c r="F41" s="20" t="s">
        <v>271</v>
      </c>
      <c r="G41" s="21" t="s">
        <v>272</v>
      </c>
      <c r="H41" s="22" t="s">
        <v>273</v>
      </c>
      <c r="I41" s="20" t="s">
        <v>274</v>
      </c>
      <c r="J41" s="70" t="s">
        <v>275</v>
      </c>
      <c r="K41" s="70" t="s">
        <v>276</v>
      </c>
      <c r="L41" s="20" t="s">
        <v>277</v>
      </c>
      <c r="M41" s="71" t="s">
        <v>278</v>
      </c>
    </row>
    <row r="42" spans="1:13" ht="29.1" customHeight="1">
      <c r="A42" s="48">
        <v>40969</v>
      </c>
      <c r="B42" s="46">
        <v>53</v>
      </c>
      <c r="C42" s="46">
        <v>12970</v>
      </c>
      <c r="D42" s="46">
        <f>B42</f>
        <v>53</v>
      </c>
      <c r="E42" s="46">
        <f>C42</f>
        <v>12970</v>
      </c>
      <c r="F42" s="46">
        <f t="shared" ref="F42:F65" si="7">8000-D42</f>
        <v>7947</v>
      </c>
      <c r="G42" s="47"/>
      <c r="H42" s="47"/>
      <c r="I42" s="47"/>
      <c r="J42" s="47"/>
      <c r="K42" s="47"/>
      <c r="L42" s="47">
        <f t="shared" ref="L42:L65" si="8">E42-J42</f>
        <v>12970</v>
      </c>
      <c r="M42" s="1333"/>
    </row>
    <row r="43" spans="1:13" ht="29.1" customHeight="1">
      <c r="A43" s="48">
        <v>41000</v>
      </c>
      <c r="B43" s="46">
        <v>339</v>
      </c>
      <c r="C43" s="46">
        <v>85065</v>
      </c>
      <c r="D43" s="46">
        <f t="shared" ref="D43:D65" si="9">D42+B43</f>
        <v>392</v>
      </c>
      <c r="E43" s="46">
        <f t="shared" ref="E43:E65" si="10">E42+C43</f>
        <v>98035</v>
      </c>
      <c r="F43" s="46">
        <f t="shared" si="7"/>
        <v>7608</v>
      </c>
      <c r="G43" s="47"/>
      <c r="H43" s="47">
        <f t="shared" ref="H43:H65" si="11">C42</f>
        <v>12970</v>
      </c>
      <c r="I43" s="47"/>
      <c r="J43" s="47"/>
      <c r="K43" s="47">
        <f t="shared" ref="K43:K65" si="12">K42+H43-I43</f>
        <v>12970</v>
      </c>
      <c r="L43" s="47">
        <f t="shared" si="8"/>
        <v>98035</v>
      </c>
      <c r="M43" s="989"/>
    </row>
    <row r="44" spans="1:13" ht="29.1" customHeight="1">
      <c r="A44" s="48">
        <v>41030</v>
      </c>
      <c r="B44" s="46">
        <v>1157.5</v>
      </c>
      <c r="C44" s="46">
        <v>292810</v>
      </c>
      <c r="D44" s="46">
        <f t="shared" si="9"/>
        <v>1549.5</v>
      </c>
      <c r="E44" s="46">
        <f t="shared" si="10"/>
        <v>390845</v>
      </c>
      <c r="F44" s="46">
        <f t="shared" si="7"/>
        <v>6450.5</v>
      </c>
      <c r="G44" s="47"/>
      <c r="H44" s="47">
        <f t="shared" si="11"/>
        <v>85065</v>
      </c>
      <c r="I44" s="47"/>
      <c r="J44" s="47"/>
      <c r="K44" s="47">
        <f t="shared" si="12"/>
        <v>98035</v>
      </c>
      <c r="L44" s="47">
        <f t="shared" si="8"/>
        <v>390845</v>
      </c>
      <c r="M44" s="989" t="s">
        <v>962</v>
      </c>
    </row>
    <row r="45" spans="1:13" ht="29.1" customHeight="1">
      <c r="A45" s="48">
        <v>41061</v>
      </c>
      <c r="B45" s="46">
        <v>1235</v>
      </c>
      <c r="C45" s="46">
        <v>311490</v>
      </c>
      <c r="D45" s="46">
        <f t="shared" si="9"/>
        <v>2784.5</v>
      </c>
      <c r="E45" s="46">
        <f t="shared" si="10"/>
        <v>702335</v>
      </c>
      <c r="F45" s="46">
        <f t="shared" si="7"/>
        <v>5215.5</v>
      </c>
      <c r="G45" s="47"/>
      <c r="H45" s="47">
        <f t="shared" si="11"/>
        <v>292810</v>
      </c>
      <c r="I45" s="47">
        <v>98035</v>
      </c>
      <c r="J45" s="47">
        <f t="shared" ref="J45:J65" si="13">J44+I45</f>
        <v>98035</v>
      </c>
      <c r="K45" s="47">
        <f t="shared" si="12"/>
        <v>292810</v>
      </c>
      <c r="L45" s="47">
        <f t="shared" si="8"/>
        <v>604300</v>
      </c>
      <c r="M45" s="989" t="s">
        <v>963</v>
      </c>
    </row>
    <row r="46" spans="1:13" ht="29.1" customHeight="1">
      <c r="A46" s="48">
        <v>41091</v>
      </c>
      <c r="B46" s="46">
        <v>629</v>
      </c>
      <c r="C46" s="46">
        <v>157515</v>
      </c>
      <c r="D46" s="46">
        <f t="shared" si="9"/>
        <v>3413.5</v>
      </c>
      <c r="E46" s="46">
        <f t="shared" si="10"/>
        <v>859850</v>
      </c>
      <c r="F46" s="46">
        <f t="shared" si="7"/>
        <v>4586.5</v>
      </c>
      <c r="G46" s="47"/>
      <c r="H46" s="47">
        <f t="shared" si="11"/>
        <v>311490</v>
      </c>
      <c r="I46" s="47">
        <v>200000</v>
      </c>
      <c r="J46" s="47">
        <f t="shared" si="13"/>
        <v>298035</v>
      </c>
      <c r="K46" s="47">
        <f t="shared" si="12"/>
        <v>404300</v>
      </c>
      <c r="L46" s="47">
        <f t="shared" si="8"/>
        <v>561815</v>
      </c>
      <c r="M46" s="989" t="s">
        <v>964</v>
      </c>
    </row>
    <row r="47" spans="1:13" ht="29.1" customHeight="1">
      <c r="A47" s="48">
        <v>41122</v>
      </c>
      <c r="B47" s="46">
        <v>161</v>
      </c>
      <c r="C47" s="46">
        <v>40005</v>
      </c>
      <c r="D47" s="46">
        <f t="shared" si="9"/>
        <v>3574.5</v>
      </c>
      <c r="E47" s="46">
        <f t="shared" si="10"/>
        <v>899855</v>
      </c>
      <c r="F47" s="46">
        <f t="shared" si="7"/>
        <v>4425.5</v>
      </c>
      <c r="G47" s="47"/>
      <c r="H47" s="47">
        <f t="shared" si="11"/>
        <v>157515</v>
      </c>
      <c r="I47" s="47">
        <f>92810+50000</f>
        <v>142810</v>
      </c>
      <c r="J47" s="47">
        <f t="shared" si="13"/>
        <v>440845</v>
      </c>
      <c r="K47" s="47">
        <f t="shared" si="12"/>
        <v>419005</v>
      </c>
      <c r="L47" s="47">
        <f t="shared" si="8"/>
        <v>459010</v>
      </c>
      <c r="M47" s="989" t="s">
        <v>965</v>
      </c>
    </row>
    <row r="48" spans="1:13" ht="29.1" customHeight="1">
      <c r="A48" s="48">
        <v>41153</v>
      </c>
      <c r="B48" s="46">
        <v>33</v>
      </c>
      <c r="C48" s="46">
        <v>8910</v>
      </c>
      <c r="D48" s="46">
        <f t="shared" si="9"/>
        <v>3607.5</v>
      </c>
      <c r="E48" s="46">
        <f t="shared" si="10"/>
        <v>908765</v>
      </c>
      <c r="F48" s="46">
        <f t="shared" si="7"/>
        <v>4392.5</v>
      </c>
      <c r="G48" s="47"/>
      <c r="H48" s="47">
        <f t="shared" si="11"/>
        <v>40005</v>
      </c>
      <c r="I48" s="47">
        <v>100000</v>
      </c>
      <c r="J48" s="47">
        <f t="shared" si="13"/>
        <v>540845</v>
      </c>
      <c r="K48" s="47">
        <f t="shared" si="12"/>
        <v>359010</v>
      </c>
      <c r="L48" s="47">
        <f t="shared" si="8"/>
        <v>367920</v>
      </c>
      <c r="M48" s="989" t="s">
        <v>966</v>
      </c>
    </row>
    <row r="49" spans="1:13" ht="29.1" customHeight="1">
      <c r="A49" s="48">
        <v>41183</v>
      </c>
      <c r="B49" s="46">
        <v>7</v>
      </c>
      <c r="C49" s="46">
        <v>1750</v>
      </c>
      <c r="D49" s="46">
        <f t="shared" si="9"/>
        <v>3614.5</v>
      </c>
      <c r="E49" s="46">
        <f t="shared" si="10"/>
        <v>910515</v>
      </c>
      <c r="F49" s="46">
        <f t="shared" si="7"/>
        <v>4385.5</v>
      </c>
      <c r="G49" s="47"/>
      <c r="H49" s="47">
        <f t="shared" si="11"/>
        <v>8910</v>
      </c>
      <c r="I49" s="47">
        <v>100000</v>
      </c>
      <c r="J49" s="47">
        <f t="shared" si="13"/>
        <v>640845</v>
      </c>
      <c r="K49" s="47">
        <f t="shared" si="12"/>
        <v>267920</v>
      </c>
      <c r="L49" s="47">
        <f t="shared" si="8"/>
        <v>269670</v>
      </c>
      <c r="M49" s="989" t="s">
        <v>967</v>
      </c>
    </row>
    <row r="50" spans="1:13" ht="21" customHeight="1">
      <c r="A50" s="48">
        <v>41214</v>
      </c>
      <c r="B50" s="46">
        <v>0</v>
      </c>
      <c r="C50" s="46">
        <v>0</v>
      </c>
      <c r="D50" s="46">
        <f t="shared" si="9"/>
        <v>3614.5</v>
      </c>
      <c r="E50" s="46">
        <f t="shared" si="10"/>
        <v>910515</v>
      </c>
      <c r="F50" s="46">
        <f t="shared" si="7"/>
        <v>4385.5</v>
      </c>
      <c r="G50" s="47"/>
      <c r="H50" s="47">
        <f t="shared" si="11"/>
        <v>1750</v>
      </c>
      <c r="I50" s="47">
        <v>100000</v>
      </c>
      <c r="J50" s="47">
        <f t="shared" si="13"/>
        <v>740845</v>
      </c>
      <c r="K50" s="47">
        <f t="shared" si="12"/>
        <v>169670</v>
      </c>
      <c r="L50" s="47">
        <f t="shared" si="8"/>
        <v>169670</v>
      </c>
      <c r="M50" s="989"/>
    </row>
    <row r="51" spans="1:13" ht="21" customHeight="1">
      <c r="A51" s="48">
        <v>41244</v>
      </c>
      <c r="B51" s="46">
        <v>0</v>
      </c>
      <c r="C51" s="46">
        <v>0</v>
      </c>
      <c r="D51" s="46">
        <f t="shared" si="9"/>
        <v>3614.5</v>
      </c>
      <c r="E51" s="46">
        <f t="shared" si="10"/>
        <v>910515</v>
      </c>
      <c r="F51" s="46">
        <f t="shared" si="7"/>
        <v>4385.5</v>
      </c>
      <c r="G51" s="47"/>
      <c r="H51" s="47">
        <f t="shared" si="11"/>
        <v>0</v>
      </c>
      <c r="I51" s="47">
        <v>0</v>
      </c>
      <c r="J51" s="47">
        <f t="shared" si="13"/>
        <v>740845</v>
      </c>
      <c r="K51" s="47">
        <f t="shared" si="12"/>
        <v>169670</v>
      </c>
      <c r="L51" s="47">
        <f t="shared" si="8"/>
        <v>169670</v>
      </c>
      <c r="M51" s="989" t="s">
        <v>968</v>
      </c>
    </row>
    <row r="52" spans="1:13" ht="21" customHeight="1">
      <c r="A52" s="48">
        <v>41275</v>
      </c>
      <c r="B52" s="46">
        <v>0</v>
      </c>
      <c r="C52" s="46">
        <v>0</v>
      </c>
      <c r="D52" s="46">
        <f t="shared" si="9"/>
        <v>3614.5</v>
      </c>
      <c r="E52" s="46">
        <f t="shared" si="10"/>
        <v>910515</v>
      </c>
      <c r="F52" s="46">
        <f t="shared" si="7"/>
        <v>4385.5</v>
      </c>
      <c r="G52" s="47"/>
      <c r="H52" s="47">
        <f t="shared" si="11"/>
        <v>0</v>
      </c>
      <c r="I52" s="47">
        <v>169670</v>
      </c>
      <c r="J52" s="47">
        <f t="shared" si="13"/>
        <v>910515</v>
      </c>
      <c r="K52" s="47">
        <f t="shared" si="12"/>
        <v>0</v>
      </c>
      <c r="L52" s="47">
        <f t="shared" si="8"/>
        <v>0</v>
      </c>
      <c r="M52" s="989"/>
    </row>
    <row r="53" spans="1:13" ht="21" customHeight="1">
      <c r="A53" s="48">
        <v>41306</v>
      </c>
      <c r="B53" s="46">
        <v>0</v>
      </c>
      <c r="C53" s="46">
        <v>0</v>
      </c>
      <c r="D53" s="46">
        <f t="shared" si="9"/>
        <v>3614.5</v>
      </c>
      <c r="E53" s="46">
        <f t="shared" si="10"/>
        <v>910515</v>
      </c>
      <c r="F53" s="46">
        <f t="shared" si="7"/>
        <v>4385.5</v>
      </c>
      <c r="G53" s="47"/>
      <c r="H53" s="47">
        <f t="shared" si="11"/>
        <v>0</v>
      </c>
      <c r="I53" s="47">
        <v>0</v>
      </c>
      <c r="J53" s="47">
        <f t="shared" si="13"/>
        <v>910515</v>
      </c>
      <c r="K53" s="47">
        <f t="shared" si="12"/>
        <v>0</v>
      </c>
      <c r="L53" s="47">
        <f t="shared" si="8"/>
        <v>0</v>
      </c>
      <c r="M53" s="989"/>
    </row>
    <row r="54" spans="1:13" ht="21" customHeight="1">
      <c r="A54" s="48">
        <v>41334</v>
      </c>
      <c r="B54" s="46">
        <v>0</v>
      </c>
      <c r="C54" s="46">
        <v>0</v>
      </c>
      <c r="D54" s="46">
        <f t="shared" si="9"/>
        <v>3614.5</v>
      </c>
      <c r="E54" s="46">
        <f t="shared" si="10"/>
        <v>910515</v>
      </c>
      <c r="F54" s="46">
        <f t="shared" si="7"/>
        <v>4385.5</v>
      </c>
      <c r="G54" s="47"/>
      <c r="H54" s="47">
        <f t="shared" si="11"/>
        <v>0</v>
      </c>
      <c r="I54" s="47">
        <v>0</v>
      </c>
      <c r="J54" s="47">
        <f t="shared" si="13"/>
        <v>910515</v>
      </c>
      <c r="K54" s="47">
        <f t="shared" si="12"/>
        <v>0</v>
      </c>
      <c r="L54" s="47">
        <f t="shared" si="8"/>
        <v>0</v>
      </c>
      <c r="M54" s="989"/>
    </row>
    <row r="55" spans="1:13" ht="21" customHeight="1">
      <c r="A55" s="48">
        <v>41365</v>
      </c>
      <c r="B55" s="46">
        <v>95</v>
      </c>
      <c r="C55" s="46">
        <v>23470</v>
      </c>
      <c r="D55" s="46">
        <f t="shared" si="9"/>
        <v>3709.5</v>
      </c>
      <c r="E55" s="46">
        <f t="shared" si="10"/>
        <v>933985</v>
      </c>
      <c r="F55" s="46">
        <f t="shared" si="7"/>
        <v>4290.5</v>
      </c>
      <c r="G55" s="47"/>
      <c r="H55" s="47">
        <f t="shared" si="11"/>
        <v>0</v>
      </c>
      <c r="I55" s="47">
        <v>0</v>
      </c>
      <c r="J55" s="47">
        <f t="shared" si="13"/>
        <v>910515</v>
      </c>
      <c r="K55" s="47">
        <f t="shared" si="12"/>
        <v>0</v>
      </c>
      <c r="L55" s="47">
        <f t="shared" si="8"/>
        <v>23470</v>
      </c>
      <c r="M55" s="989"/>
    </row>
    <row r="56" spans="1:13" ht="21" customHeight="1">
      <c r="A56" s="48">
        <v>41395</v>
      </c>
      <c r="B56" s="46">
        <v>67</v>
      </c>
      <c r="C56" s="46">
        <v>17190</v>
      </c>
      <c r="D56" s="46">
        <f t="shared" si="9"/>
        <v>3776.5</v>
      </c>
      <c r="E56" s="46">
        <f t="shared" si="10"/>
        <v>951175</v>
      </c>
      <c r="F56" s="46">
        <f t="shared" si="7"/>
        <v>4223.5</v>
      </c>
      <c r="G56" s="47"/>
      <c r="H56" s="47">
        <f t="shared" si="11"/>
        <v>23470</v>
      </c>
      <c r="I56" s="47">
        <v>0</v>
      </c>
      <c r="J56" s="47">
        <f t="shared" si="13"/>
        <v>910515</v>
      </c>
      <c r="K56" s="47">
        <f t="shared" si="12"/>
        <v>23470</v>
      </c>
      <c r="L56" s="47">
        <f t="shared" si="8"/>
        <v>40660</v>
      </c>
      <c r="M56" s="989"/>
    </row>
    <row r="57" spans="1:13" ht="21" customHeight="1">
      <c r="A57" s="48">
        <v>41426</v>
      </c>
      <c r="B57" s="46">
        <v>0</v>
      </c>
      <c r="C57" s="46">
        <v>0</v>
      </c>
      <c r="D57" s="46">
        <f t="shared" si="9"/>
        <v>3776.5</v>
      </c>
      <c r="E57" s="46">
        <f t="shared" si="10"/>
        <v>951175</v>
      </c>
      <c r="F57" s="46">
        <f t="shared" si="7"/>
        <v>4223.5</v>
      </c>
      <c r="G57" s="47"/>
      <c r="H57" s="47">
        <f t="shared" si="11"/>
        <v>17190</v>
      </c>
      <c r="I57" s="47">
        <v>0</v>
      </c>
      <c r="J57" s="47">
        <f t="shared" si="13"/>
        <v>910515</v>
      </c>
      <c r="K57" s="47">
        <f t="shared" si="12"/>
        <v>40660</v>
      </c>
      <c r="L57" s="47">
        <f t="shared" si="8"/>
        <v>40660</v>
      </c>
      <c r="M57" s="989"/>
    </row>
    <row r="58" spans="1:13" ht="21" customHeight="1">
      <c r="A58" s="48">
        <v>41456</v>
      </c>
      <c r="B58" s="46">
        <v>168</v>
      </c>
      <c r="C58" s="46">
        <v>42000</v>
      </c>
      <c r="D58" s="46">
        <f t="shared" si="9"/>
        <v>3944.5</v>
      </c>
      <c r="E58" s="46">
        <f t="shared" si="10"/>
        <v>993175</v>
      </c>
      <c r="F58" s="46">
        <f t="shared" si="7"/>
        <v>4055.5</v>
      </c>
      <c r="G58" s="47"/>
      <c r="H58" s="47">
        <f t="shared" si="11"/>
        <v>0</v>
      </c>
      <c r="I58" s="47">
        <v>0</v>
      </c>
      <c r="J58" s="47">
        <f t="shared" si="13"/>
        <v>910515</v>
      </c>
      <c r="K58" s="47">
        <f t="shared" si="12"/>
        <v>40660</v>
      </c>
      <c r="L58" s="47">
        <f t="shared" si="8"/>
        <v>82660</v>
      </c>
      <c r="M58" s="989"/>
    </row>
    <row r="59" spans="1:13" ht="21" customHeight="1">
      <c r="A59" s="48">
        <v>41487</v>
      </c>
      <c r="B59" s="46">
        <v>0</v>
      </c>
      <c r="C59" s="46">
        <v>0</v>
      </c>
      <c r="D59" s="46">
        <f t="shared" si="9"/>
        <v>3944.5</v>
      </c>
      <c r="E59" s="46">
        <f t="shared" si="10"/>
        <v>993175</v>
      </c>
      <c r="F59" s="46">
        <f t="shared" si="7"/>
        <v>4055.5</v>
      </c>
      <c r="G59" s="47"/>
      <c r="H59" s="47">
        <f t="shared" si="11"/>
        <v>42000</v>
      </c>
      <c r="I59" s="47">
        <v>0</v>
      </c>
      <c r="J59" s="47">
        <f t="shared" si="13"/>
        <v>910515</v>
      </c>
      <c r="K59" s="47">
        <f t="shared" si="12"/>
        <v>82660</v>
      </c>
      <c r="L59" s="47">
        <f t="shared" si="8"/>
        <v>82660</v>
      </c>
      <c r="M59" s="989"/>
    </row>
    <row r="60" spans="1:13" ht="21" customHeight="1">
      <c r="A60" s="48">
        <v>41518</v>
      </c>
      <c r="B60" s="46">
        <v>0</v>
      </c>
      <c r="C60" s="46">
        <v>0</v>
      </c>
      <c r="D60" s="46">
        <f t="shared" si="9"/>
        <v>3944.5</v>
      </c>
      <c r="E60" s="46">
        <f t="shared" si="10"/>
        <v>993175</v>
      </c>
      <c r="F60" s="46">
        <f t="shared" si="7"/>
        <v>4055.5</v>
      </c>
      <c r="G60" s="47"/>
      <c r="H60" s="47">
        <f t="shared" si="11"/>
        <v>0</v>
      </c>
      <c r="I60" s="47">
        <v>0</v>
      </c>
      <c r="J60" s="47">
        <f t="shared" si="13"/>
        <v>910515</v>
      </c>
      <c r="K60" s="47">
        <f t="shared" si="12"/>
        <v>82660</v>
      </c>
      <c r="L60" s="47">
        <f t="shared" si="8"/>
        <v>82660</v>
      </c>
      <c r="M60" s="989"/>
    </row>
    <row r="61" spans="1:13" ht="21" customHeight="1">
      <c r="A61" s="48">
        <v>41548</v>
      </c>
      <c r="B61" s="46">
        <v>44</v>
      </c>
      <c r="C61" s="46">
        <v>13420</v>
      </c>
      <c r="D61" s="46">
        <f t="shared" si="9"/>
        <v>3988.5</v>
      </c>
      <c r="E61" s="46">
        <f t="shared" si="10"/>
        <v>1006595</v>
      </c>
      <c r="F61" s="46">
        <f t="shared" si="7"/>
        <v>4011.5</v>
      </c>
      <c r="G61" s="47"/>
      <c r="H61" s="47">
        <f t="shared" si="11"/>
        <v>0</v>
      </c>
      <c r="I61" s="47">
        <v>0</v>
      </c>
      <c r="J61" s="47">
        <f t="shared" si="13"/>
        <v>910515</v>
      </c>
      <c r="K61" s="47">
        <f t="shared" si="12"/>
        <v>82660</v>
      </c>
      <c r="L61" s="47">
        <f t="shared" si="8"/>
        <v>96080</v>
      </c>
      <c r="M61" s="989"/>
    </row>
    <row r="62" spans="1:13" ht="21" customHeight="1">
      <c r="A62" s="48">
        <v>41579</v>
      </c>
      <c r="B62" s="46">
        <v>6</v>
      </c>
      <c r="C62" s="46">
        <v>1830</v>
      </c>
      <c r="D62" s="46">
        <f t="shared" si="9"/>
        <v>3994.5</v>
      </c>
      <c r="E62" s="46">
        <f t="shared" si="10"/>
        <v>1008425</v>
      </c>
      <c r="F62" s="46">
        <f t="shared" si="7"/>
        <v>4005.5</v>
      </c>
      <c r="G62" s="47"/>
      <c r="H62" s="47">
        <f t="shared" si="11"/>
        <v>13420</v>
      </c>
      <c r="I62" s="47">
        <v>0</v>
      </c>
      <c r="J62" s="47">
        <f t="shared" si="13"/>
        <v>910515</v>
      </c>
      <c r="K62" s="47">
        <f t="shared" si="12"/>
        <v>96080</v>
      </c>
      <c r="L62" s="47">
        <f t="shared" si="8"/>
        <v>97910</v>
      </c>
      <c r="M62" s="989"/>
    </row>
    <row r="63" spans="1:13" ht="21" customHeight="1">
      <c r="A63" s="48">
        <v>41609</v>
      </c>
      <c r="B63" s="46">
        <v>0</v>
      </c>
      <c r="C63" s="46">
        <v>0</v>
      </c>
      <c r="D63" s="46">
        <f t="shared" si="9"/>
        <v>3994.5</v>
      </c>
      <c r="E63" s="46">
        <f t="shared" si="10"/>
        <v>1008425</v>
      </c>
      <c r="F63" s="46">
        <f t="shared" si="7"/>
        <v>4005.5</v>
      </c>
      <c r="G63" s="47"/>
      <c r="H63" s="47">
        <f t="shared" si="11"/>
        <v>1830</v>
      </c>
      <c r="I63" s="47">
        <v>0</v>
      </c>
      <c r="J63" s="47">
        <f t="shared" si="13"/>
        <v>910515</v>
      </c>
      <c r="K63" s="47">
        <f t="shared" si="12"/>
        <v>97910</v>
      </c>
      <c r="L63" s="47">
        <f t="shared" si="8"/>
        <v>97910</v>
      </c>
      <c r="M63" s="989"/>
    </row>
    <row r="64" spans="1:13" ht="21" customHeight="1">
      <c r="A64" s="48">
        <v>41640</v>
      </c>
      <c r="B64" s="46">
        <v>0</v>
      </c>
      <c r="C64" s="46">
        <v>0</v>
      </c>
      <c r="D64" s="46">
        <f t="shared" si="9"/>
        <v>3994.5</v>
      </c>
      <c r="E64" s="46">
        <f t="shared" si="10"/>
        <v>1008425</v>
      </c>
      <c r="F64" s="46">
        <f t="shared" si="7"/>
        <v>4005.5</v>
      </c>
      <c r="G64" s="47"/>
      <c r="H64" s="47">
        <f t="shared" si="11"/>
        <v>0</v>
      </c>
      <c r="I64" s="47">
        <v>0</v>
      </c>
      <c r="J64" s="47">
        <f t="shared" si="13"/>
        <v>910515</v>
      </c>
      <c r="K64" s="47">
        <f t="shared" si="12"/>
        <v>97910</v>
      </c>
      <c r="L64" s="47">
        <f t="shared" si="8"/>
        <v>97910</v>
      </c>
      <c r="M64" s="989"/>
    </row>
    <row r="65" spans="1:13" ht="42.95" customHeight="1">
      <c r="A65" s="52">
        <v>41671</v>
      </c>
      <c r="B65" s="46">
        <v>0</v>
      </c>
      <c r="C65" s="46">
        <v>0</v>
      </c>
      <c r="D65" s="46">
        <f t="shared" si="9"/>
        <v>3994.5</v>
      </c>
      <c r="E65" s="46">
        <f t="shared" si="10"/>
        <v>1008425</v>
      </c>
      <c r="F65" s="46">
        <f t="shared" si="7"/>
        <v>4005.5</v>
      </c>
      <c r="G65" s="47"/>
      <c r="H65" s="47">
        <f t="shared" si="11"/>
        <v>0</v>
      </c>
      <c r="I65" s="47">
        <v>96909.5</v>
      </c>
      <c r="J65" s="47">
        <f t="shared" si="13"/>
        <v>1007424.5</v>
      </c>
      <c r="K65" s="54">
        <f t="shared" si="12"/>
        <v>1000.5</v>
      </c>
      <c r="L65" s="47">
        <f t="shared" si="8"/>
        <v>1000.5</v>
      </c>
      <c r="M65" s="1341" t="s">
        <v>969</v>
      </c>
    </row>
    <row r="66" spans="1:13" ht="27" customHeight="1">
      <c r="A66" s="34" t="s">
        <v>970</v>
      </c>
      <c r="B66" s="35">
        <v>41346</v>
      </c>
      <c r="C66" s="1789" t="s">
        <v>971</v>
      </c>
      <c r="D66" s="1789"/>
      <c r="E66" s="38" t="s">
        <v>236</v>
      </c>
      <c r="F66" s="1790"/>
      <c r="G66" s="1790"/>
      <c r="H66" s="1790"/>
      <c r="I66" s="57" t="s">
        <v>237</v>
      </c>
      <c r="J66" s="1791" t="s">
        <v>972</v>
      </c>
      <c r="K66" s="1791"/>
      <c r="L66" s="1791"/>
      <c r="M66" s="460"/>
    </row>
    <row r="67" spans="1:13" ht="32.1" customHeight="1">
      <c r="A67" s="39" t="s">
        <v>240</v>
      </c>
      <c r="B67" s="1637" t="s">
        <v>925</v>
      </c>
      <c r="C67" s="1637"/>
      <c r="D67" s="41" t="s">
        <v>242</v>
      </c>
      <c r="E67" s="1746" t="s">
        <v>925</v>
      </c>
      <c r="F67" s="1746"/>
      <c r="G67" s="1746"/>
      <c r="H67" s="1746"/>
      <c r="I67" s="41" t="s">
        <v>243</v>
      </c>
      <c r="J67" s="1647" t="s">
        <v>973</v>
      </c>
      <c r="K67" s="1647"/>
      <c r="L67" s="177" t="s">
        <v>245</v>
      </c>
      <c r="M67" s="1083"/>
    </row>
    <row r="68" spans="1:13" ht="27" customHeight="1">
      <c r="A68" s="39" t="s">
        <v>247</v>
      </c>
      <c r="B68" s="1637" t="s">
        <v>974</v>
      </c>
      <c r="C68" s="1637"/>
      <c r="D68" s="41" t="s">
        <v>249</v>
      </c>
      <c r="E68" s="43" t="s">
        <v>323</v>
      </c>
      <c r="F68" s="41" t="s">
        <v>251</v>
      </c>
      <c r="G68" s="41" t="s">
        <v>975</v>
      </c>
      <c r="H68" s="177" t="s">
        <v>252</v>
      </c>
      <c r="I68" s="1332"/>
      <c r="J68" s="91" t="s">
        <v>253</v>
      </c>
      <c r="K68" s="15" t="s">
        <v>976</v>
      </c>
      <c r="L68" s="15" t="s">
        <v>255</v>
      </c>
      <c r="M68" s="92"/>
    </row>
    <row r="69" spans="1:13" ht="45" customHeight="1">
      <c r="A69" s="1329" t="s">
        <v>260</v>
      </c>
      <c r="B69" s="1764" t="s">
        <v>960</v>
      </c>
      <c r="C69" s="1764"/>
      <c r="D69" s="1764"/>
      <c r="E69" s="1764"/>
      <c r="F69" s="1764"/>
      <c r="G69" s="1764"/>
      <c r="H69" s="1764"/>
      <c r="I69" s="1764" t="s">
        <v>961</v>
      </c>
      <c r="J69" s="1764"/>
      <c r="K69" s="1764"/>
      <c r="L69" s="1784"/>
      <c r="M69" s="1785"/>
    </row>
    <row r="70" spans="1:13" ht="36" customHeight="1">
      <c r="A70" s="39" t="s">
        <v>258</v>
      </c>
      <c r="B70" s="1765"/>
      <c r="C70" s="1765"/>
      <c r="D70" s="1765"/>
      <c r="E70" s="1765"/>
      <c r="F70" s="1765"/>
      <c r="G70" s="1765"/>
      <c r="H70" s="178"/>
      <c r="I70" s="178"/>
      <c r="J70" s="178"/>
      <c r="K70" s="178"/>
      <c r="L70" s="178"/>
      <c r="M70" s="643"/>
    </row>
    <row r="71" spans="1:13" ht="39" customHeight="1">
      <c r="A71" s="19" t="s">
        <v>266</v>
      </c>
      <c r="B71" s="20" t="s">
        <v>267</v>
      </c>
      <c r="C71" s="20" t="s">
        <v>268</v>
      </c>
      <c r="D71" s="20" t="s">
        <v>269</v>
      </c>
      <c r="E71" s="20" t="s">
        <v>270</v>
      </c>
      <c r="F71" s="20" t="s">
        <v>271</v>
      </c>
      <c r="G71" s="21" t="s">
        <v>272</v>
      </c>
      <c r="H71" s="22" t="s">
        <v>273</v>
      </c>
      <c r="I71" s="20" t="s">
        <v>274</v>
      </c>
      <c r="J71" s="70" t="s">
        <v>275</v>
      </c>
      <c r="K71" s="70" t="s">
        <v>276</v>
      </c>
      <c r="L71" s="20" t="s">
        <v>277</v>
      </c>
      <c r="M71" s="71" t="s">
        <v>278</v>
      </c>
    </row>
    <row r="72" spans="1:13" ht="26.1" customHeight="1">
      <c r="A72" s="48">
        <v>41275</v>
      </c>
      <c r="B72" s="46">
        <v>36.5</v>
      </c>
      <c r="C72" s="46">
        <v>9157.5</v>
      </c>
      <c r="D72" s="46">
        <f>B72</f>
        <v>36.5</v>
      </c>
      <c r="E72" s="46">
        <f>C72</f>
        <v>9157.5</v>
      </c>
      <c r="F72" s="46">
        <f t="shared" ref="F72:F85" si="14">1000-D72</f>
        <v>963.5</v>
      </c>
      <c r="G72" s="47"/>
      <c r="H72" s="47"/>
      <c r="I72" s="47"/>
      <c r="J72" s="47"/>
      <c r="K72" s="47"/>
      <c r="L72" s="47">
        <f t="shared" ref="L72:L85" si="15">E72-J72</f>
        <v>9157.5</v>
      </c>
      <c r="M72" s="989"/>
    </row>
    <row r="73" spans="1:13" ht="26.1" customHeight="1">
      <c r="A73" s="48">
        <v>41306</v>
      </c>
      <c r="B73" s="46">
        <v>0</v>
      </c>
      <c r="C73" s="46">
        <v>0</v>
      </c>
      <c r="D73" s="46">
        <f t="shared" ref="D73:D85" si="16">D72+B73</f>
        <v>36.5</v>
      </c>
      <c r="E73" s="46">
        <f t="shared" ref="E73:E85" si="17">E72+C73</f>
        <v>9157.5</v>
      </c>
      <c r="F73" s="46">
        <f t="shared" si="14"/>
        <v>963.5</v>
      </c>
      <c r="G73" s="47"/>
      <c r="H73" s="47">
        <f t="shared" ref="H73:H85" si="18">C72</f>
        <v>9157.5</v>
      </c>
      <c r="I73" s="47"/>
      <c r="J73" s="47"/>
      <c r="K73" s="47">
        <f t="shared" ref="K73:K84" si="19">K72+H73-I73</f>
        <v>9157.5</v>
      </c>
      <c r="L73" s="47">
        <f t="shared" si="15"/>
        <v>9157.5</v>
      </c>
      <c r="M73" s="989"/>
    </row>
    <row r="74" spans="1:13" ht="26.1" customHeight="1">
      <c r="A74" s="48">
        <v>41334</v>
      </c>
      <c r="B74" s="46">
        <v>80.5</v>
      </c>
      <c r="C74" s="46">
        <v>21332.5</v>
      </c>
      <c r="D74" s="46">
        <f t="shared" si="16"/>
        <v>117</v>
      </c>
      <c r="E74" s="46">
        <f t="shared" si="17"/>
        <v>30490</v>
      </c>
      <c r="F74" s="46">
        <f t="shared" si="14"/>
        <v>883</v>
      </c>
      <c r="G74" s="47"/>
      <c r="H74" s="47">
        <f t="shared" si="18"/>
        <v>0</v>
      </c>
      <c r="I74" s="47"/>
      <c r="J74" s="47"/>
      <c r="K74" s="47">
        <f t="shared" si="19"/>
        <v>9157.5</v>
      </c>
      <c r="L74" s="47">
        <f t="shared" si="15"/>
        <v>30490</v>
      </c>
      <c r="M74" s="989"/>
    </row>
    <row r="75" spans="1:13" ht="26.1" customHeight="1">
      <c r="A75" s="48">
        <v>41365</v>
      </c>
      <c r="B75" s="46">
        <v>115</v>
      </c>
      <c r="C75" s="46">
        <v>29505</v>
      </c>
      <c r="D75" s="46">
        <f t="shared" si="16"/>
        <v>232</v>
      </c>
      <c r="E75" s="46">
        <f t="shared" si="17"/>
        <v>59995</v>
      </c>
      <c r="F75" s="46">
        <f t="shared" si="14"/>
        <v>768</v>
      </c>
      <c r="G75" s="47"/>
      <c r="H75" s="47">
        <f t="shared" si="18"/>
        <v>21332.5</v>
      </c>
      <c r="I75" s="47"/>
      <c r="J75" s="47"/>
      <c r="K75" s="47">
        <f t="shared" si="19"/>
        <v>30490</v>
      </c>
      <c r="L75" s="47">
        <f t="shared" si="15"/>
        <v>59995</v>
      </c>
      <c r="M75" s="989"/>
    </row>
    <row r="76" spans="1:13" ht="26.1" customHeight="1">
      <c r="A76" s="48">
        <v>41395</v>
      </c>
      <c r="B76" s="46">
        <v>9</v>
      </c>
      <c r="C76" s="46">
        <v>2295</v>
      </c>
      <c r="D76" s="46">
        <f t="shared" si="16"/>
        <v>241</v>
      </c>
      <c r="E76" s="46">
        <f t="shared" si="17"/>
        <v>62290</v>
      </c>
      <c r="F76" s="46">
        <f t="shared" si="14"/>
        <v>759</v>
      </c>
      <c r="G76" s="47"/>
      <c r="H76" s="47">
        <f t="shared" si="18"/>
        <v>29505</v>
      </c>
      <c r="I76" s="47"/>
      <c r="J76" s="47"/>
      <c r="K76" s="47">
        <f t="shared" si="19"/>
        <v>59995</v>
      </c>
      <c r="L76" s="47">
        <f t="shared" si="15"/>
        <v>62290</v>
      </c>
      <c r="M76" s="989"/>
    </row>
    <row r="77" spans="1:13" ht="26.1" customHeight="1">
      <c r="A77" s="48">
        <v>41426</v>
      </c>
      <c r="B77" s="46">
        <v>140.5</v>
      </c>
      <c r="C77" s="46">
        <v>36512.5</v>
      </c>
      <c r="D77" s="46">
        <f t="shared" si="16"/>
        <v>381.5</v>
      </c>
      <c r="E77" s="46">
        <f t="shared" si="17"/>
        <v>98802.5</v>
      </c>
      <c r="F77" s="46">
        <f t="shared" si="14"/>
        <v>618.5</v>
      </c>
      <c r="G77" s="47"/>
      <c r="H77" s="47">
        <f t="shared" si="18"/>
        <v>2295</v>
      </c>
      <c r="I77" s="47"/>
      <c r="J77" s="47"/>
      <c r="K77" s="47">
        <f t="shared" si="19"/>
        <v>62290</v>
      </c>
      <c r="L77" s="47">
        <f t="shared" si="15"/>
        <v>98802.5</v>
      </c>
      <c r="M77" s="989"/>
    </row>
    <row r="78" spans="1:13" ht="26.1" customHeight="1">
      <c r="A78" s="48">
        <v>41456</v>
      </c>
      <c r="B78" s="46">
        <v>50</v>
      </c>
      <c r="C78" s="46">
        <v>13250</v>
      </c>
      <c r="D78" s="46">
        <f t="shared" si="16"/>
        <v>431.5</v>
      </c>
      <c r="E78" s="46">
        <f t="shared" si="17"/>
        <v>112052.5</v>
      </c>
      <c r="F78" s="46">
        <f t="shared" si="14"/>
        <v>568.5</v>
      </c>
      <c r="G78" s="47"/>
      <c r="H78" s="47">
        <f t="shared" si="18"/>
        <v>36512.5</v>
      </c>
      <c r="I78" s="47"/>
      <c r="J78" s="47"/>
      <c r="K78" s="47">
        <f t="shared" si="19"/>
        <v>98802.5</v>
      </c>
      <c r="L78" s="47">
        <f t="shared" si="15"/>
        <v>112052.5</v>
      </c>
      <c r="M78" s="989"/>
    </row>
    <row r="79" spans="1:13" ht="26.1" customHeight="1">
      <c r="A79" s="48">
        <v>41487</v>
      </c>
      <c r="B79" s="46">
        <v>0</v>
      </c>
      <c r="C79" s="46">
        <v>0</v>
      </c>
      <c r="D79" s="46">
        <f t="shared" si="16"/>
        <v>431.5</v>
      </c>
      <c r="E79" s="46">
        <f t="shared" si="17"/>
        <v>112052.5</v>
      </c>
      <c r="F79" s="46">
        <f t="shared" si="14"/>
        <v>568.5</v>
      </c>
      <c r="G79" s="47"/>
      <c r="H79" s="47">
        <f t="shared" si="18"/>
        <v>13250</v>
      </c>
      <c r="I79" s="47"/>
      <c r="J79" s="47"/>
      <c r="K79" s="47">
        <f t="shared" si="19"/>
        <v>112052.5</v>
      </c>
      <c r="L79" s="47">
        <f t="shared" si="15"/>
        <v>112052.5</v>
      </c>
      <c r="M79" s="989"/>
    </row>
    <row r="80" spans="1:13" ht="26.1" customHeight="1">
      <c r="A80" s="48">
        <v>41518</v>
      </c>
      <c r="B80" s="46">
        <v>0</v>
      </c>
      <c r="C80" s="46">
        <v>0</v>
      </c>
      <c r="D80" s="46">
        <f t="shared" si="16"/>
        <v>431.5</v>
      </c>
      <c r="E80" s="46">
        <f t="shared" si="17"/>
        <v>112052.5</v>
      </c>
      <c r="F80" s="46">
        <f t="shared" si="14"/>
        <v>568.5</v>
      </c>
      <c r="G80" s="47"/>
      <c r="H80" s="47">
        <f t="shared" si="18"/>
        <v>0</v>
      </c>
      <c r="I80" s="47"/>
      <c r="J80" s="47"/>
      <c r="K80" s="47">
        <f t="shared" si="19"/>
        <v>112052.5</v>
      </c>
      <c r="L80" s="47">
        <f t="shared" si="15"/>
        <v>112052.5</v>
      </c>
      <c r="M80" s="989"/>
    </row>
    <row r="81" spans="1:13" ht="26.1" customHeight="1">
      <c r="A81" s="48">
        <v>41548</v>
      </c>
      <c r="B81" s="46">
        <v>0</v>
      </c>
      <c r="C81" s="46">
        <v>0</v>
      </c>
      <c r="D81" s="46">
        <f t="shared" si="16"/>
        <v>431.5</v>
      </c>
      <c r="E81" s="46">
        <f t="shared" si="17"/>
        <v>112052.5</v>
      </c>
      <c r="F81" s="46">
        <f t="shared" si="14"/>
        <v>568.5</v>
      </c>
      <c r="G81" s="47"/>
      <c r="H81" s="47">
        <f t="shared" si="18"/>
        <v>0</v>
      </c>
      <c r="I81" s="47"/>
      <c r="J81" s="47"/>
      <c r="K81" s="47">
        <f t="shared" si="19"/>
        <v>112052.5</v>
      </c>
      <c r="L81" s="47">
        <f t="shared" si="15"/>
        <v>112052.5</v>
      </c>
      <c r="M81" s="989"/>
    </row>
    <row r="82" spans="1:13" ht="26.1" customHeight="1">
      <c r="A82" s="48">
        <v>41579</v>
      </c>
      <c r="B82" s="46">
        <v>0</v>
      </c>
      <c r="C82" s="46">
        <v>0</v>
      </c>
      <c r="D82" s="46">
        <f t="shared" si="16"/>
        <v>431.5</v>
      </c>
      <c r="E82" s="46">
        <f t="shared" si="17"/>
        <v>112052.5</v>
      </c>
      <c r="F82" s="46">
        <f t="shared" si="14"/>
        <v>568.5</v>
      </c>
      <c r="G82" s="47"/>
      <c r="H82" s="47">
        <f t="shared" si="18"/>
        <v>0</v>
      </c>
      <c r="I82" s="47"/>
      <c r="J82" s="47"/>
      <c r="K82" s="47">
        <f t="shared" si="19"/>
        <v>112052.5</v>
      </c>
      <c r="L82" s="47">
        <f t="shared" si="15"/>
        <v>112052.5</v>
      </c>
      <c r="M82" s="989"/>
    </row>
    <row r="83" spans="1:13" ht="26.1" customHeight="1">
      <c r="A83" s="48">
        <v>41609</v>
      </c>
      <c r="B83" s="46">
        <v>0</v>
      </c>
      <c r="C83" s="46">
        <v>0</v>
      </c>
      <c r="D83" s="46">
        <f t="shared" si="16"/>
        <v>431.5</v>
      </c>
      <c r="E83" s="46">
        <f t="shared" si="17"/>
        <v>112052.5</v>
      </c>
      <c r="F83" s="46">
        <f t="shared" si="14"/>
        <v>568.5</v>
      </c>
      <c r="G83" s="47"/>
      <c r="H83" s="47">
        <f t="shared" si="18"/>
        <v>0</v>
      </c>
      <c r="I83" s="47"/>
      <c r="J83" s="47"/>
      <c r="K83" s="47">
        <f t="shared" si="19"/>
        <v>112052.5</v>
      </c>
      <c r="L83" s="47">
        <f t="shared" si="15"/>
        <v>112052.5</v>
      </c>
      <c r="M83" s="989"/>
    </row>
    <row r="84" spans="1:13" ht="26.1" customHeight="1">
      <c r="A84" s="48">
        <v>41640</v>
      </c>
      <c r="B84" s="46">
        <v>0</v>
      </c>
      <c r="C84" s="46">
        <v>0</v>
      </c>
      <c r="D84" s="46">
        <f t="shared" si="16"/>
        <v>431.5</v>
      </c>
      <c r="E84" s="46">
        <f t="shared" si="17"/>
        <v>112052.5</v>
      </c>
      <c r="F84" s="46">
        <f t="shared" si="14"/>
        <v>568.5</v>
      </c>
      <c r="G84" s="47"/>
      <c r="H84" s="47">
        <f t="shared" si="18"/>
        <v>0</v>
      </c>
      <c r="I84" s="47"/>
      <c r="J84" s="47"/>
      <c r="K84" s="47">
        <f t="shared" si="19"/>
        <v>112052.5</v>
      </c>
      <c r="L84" s="47">
        <f t="shared" si="15"/>
        <v>112052.5</v>
      </c>
      <c r="M84" s="989"/>
    </row>
    <row r="85" spans="1:13" ht="26.1" customHeight="1">
      <c r="A85" s="52">
        <v>41671</v>
      </c>
      <c r="B85" s="46">
        <v>0</v>
      </c>
      <c r="C85" s="46">
        <v>0</v>
      </c>
      <c r="D85" s="46">
        <f t="shared" si="16"/>
        <v>431.5</v>
      </c>
      <c r="E85" s="46">
        <f t="shared" si="17"/>
        <v>112052.5</v>
      </c>
      <c r="F85" s="46">
        <f t="shared" si="14"/>
        <v>568.5</v>
      </c>
      <c r="G85" s="47"/>
      <c r="H85" s="47">
        <f t="shared" si="18"/>
        <v>0</v>
      </c>
      <c r="I85" s="54">
        <v>112052.5</v>
      </c>
      <c r="J85" s="54">
        <v>112052.5</v>
      </c>
      <c r="K85" s="54">
        <v>112052.5</v>
      </c>
      <c r="L85" s="47">
        <f t="shared" si="15"/>
        <v>0</v>
      </c>
      <c r="M85" s="1341" t="s">
        <v>977</v>
      </c>
    </row>
  </sheetData>
  <mergeCells count="37">
    <mergeCell ref="B68:C68"/>
    <mergeCell ref="B69:H69"/>
    <mergeCell ref="I69:K69"/>
    <mergeCell ref="L69:M69"/>
    <mergeCell ref="B70:G70"/>
    <mergeCell ref="C66:D66"/>
    <mergeCell ref="F66:H66"/>
    <mergeCell ref="J66:L66"/>
    <mergeCell ref="B67:C67"/>
    <mergeCell ref="E67:H67"/>
    <mergeCell ref="J67:K67"/>
    <mergeCell ref="B37:C37"/>
    <mergeCell ref="B38:J38"/>
    <mergeCell ref="B39:H39"/>
    <mergeCell ref="I39:K39"/>
    <mergeCell ref="L39:M39"/>
    <mergeCell ref="B40:G40"/>
    <mergeCell ref="B6:G6"/>
    <mergeCell ref="C35:D35"/>
    <mergeCell ref="F35:H35"/>
    <mergeCell ref="J35:L35"/>
    <mergeCell ref="B36:C36"/>
    <mergeCell ref="E36:H36"/>
    <mergeCell ref="J36:K36"/>
    <mergeCell ref="B3:C3"/>
    <mergeCell ref="B4:F4"/>
    <mergeCell ref="H4:K4"/>
    <mergeCell ref="L4:M4"/>
    <mergeCell ref="B5:G5"/>
    <mergeCell ref="H5:K5"/>
    <mergeCell ref="C1:D1"/>
    <mergeCell ref="F1:H1"/>
    <mergeCell ref="J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9"/>
  <sheetViews>
    <sheetView topLeftCell="A40" zoomScaleSheetLayoutView="100" workbookViewId="0">
      <selection activeCell="J53" sqref="J53"/>
    </sheetView>
  </sheetViews>
  <sheetFormatPr defaultColWidth="9" defaultRowHeight="14.25"/>
  <cols>
    <col min="1" max="1" width="15.25" customWidth="1"/>
    <col min="2" max="2" width="15.625" customWidth="1"/>
    <col min="3" max="3" width="14" customWidth="1"/>
    <col min="4" max="4" width="11.875" customWidth="1"/>
    <col min="5" max="5" width="14.875" customWidth="1"/>
    <col min="6" max="6" width="11" customWidth="1"/>
    <col min="7" max="7" width="13" customWidth="1"/>
    <col min="8" max="8" width="12.75" customWidth="1"/>
    <col min="9" max="9" width="13" customWidth="1"/>
    <col min="10" max="10" width="15.375" customWidth="1"/>
    <col min="11" max="11" width="15.125" customWidth="1"/>
    <col min="12" max="12" width="13.75" customWidth="1"/>
    <col min="13" max="13" width="28.125" customWidth="1"/>
  </cols>
  <sheetData>
    <row r="1" spans="1:13" ht="80.099999999999994" customHeight="1">
      <c r="A1" s="34" t="s">
        <v>978</v>
      </c>
      <c r="B1" s="176"/>
      <c r="C1" s="1789" t="s">
        <v>979</v>
      </c>
      <c r="D1" s="1789"/>
      <c r="E1" s="38" t="s">
        <v>236</v>
      </c>
      <c r="F1" s="1790"/>
      <c r="G1" s="1790"/>
      <c r="H1" s="1790"/>
      <c r="I1" s="57" t="s">
        <v>237</v>
      </c>
      <c r="J1" s="1791" t="s">
        <v>980</v>
      </c>
      <c r="K1" s="1791"/>
      <c r="L1" s="1791"/>
      <c r="M1" s="88" t="s">
        <v>981</v>
      </c>
    </row>
    <row r="2" spans="1:13" ht="36">
      <c r="A2" s="39" t="s">
        <v>240</v>
      </c>
      <c r="B2" s="1637" t="s">
        <v>982</v>
      </c>
      <c r="C2" s="1637"/>
      <c r="D2" s="41" t="s">
        <v>242</v>
      </c>
      <c r="E2" s="1746" t="s">
        <v>982</v>
      </c>
      <c r="F2" s="1746"/>
      <c r="G2" s="1746"/>
      <c r="H2" s="1746"/>
      <c r="I2" s="41" t="s">
        <v>243</v>
      </c>
      <c r="J2" s="1647" t="s">
        <v>926</v>
      </c>
      <c r="K2" s="1647"/>
      <c r="L2" s="177" t="s">
        <v>245</v>
      </c>
      <c r="M2" s="567" t="s">
        <v>983</v>
      </c>
    </row>
    <row r="3" spans="1:13" ht="33" customHeight="1">
      <c r="A3" s="39" t="s">
        <v>247</v>
      </c>
      <c r="B3" s="1637" t="s">
        <v>984</v>
      </c>
      <c r="C3" s="1637"/>
      <c r="D3" s="41" t="s">
        <v>249</v>
      </c>
      <c r="E3" s="43" t="s">
        <v>985</v>
      </c>
      <c r="F3" s="41" t="s">
        <v>251</v>
      </c>
      <c r="G3" s="41" t="s">
        <v>986</v>
      </c>
      <c r="H3" s="177" t="s">
        <v>252</v>
      </c>
      <c r="I3" s="1332"/>
      <c r="J3" s="91" t="s">
        <v>253</v>
      </c>
      <c r="K3" s="15" t="s">
        <v>987</v>
      </c>
      <c r="L3" s="15" t="s">
        <v>255</v>
      </c>
      <c r="M3" s="105" t="s">
        <v>988</v>
      </c>
    </row>
    <row r="4" spans="1:13" ht="41.1" customHeight="1">
      <c r="A4" s="1329" t="s">
        <v>260</v>
      </c>
      <c r="B4" s="1764" t="s">
        <v>989</v>
      </c>
      <c r="C4" s="1764"/>
      <c r="D4" s="1764"/>
      <c r="E4" s="1764"/>
      <c r="F4" s="1764"/>
      <c r="G4" s="1764"/>
      <c r="H4" s="1764"/>
      <c r="I4" s="1764" t="s">
        <v>990</v>
      </c>
      <c r="J4" s="1764"/>
      <c r="K4" s="1764"/>
      <c r="L4" s="1784"/>
      <c r="M4" s="1785"/>
    </row>
    <row r="5" spans="1:13" ht="33.950000000000003" customHeight="1">
      <c r="A5" s="39" t="s">
        <v>258</v>
      </c>
      <c r="B5" s="1765" t="s">
        <v>828</v>
      </c>
      <c r="C5" s="1765"/>
      <c r="D5" s="1765"/>
      <c r="E5" s="1765"/>
      <c r="F5" s="1765"/>
      <c r="G5" s="1765"/>
      <c r="H5" s="178"/>
      <c r="I5" s="178"/>
      <c r="J5" s="178"/>
      <c r="K5" s="47">
        <f>D5-I5</f>
        <v>0</v>
      </c>
      <c r="L5" s="178"/>
      <c r="M5" s="643"/>
    </row>
    <row r="6" spans="1:13" ht="45.95"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4" customHeight="1">
      <c r="A7" s="48">
        <v>41214</v>
      </c>
      <c r="B7" s="46">
        <v>18</v>
      </c>
      <c r="C7" s="46">
        <v>4590</v>
      </c>
      <c r="D7" s="46">
        <f>B7</f>
        <v>18</v>
      </c>
      <c r="E7" s="46">
        <f>C7</f>
        <v>4590</v>
      </c>
      <c r="F7" s="46">
        <f t="shared" ref="F7:F46" si="0">40000-D7</f>
        <v>39982</v>
      </c>
      <c r="G7" s="47"/>
      <c r="H7" s="47"/>
      <c r="I7" s="47"/>
      <c r="J7" s="47"/>
      <c r="K7" s="47"/>
      <c r="L7" s="47">
        <f t="shared" ref="L7:L24" si="1">E7-J7</f>
        <v>4590</v>
      </c>
      <c r="M7" s="1333"/>
    </row>
    <row r="8" spans="1:13" ht="24" customHeight="1">
      <c r="A8" s="48">
        <v>41244</v>
      </c>
      <c r="B8" s="46">
        <v>0</v>
      </c>
      <c r="C8" s="46">
        <v>0</v>
      </c>
      <c r="D8" s="46">
        <f t="shared" ref="D8:D46" si="2">D7+B8</f>
        <v>18</v>
      </c>
      <c r="E8" s="46">
        <f t="shared" ref="E8:E46" si="3">E7+C8</f>
        <v>4590</v>
      </c>
      <c r="F8" s="46">
        <f t="shared" si="0"/>
        <v>39982</v>
      </c>
      <c r="G8" s="47"/>
      <c r="H8" s="47">
        <f t="shared" ref="H8:H47" si="4">C7</f>
        <v>4590</v>
      </c>
      <c r="I8" s="47"/>
      <c r="J8" s="47"/>
      <c r="K8" s="47">
        <f t="shared" ref="K8:K24" si="5">K7+H8-I8</f>
        <v>4590</v>
      </c>
      <c r="L8" s="47">
        <f t="shared" si="1"/>
        <v>4590</v>
      </c>
      <c r="M8" s="989" t="s">
        <v>991</v>
      </c>
    </row>
    <row r="9" spans="1:13" ht="24" customHeight="1">
      <c r="A9" s="48">
        <v>41275</v>
      </c>
      <c r="B9" s="46">
        <v>1049</v>
      </c>
      <c r="C9" s="46">
        <v>303485</v>
      </c>
      <c r="D9" s="46">
        <f t="shared" si="2"/>
        <v>1067</v>
      </c>
      <c r="E9" s="46">
        <f t="shared" si="3"/>
        <v>308075</v>
      </c>
      <c r="F9" s="46">
        <f t="shared" si="0"/>
        <v>38933</v>
      </c>
      <c r="G9" s="47"/>
      <c r="H9" s="47">
        <f t="shared" si="4"/>
        <v>0</v>
      </c>
      <c r="I9" s="47">
        <v>4590</v>
      </c>
      <c r="J9" s="47">
        <f t="shared" ref="J9:J25" si="6">J8+I9</f>
        <v>4590</v>
      </c>
      <c r="K9" s="47">
        <f t="shared" si="5"/>
        <v>0</v>
      </c>
      <c r="L9" s="47">
        <f t="shared" si="1"/>
        <v>303485</v>
      </c>
      <c r="M9" s="989"/>
    </row>
    <row r="10" spans="1:13" ht="24" customHeight="1">
      <c r="A10" s="48">
        <v>41306</v>
      </c>
      <c r="B10" s="46">
        <v>0</v>
      </c>
      <c r="C10" s="46">
        <v>0</v>
      </c>
      <c r="D10" s="46">
        <f t="shared" si="2"/>
        <v>1067</v>
      </c>
      <c r="E10" s="46">
        <f t="shared" si="3"/>
        <v>308075</v>
      </c>
      <c r="F10" s="46">
        <f t="shared" si="0"/>
        <v>38933</v>
      </c>
      <c r="G10" s="47"/>
      <c r="H10" s="47">
        <f t="shared" si="4"/>
        <v>303485</v>
      </c>
      <c r="I10" s="47">
        <v>303485</v>
      </c>
      <c r="J10" s="47">
        <f t="shared" si="6"/>
        <v>308075</v>
      </c>
      <c r="K10" s="47">
        <f t="shared" si="5"/>
        <v>0</v>
      </c>
      <c r="L10" s="47">
        <f t="shared" si="1"/>
        <v>0</v>
      </c>
      <c r="M10" s="989" t="s">
        <v>992</v>
      </c>
    </row>
    <row r="11" spans="1:13" ht="24" customHeight="1">
      <c r="A11" s="48">
        <v>41334</v>
      </c>
      <c r="B11" s="46">
        <v>1631</v>
      </c>
      <c r="C11" s="46">
        <v>472990</v>
      </c>
      <c r="D11" s="46">
        <f t="shared" si="2"/>
        <v>2698</v>
      </c>
      <c r="E11" s="46">
        <f t="shared" si="3"/>
        <v>781065</v>
      </c>
      <c r="F11" s="46">
        <f t="shared" si="0"/>
        <v>37302</v>
      </c>
      <c r="G11" s="47"/>
      <c r="H11" s="47">
        <f t="shared" si="4"/>
        <v>0</v>
      </c>
      <c r="I11" s="47">
        <v>0</v>
      </c>
      <c r="J11" s="47">
        <f t="shared" si="6"/>
        <v>308075</v>
      </c>
      <c r="K11" s="47">
        <f t="shared" si="5"/>
        <v>0</v>
      </c>
      <c r="L11" s="47">
        <f t="shared" si="1"/>
        <v>472990</v>
      </c>
      <c r="M11" s="989"/>
    </row>
    <row r="12" spans="1:13" ht="24" customHeight="1">
      <c r="A12" s="48">
        <v>41365</v>
      </c>
      <c r="B12" s="46">
        <v>843.5</v>
      </c>
      <c r="C12" s="46">
        <v>244615</v>
      </c>
      <c r="D12" s="46">
        <f t="shared" si="2"/>
        <v>3541.5</v>
      </c>
      <c r="E12" s="46">
        <f t="shared" si="3"/>
        <v>1025680</v>
      </c>
      <c r="F12" s="46">
        <f t="shared" si="0"/>
        <v>36458.5</v>
      </c>
      <c r="G12" s="47"/>
      <c r="H12" s="47">
        <f t="shared" si="4"/>
        <v>472990</v>
      </c>
      <c r="I12" s="47">
        <v>0</v>
      </c>
      <c r="J12" s="47">
        <f t="shared" si="6"/>
        <v>308075</v>
      </c>
      <c r="K12" s="47">
        <f t="shared" si="5"/>
        <v>472990</v>
      </c>
      <c r="L12" s="47">
        <f t="shared" si="1"/>
        <v>717605</v>
      </c>
      <c r="M12" s="989" t="s">
        <v>993</v>
      </c>
    </row>
    <row r="13" spans="1:13" ht="21.95" customHeight="1">
      <c r="A13" s="48">
        <v>41395</v>
      </c>
      <c r="B13" s="46">
        <v>2436</v>
      </c>
      <c r="C13" s="46">
        <v>694260</v>
      </c>
      <c r="D13" s="46">
        <f t="shared" si="2"/>
        <v>5977.5</v>
      </c>
      <c r="E13" s="46">
        <f t="shared" si="3"/>
        <v>1719940</v>
      </c>
      <c r="F13" s="46">
        <f t="shared" si="0"/>
        <v>34022.5</v>
      </c>
      <c r="G13" s="47"/>
      <c r="H13" s="47">
        <f t="shared" si="4"/>
        <v>244615</v>
      </c>
      <c r="I13" s="110">
        <v>472990</v>
      </c>
      <c r="J13" s="47">
        <f t="shared" si="6"/>
        <v>781065</v>
      </c>
      <c r="K13" s="47">
        <f t="shared" si="5"/>
        <v>244615</v>
      </c>
      <c r="L13" s="47">
        <f t="shared" si="1"/>
        <v>938875</v>
      </c>
      <c r="M13" s="1333" t="s">
        <v>994</v>
      </c>
    </row>
    <row r="14" spans="1:13" ht="21.95" customHeight="1">
      <c r="A14" s="48">
        <v>41426</v>
      </c>
      <c r="B14" s="46">
        <v>2152</v>
      </c>
      <c r="C14" s="46">
        <v>607725</v>
      </c>
      <c r="D14" s="46">
        <f t="shared" si="2"/>
        <v>8129.5</v>
      </c>
      <c r="E14" s="46">
        <f t="shared" si="3"/>
        <v>2327665</v>
      </c>
      <c r="F14" s="46">
        <f t="shared" si="0"/>
        <v>31870.5</v>
      </c>
      <c r="G14" s="47"/>
      <c r="H14" s="47">
        <f t="shared" si="4"/>
        <v>694260</v>
      </c>
      <c r="I14" s="47">
        <v>0</v>
      </c>
      <c r="J14" s="47">
        <f t="shared" si="6"/>
        <v>781065</v>
      </c>
      <c r="K14" s="47">
        <f t="shared" si="5"/>
        <v>938875</v>
      </c>
      <c r="L14" s="47">
        <f t="shared" si="1"/>
        <v>1546600</v>
      </c>
      <c r="M14" s="989" t="s">
        <v>995</v>
      </c>
    </row>
    <row r="15" spans="1:13" ht="21.95" customHeight="1">
      <c r="A15" s="48">
        <v>41456</v>
      </c>
      <c r="B15" s="46">
        <v>1635.5</v>
      </c>
      <c r="C15" s="109">
        <v>466117.5</v>
      </c>
      <c r="D15" s="46">
        <f t="shared" si="2"/>
        <v>9765</v>
      </c>
      <c r="E15" s="46">
        <f t="shared" si="3"/>
        <v>2793782.5</v>
      </c>
      <c r="F15" s="46">
        <f t="shared" si="0"/>
        <v>30235</v>
      </c>
      <c r="G15" s="47"/>
      <c r="H15" s="47">
        <f t="shared" si="4"/>
        <v>607725</v>
      </c>
      <c r="I15" s="47">
        <v>244615</v>
      </c>
      <c r="J15" s="47">
        <f t="shared" si="6"/>
        <v>1025680</v>
      </c>
      <c r="K15" s="47">
        <f t="shared" si="5"/>
        <v>1301985</v>
      </c>
      <c r="L15" s="47">
        <f t="shared" si="1"/>
        <v>1768102.5</v>
      </c>
      <c r="M15" s="989" t="s">
        <v>996</v>
      </c>
    </row>
    <row r="16" spans="1:13" ht="21.95" customHeight="1">
      <c r="A16" s="48">
        <v>41487</v>
      </c>
      <c r="B16" s="46">
        <v>1064</v>
      </c>
      <c r="C16" s="46">
        <v>313880</v>
      </c>
      <c r="D16" s="46">
        <f t="shared" si="2"/>
        <v>10829</v>
      </c>
      <c r="E16" s="46">
        <f t="shared" si="3"/>
        <v>3107662.5</v>
      </c>
      <c r="F16" s="46">
        <f t="shared" si="0"/>
        <v>29171</v>
      </c>
      <c r="G16" s="47"/>
      <c r="H16" s="47">
        <f t="shared" si="4"/>
        <v>466117.5</v>
      </c>
      <c r="I16" s="47">
        <v>694260</v>
      </c>
      <c r="J16" s="47">
        <f t="shared" si="6"/>
        <v>1719940</v>
      </c>
      <c r="K16" s="47">
        <f t="shared" si="5"/>
        <v>1073842.5</v>
      </c>
      <c r="L16" s="47">
        <f t="shared" si="1"/>
        <v>1387722.5</v>
      </c>
      <c r="M16" s="989"/>
    </row>
    <row r="17" spans="1:13" ht="21.95" customHeight="1">
      <c r="A17" s="48">
        <v>41518</v>
      </c>
      <c r="B17" s="46">
        <v>884</v>
      </c>
      <c r="C17" s="46">
        <v>262450</v>
      </c>
      <c r="D17" s="46">
        <f t="shared" si="2"/>
        <v>11713</v>
      </c>
      <c r="E17" s="46">
        <f t="shared" si="3"/>
        <v>3370112.5</v>
      </c>
      <c r="F17" s="46">
        <f t="shared" si="0"/>
        <v>28287</v>
      </c>
      <c r="G17" s="47"/>
      <c r="H17" s="47">
        <f t="shared" si="4"/>
        <v>313880</v>
      </c>
      <c r="I17" s="47">
        <v>607725</v>
      </c>
      <c r="J17" s="47">
        <f t="shared" si="6"/>
        <v>2327665</v>
      </c>
      <c r="K17" s="47">
        <f t="shared" si="5"/>
        <v>779997.5</v>
      </c>
      <c r="L17" s="47">
        <f t="shared" si="1"/>
        <v>1042447.5</v>
      </c>
      <c r="M17" s="989" t="s">
        <v>997</v>
      </c>
    </row>
    <row r="18" spans="1:13" ht="21.95" customHeight="1">
      <c r="A18" s="48">
        <v>41548</v>
      </c>
      <c r="B18" s="46">
        <v>262.5</v>
      </c>
      <c r="C18" s="46">
        <v>85862.5</v>
      </c>
      <c r="D18" s="46">
        <f t="shared" si="2"/>
        <v>11975.5</v>
      </c>
      <c r="E18" s="46">
        <f t="shared" si="3"/>
        <v>3455975</v>
      </c>
      <c r="F18" s="46">
        <f t="shared" si="0"/>
        <v>28024.5</v>
      </c>
      <c r="G18" s="47"/>
      <c r="H18" s="47">
        <f t="shared" si="4"/>
        <v>262450</v>
      </c>
      <c r="I18" s="47">
        <v>0</v>
      </c>
      <c r="J18" s="47">
        <f t="shared" si="6"/>
        <v>2327665</v>
      </c>
      <c r="K18" s="47">
        <f t="shared" si="5"/>
        <v>1042447.5</v>
      </c>
      <c r="L18" s="47">
        <f t="shared" si="1"/>
        <v>1128310</v>
      </c>
      <c r="M18" s="989"/>
    </row>
    <row r="19" spans="1:13" ht="21.95" customHeight="1">
      <c r="A19" s="48">
        <v>41579</v>
      </c>
      <c r="B19" s="46">
        <v>0</v>
      </c>
      <c r="C19" s="46">
        <v>0</v>
      </c>
      <c r="D19" s="46">
        <f t="shared" si="2"/>
        <v>11975.5</v>
      </c>
      <c r="E19" s="46">
        <f t="shared" si="3"/>
        <v>3455975</v>
      </c>
      <c r="F19" s="46">
        <f t="shared" si="0"/>
        <v>28024.5</v>
      </c>
      <c r="G19" s="47"/>
      <c r="H19" s="47">
        <f t="shared" si="4"/>
        <v>85862.5</v>
      </c>
      <c r="I19" s="47">
        <v>466117.5</v>
      </c>
      <c r="J19" s="47">
        <f t="shared" si="6"/>
        <v>2793782.5</v>
      </c>
      <c r="K19" s="47">
        <f t="shared" si="5"/>
        <v>662192.5</v>
      </c>
      <c r="L19" s="47">
        <f t="shared" si="1"/>
        <v>662192.5</v>
      </c>
      <c r="M19" s="989" t="s">
        <v>998</v>
      </c>
    </row>
    <row r="20" spans="1:13" ht="18.95" customHeight="1">
      <c r="A20" s="48">
        <v>41609</v>
      </c>
      <c r="B20" s="46">
        <v>124</v>
      </c>
      <c r="C20" s="46">
        <v>37845</v>
      </c>
      <c r="D20" s="46">
        <f t="shared" si="2"/>
        <v>12099.5</v>
      </c>
      <c r="E20" s="46">
        <f t="shared" si="3"/>
        <v>3493820</v>
      </c>
      <c r="F20" s="46">
        <f t="shared" si="0"/>
        <v>27900.5</v>
      </c>
      <c r="G20" s="47"/>
      <c r="H20" s="47">
        <f t="shared" si="4"/>
        <v>0</v>
      </c>
      <c r="I20" s="47">
        <f>313880+262450</f>
        <v>576330</v>
      </c>
      <c r="J20" s="47">
        <f t="shared" si="6"/>
        <v>3370112.5</v>
      </c>
      <c r="K20" s="47">
        <f t="shared" si="5"/>
        <v>85862.5</v>
      </c>
      <c r="L20" s="47">
        <f t="shared" si="1"/>
        <v>123707.5</v>
      </c>
      <c r="M20" s="989"/>
    </row>
    <row r="21" spans="1:13" ht="18.95" customHeight="1">
      <c r="A21" s="48">
        <v>41640</v>
      </c>
      <c r="B21" s="46">
        <v>148</v>
      </c>
      <c r="C21" s="46">
        <v>53265</v>
      </c>
      <c r="D21" s="46">
        <f t="shared" si="2"/>
        <v>12247.5</v>
      </c>
      <c r="E21" s="46">
        <f t="shared" si="3"/>
        <v>3547085</v>
      </c>
      <c r="F21" s="46">
        <f t="shared" si="0"/>
        <v>27752.5</v>
      </c>
      <c r="G21" s="47"/>
      <c r="H21" s="47">
        <f t="shared" si="4"/>
        <v>37845</v>
      </c>
      <c r="I21" s="47">
        <f>85862.5+37845</f>
        <v>123707.5</v>
      </c>
      <c r="J21" s="47">
        <f t="shared" si="6"/>
        <v>3493820</v>
      </c>
      <c r="K21" s="47">
        <f t="shared" si="5"/>
        <v>0</v>
      </c>
      <c r="L21" s="47">
        <f t="shared" si="1"/>
        <v>53265</v>
      </c>
      <c r="M21" s="989" t="s">
        <v>999</v>
      </c>
    </row>
    <row r="22" spans="1:13" ht="18.95" customHeight="1">
      <c r="A22" s="48">
        <v>41671</v>
      </c>
      <c r="B22" s="46">
        <v>0</v>
      </c>
      <c r="C22" s="46">
        <v>0</v>
      </c>
      <c r="D22" s="46">
        <f t="shared" si="2"/>
        <v>12247.5</v>
      </c>
      <c r="E22" s="46">
        <f t="shared" si="3"/>
        <v>3547085</v>
      </c>
      <c r="F22" s="46">
        <f t="shared" si="0"/>
        <v>27752.5</v>
      </c>
      <c r="G22" s="47"/>
      <c r="H22" s="47">
        <f t="shared" si="4"/>
        <v>53265</v>
      </c>
      <c r="I22" s="47">
        <v>0</v>
      </c>
      <c r="J22" s="47">
        <f t="shared" si="6"/>
        <v>3493820</v>
      </c>
      <c r="K22" s="47">
        <f t="shared" si="5"/>
        <v>53265</v>
      </c>
      <c r="L22" s="47">
        <f t="shared" si="1"/>
        <v>53265</v>
      </c>
      <c r="M22" s="989"/>
    </row>
    <row r="23" spans="1:13" ht="18.95" customHeight="1">
      <c r="A23" s="48">
        <v>41699</v>
      </c>
      <c r="B23" s="46">
        <v>0</v>
      </c>
      <c r="C23" s="46">
        <v>0</v>
      </c>
      <c r="D23" s="46">
        <f t="shared" si="2"/>
        <v>12247.5</v>
      </c>
      <c r="E23" s="46">
        <f t="shared" si="3"/>
        <v>3547085</v>
      </c>
      <c r="F23" s="46">
        <f t="shared" si="0"/>
        <v>27752.5</v>
      </c>
      <c r="G23" s="47"/>
      <c r="H23" s="47">
        <f t="shared" si="4"/>
        <v>0</v>
      </c>
      <c r="I23" s="47">
        <v>0</v>
      </c>
      <c r="J23" s="47">
        <f t="shared" si="6"/>
        <v>3493820</v>
      </c>
      <c r="K23" s="47">
        <f t="shared" si="5"/>
        <v>53265</v>
      </c>
      <c r="L23" s="47">
        <f t="shared" si="1"/>
        <v>53265</v>
      </c>
      <c r="M23" s="989"/>
    </row>
    <row r="24" spans="1:13" ht="18.95" customHeight="1">
      <c r="A24" s="179">
        <v>41730</v>
      </c>
      <c r="B24" s="180">
        <v>423.5</v>
      </c>
      <c r="C24" s="180">
        <v>127537.5</v>
      </c>
      <c r="D24" s="180">
        <f t="shared" si="2"/>
        <v>12671</v>
      </c>
      <c r="E24" s="180">
        <f t="shared" si="3"/>
        <v>3674622.5</v>
      </c>
      <c r="F24" s="180">
        <f t="shared" si="0"/>
        <v>27329</v>
      </c>
      <c r="G24" s="181"/>
      <c r="H24" s="181">
        <f t="shared" si="4"/>
        <v>0</v>
      </c>
      <c r="I24" s="181">
        <v>0</v>
      </c>
      <c r="J24" s="181">
        <f t="shared" si="6"/>
        <v>3493820</v>
      </c>
      <c r="K24" s="181">
        <f t="shared" si="5"/>
        <v>53265</v>
      </c>
      <c r="L24" s="181">
        <f t="shared" si="1"/>
        <v>180802.5</v>
      </c>
      <c r="M24" s="990"/>
    </row>
    <row r="25" spans="1:13" ht="18.95" customHeight="1">
      <c r="A25" s="1330">
        <v>41760</v>
      </c>
      <c r="B25" s="180">
        <v>293</v>
      </c>
      <c r="C25" s="180">
        <v>94180</v>
      </c>
      <c r="D25" s="180">
        <f t="shared" si="2"/>
        <v>12964</v>
      </c>
      <c r="E25" s="180">
        <f t="shared" si="3"/>
        <v>3768802.5</v>
      </c>
      <c r="F25" s="180">
        <f t="shared" si="0"/>
        <v>27036</v>
      </c>
      <c r="G25" s="181"/>
      <c r="H25" s="181">
        <f t="shared" si="4"/>
        <v>127537.5</v>
      </c>
      <c r="I25" s="181">
        <v>53265</v>
      </c>
      <c r="J25" s="181">
        <f t="shared" si="6"/>
        <v>3547085</v>
      </c>
      <c r="K25" s="181">
        <f t="shared" ref="K25:K47" si="7">K24+H25-I25</f>
        <v>127537.5</v>
      </c>
      <c r="L25" s="181">
        <f t="shared" ref="L25:L46" si="8">E25-J25</f>
        <v>221717.5</v>
      </c>
      <c r="M25" s="990" t="s">
        <v>1000</v>
      </c>
    </row>
    <row r="26" spans="1:13" ht="18.95" customHeight="1">
      <c r="A26" s="1330">
        <v>41791</v>
      </c>
      <c r="B26" s="180">
        <v>4665</v>
      </c>
      <c r="C26" s="180">
        <v>1609425</v>
      </c>
      <c r="D26" s="180">
        <f t="shared" si="2"/>
        <v>17629</v>
      </c>
      <c r="E26" s="180">
        <f t="shared" si="3"/>
        <v>5378227.5</v>
      </c>
      <c r="F26" s="180">
        <f t="shared" si="0"/>
        <v>22371</v>
      </c>
      <c r="G26" s="181"/>
      <c r="H26" s="181">
        <f t="shared" si="4"/>
        <v>94180</v>
      </c>
      <c r="I26" s="181"/>
      <c r="J26" s="181">
        <f t="shared" ref="J26:J46" si="9">J25+I26</f>
        <v>3547085</v>
      </c>
      <c r="K26" s="181">
        <f t="shared" si="7"/>
        <v>221717.5</v>
      </c>
      <c r="L26" s="181">
        <f t="shared" si="8"/>
        <v>1831142.5</v>
      </c>
      <c r="M26" s="990"/>
    </row>
    <row r="27" spans="1:13" ht="18.95" customHeight="1">
      <c r="A27" s="1330">
        <v>41821</v>
      </c>
      <c r="B27" s="180">
        <v>1356</v>
      </c>
      <c r="C27" s="180">
        <v>470090</v>
      </c>
      <c r="D27" s="180">
        <f t="shared" si="2"/>
        <v>18985</v>
      </c>
      <c r="E27" s="180">
        <f t="shared" si="3"/>
        <v>5848317.5</v>
      </c>
      <c r="F27" s="180">
        <f t="shared" si="0"/>
        <v>21015</v>
      </c>
      <c r="G27" s="181"/>
      <c r="H27" s="181">
        <f t="shared" si="4"/>
        <v>1609425</v>
      </c>
      <c r="I27" s="181">
        <v>221717.5</v>
      </c>
      <c r="J27" s="181">
        <f t="shared" si="9"/>
        <v>3768802.5</v>
      </c>
      <c r="K27" s="181">
        <f t="shared" si="7"/>
        <v>1609425</v>
      </c>
      <c r="L27" s="181">
        <f t="shared" si="8"/>
        <v>2079515</v>
      </c>
      <c r="M27" s="990" t="s">
        <v>1001</v>
      </c>
    </row>
    <row r="28" spans="1:13" ht="18.95" customHeight="1">
      <c r="A28" s="1330">
        <v>41852</v>
      </c>
      <c r="B28" s="180">
        <v>1574.5</v>
      </c>
      <c r="C28" s="180">
        <v>541422.5</v>
      </c>
      <c r="D28" s="180">
        <f t="shared" si="2"/>
        <v>20559.5</v>
      </c>
      <c r="E28" s="180">
        <f t="shared" si="3"/>
        <v>6389740</v>
      </c>
      <c r="F28" s="180">
        <f t="shared" si="0"/>
        <v>19440.5</v>
      </c>
      <c r="G28" s="181"/>
      <c r="H28" s="181">
        <f t="shared" si="4"/>
        <v>470090</v>
      </c>
      <c r="I28" s="181"/>
      <c r="J28" s="181">
        <f t="shared" si="9"/>
        <v>3768802.5</v>
      </c>
      <c r="K28" s="181">
        <f t="shared" si="7"/>
        <v>2079515</v>
      </c>
      <c r="L28" s="181">
        <f t="shared" si="8"/>
        <v>2620937.5</v>
      </c>
      <c r="M28" s="1334"/>
    </row>
    <row r="29" spans="1:13" ht="18.95" customHeight="1">
      <c r="A29" s="1330">
        <v>41883</v>
      </c>
      <c r="B29" s="180">
        <v>1011</v>
      </c>
      <c r="C29" s="340">
        <v>337050</v>
      </c>
      <c r="D29" s="180">
        <f t="shared" si="2"/>
        <v>21570.5</v>
      </c>
      <c r="E29" s="180">
        <f t="shared" si="3"/>
        <v>6726790</v>
      </c>
      <c r="F29" s="180">
        <f t="shared" si="0"/>
        <v>18429.5</v>
      </c>
      <c r="G29" s="457"/>
      <c r="H29" s="181">
        <f t="shared" si="4"/>
        <v>541422.5</v>
      </c>
      <c r="I29" s="457">
        <v>1609425</v>
      </c>
      <c r="J29" s="181">
        <f t="shared" si="9"/>
        <v>5378227.5</v>
      </c>
      <c r="K29" s="181">
        <f t="shared" si="7"/>
        <v>1011512.5</v>
      </c>
      <c r="L29" s="181">
        <f t="shared" si="8"/>
        <v>1348562.5</v>
      </c>
      <c r="M29" s="990" t="s">
        <v>1002</v>
      </c>
    </row>
    <row r="30" spans="1:13" ht="23.1" customHeight="1">
      <c r="A30" s="1330">
        <v>41913</v>
      </c>
      <c r="B30" s="340">
        <v>1277.5</v>
      </c>
      <c r="C30" s="340">
        <v>418267.5</v>
      </c>
      <c r="D30" s="180">
        <f t="shared" si="2"/>
        <v>22848</v>
      </c>
      <c r="E30" s="180">
        <f t="shared" si="3"/>
        <v>7145057.5</v>
      </c>
      <c r="F30" s="180">
        <f t="shared" si="0"/>
        <v>17152</v>
      </c>
      <c r="G30" s="457"/>
      <c r="H30" s="181">
        <f t="shared" si="4"/>
        <v>337050</v>
      </c>
      <c r="I30" s="457"/>
      <c r="J30" s="181">
        <f t="shared" si="9"/>
        <v>5378227.5</v>
      </c>
      <c r="K30" s="181">
        <f t="shared" si="7"/>
        <v>1348562.5</v>
      </c>
      <c r="L30" s="181">
        <f t="shared" si="8"/>
        <v>1766830</v>
      </c>
      <c r="M30" s="993" t="s">
        <v>1003</v>
      </c>
    </row>
    <row r="31" spans="1:13" ht="23.1" customHeight="1">
      <c r="A31" s="1330">
        <v>41944</v>
      </c>
      <c r="B31" s="340">
        <v>1251.5</v>
      </c>
      <c r="C31" s="340">
        <v>400105</v>
      </c>
      <c r="D31" s="180">
        <f t="shared" si="2"/>
        <v>24099.5</v>
      </c>
      <c r="E31" s="180">
        <f t="shared" si="3"/>
        <v>7545162.5</v>
      </c>
      <c r="F31" s="180">
        <f t="shared" si="0"/>
        <v>15900.5</v>
      </c>
      <c r="G31" s="457"/>
      <c r="H31" s="181">
        <f t="shared" si="4"/>
        <v>418267.5</v>
      </c>
      <c r="I31" s="457"/>
      <c r="J31" s="181">
        <f t="shared" si="9"/>
        <v>5378227.5</v>
      </c>
      <c r="K31" s="181">
        <f t="shared" si="7"/>
        <v>1766830</v>
      </c>
      <c r="L31" s="181">
        <f t="shared" si="8"/>
        <v>2166935</v>
      </c>
      <c r="M31" s="1335" t="s">
        <v>1004</v>
      </c>
    </row>
    <row r="32" spans="1:13" ht="23.1" customHeight="1">
      <c r="A32" s="1330">
        <v>41974</v>
      </c>
      <c r="B32" s="340">
        <v>1272</v>
      </c>
      <c r="C32" s="340">
        <v>414985</v>
      </c>
      <c r="D32" s="180">
        <f t="shared" si="2"/>
        <v>25371.5</v>
      </c>
      <c r="E32" s="180">
        <f t="shared" si="3"/>
        <v>7960147.5</v>
      </c>
      <c r="F32" s="180">
        <f t="shared" si="0"/>
        <v>14628.5</v>
      </c>
      <c r="G32" s="457"/>
      <c r="H32" s="181">
        <f t="shared" si="4"/>
        <v>400105</v>
      </c>
      <c r="I32" s="457">
        <v>470090</v>
      </c>
      <c r="J32" s="181">
        <f t="shared" si="9"/>
        <v>5848317.5</v>
      </c>
      <c r="K32" s="181">
        <f t="shared" si="7"/>
        <v>1696845</v>
      </c>
      <c r="L32" s="181">
        <f t="shared" si="8"/>
        <v>2111830</v>
      </c>
      <c r="M32" s="993"/>
    </row>
    <row r="33" spans="1:13" ht="23.1" customHeight="1">
      <c r="A33" s="1331">
        <v>42005</v>
      </c>
      <c r="B33" s="340">
        <v>418</v>
      </c>
      <c r="C33" s="340">
        <v>137945</v>
      </c>
      <c r="D33" s="180">
        <f t="shared" si="2"/>
        <v>25789.5</v>
      </c>
      <c r="E33" s="180">
        <f t="shared" si="3"/>
        <v>8098092.5</v>
      </c>
      <c r="F33" s="180">
        <f t="shared" si="0"/>
        <v>14210.5</v>
      </c>
      <c r="G33" s="457"/>
      <c r="H33" s="181">
        <f t="shared" si="4"/>
        <v>414985</v>
      </c>
      <c r="I33" s="457">
        <f>541422.5+337050</f>
        <v>878472.5</v>
      </c>
      <c r="J33" s="181">
        <f t="shared" si="9"/>
        <v>6726790</v>
      </c>
      <c r="K33" s="181">
        <f t="shared" si="7"/>
        <v>1233357.5</v>
      </c>
      <c r="L33" s="181">
        <f t="shared" si="8"/>
        <v>1371302.5</v>
      </c>
      <c r="M33" s="993" t="s">
        <v>1005</v>
      </c>
    </row>
    <row r="34" spans="1:13" ht="24" customHeight="1">
      <c r="A34" s="1331">
        <v>42037</v>
      </c>
      <c r="B34" s="340">
        <v>19.5</v>
      </c>
      <c r="C34" s="340">
        <v>6015</v>
      </c>
      <c r="D34" s="180">
        <f t="shared" si="2"/>
        <v>25809</v>
      </c>
      <c r="E34" s="180">
        <f t="shared" si="3"/>
        <v>8104107.5</v>
      </c>
      <c r="F34" s="180">
        <f t="shared" si="0"/>
        <v>14191</v>
      </c>
      <c r="G34" s="457"/>
      <c r="H34" s="181">
        <f t="shared" si="4"/>
        <v>137945</v>
      </c>
      <c r="I34" s="457">
        <v>418267</v>
      </c>
      <c r="J34" s="181">
        <f t="shared" si="9"/>
        <v>7145057</v>
      </c>
      <c r="K34" s="181">
        <f t="shared" si="7"/>
        <v>953035.5</v>
      </c>
      <c r="L34" s="181">
        <f t="shared" si="8"/>
        <v>959050.5</v>
      </c>
      <c r="M34" s="993" t="s">
        <v>1006</v>
      </c>
    </row>
    <row r="35" spans="1:13" ht="24" customHeight="1">
      <c r="A35" s="1331">
        <v>42069</v>
      </c>
      <c r="B35" s="340">
        <v>53</v>
      </c>
      <c r="C35" s="340">
        <v>17755</v>
      </c>
      <c r="D35" s="180">
        <f t="shared" si="2"/>
        <v>25862</v>
      </c>
      <c r="E35" s="180">
        <f t="shared" si="3"/>
        <v>8121862.5</v>
      </c>
      <c r="F35" s="180">
        <f t="shared" si="0"/>
        <v>14138</v>
      </c>
      <c r="G35" s="457"/>
      <c r="H35" s="181">
        <f t="shared" si="4"/>
        <v>6015</v>
      </c>
      <c r="I35" s="457"/>
      <c r="J35" s="181">
        <f t="shared" si="9"/>
        <v>7145057</v>
      </c>
      <c r="K35" s="181">
        <f t="shared" si="7"/>
        <v>959050.5</v>
      </c>
      <c r="L35" s="181">
        <f t="shared" si="8"/>
        <v>976805.5</v>
      </c>
      <c r="M35" s="993"/>
    </row>
    <row r="36" spans="1:13" ht="24" customHeight="1">
      <c r="A36" s="1331">
        <v>42100</v>
      </c>
      <c r="B36" s="180">
        <v>82.5</v>
      </c>
      <c r="C36" s="180">
        <v>27472.5</v>
      </c>
      <c r="D36" s="180">
        <f t="shared" si="2"/>
        <v>25944.5</v>
      </c>
      <c r="E36" s="180">
        <f t="shared" si="3"/>
        <v>8149335</v>
      </c>
      <c r="F36" s="180">
        <f t="shared" si="0"/>
        <v>14055.5</v>
      </c>
      <c r="G36" s="181"/>
      <c r="H36" s="181">
        <f t="shared" si="4"/>
        <v>17755</v>
      </c>
      <c r="I36" s="457">
        <v>400105</v>
      </c>
      <c r="J36" s="181">
        <f t="shared" si="9"/>
        <v>7545162</v>
      </c>
      <c r="K36" s="181">
        <f t="shared" si="7"/>
        <v>576700.5</v>
      </c>
      <c r="L36" s="181">
        <f t="shared" si="8"/>
        <v>604173</v>
      </c>
      <c r="M36" s="1085" t="s">
        <v>1007</v>
      </c>
    </row>
    <row r="37" spans="1:13" ht="24" customHeight="1">
      <c r="A37" s="1331">
        <v>42130</v>
      </c>
      <c r="B37" s="180">
        <v>4</v>
      </c>
      <c r="C37" s="180">
        <v>1440</v>
      </c>
      <c r="D37" s="180">
        <f t="shared" si="2"/>
        <v>25948.5</v>
      </c>
      <c r="E37" s="180">
        <f t="shared" si="3"/>
        <v>8150775</v>
      </c>
      <c r="F37" s="180">
        <f t="shared" si="0"/>
        <v>14051.5</v>
      </c>
      <c r="G37" s="181"/>
      <c r="H37" s="181">
        <f t="shared" si="4"/>
        <v>27472.5</v>
      </c>
      <c r="I37" s="457"/>
      <c r="J37" s="181">
        <f t="shared" si="9"/>
        <v>7545162</v>
      </c>
      <c r="K37" s="181">
        <f t="shared" si="7"/>
        <v>604173</v>
      </c>
      <c r="L37" s="181">
        <f t="shared" si="8"/>
        <v>605613</v>
      </c>
      <c r="M37" s="1085"/>
    </row>
    <row r="38" spans="1:13" ht="24" customHeight="1">
      <c r="A38" s="253">
        <v>42156</v>
      </c>
      <c r="B38" s="180">
        <v>337.5</v>
      </c>
      <c r="C38" s="180">
        <v>111465</v>
      </c>
      <c r="D38" s="180">
        <f t="shared" si="2"/>
        <v>26286</v>
      </c>
      <c r="E38" s="180">
        <f t="shared" si="3"/>
        <v>8262240</v>
      </c>
      <c r="F38" s="180">
        <f t="shared" si="0"/>
        <v>13714</v>
      </c>
      <c r="G38" s="181"/>
      <c r="H38" s="181">
        <f t="shared" si="4"/>
        <v>1440</v>
      </c>
      <c r="I38" s="181">
        <v>354985</v>
      </c>
      <c r="J38" s="181">
        <f t="shared" si="9"/>
        <v>7900147</v>
      </c>
      <c r="K38" s="181">
        <f t="shared" si="7"/>
        <v>250628</v>
      </c>
      <c r="L38" s="181">
        <f t="shared" si="8"/>
        <v>362093</v>
      </c>
      <c r="M38" s="1085" t="s">
        <v>1008</v>
      </c>
    </row>
    <row r="39" spans="1:13" ht="24" customHeight="1">
      <c r="A39" s="253">
        <v>42186</v>
      </c>
      <c r="B39" s="180">
        <v>232.5</v>
      </c>
      <c r="C39" s="180">
        <v>76725</v>
      </c>
      <c r="D39" s="180">
        <f t="shared" si="2"/>
        <v>26518.5</v>
      </c>
      <c r="E39" s="180">
        <f t="shared" si="3"/>
        <v>8338965</v>
      </c>
      <c r="F39" s="180">
        <f t="shared" si="0"/>
        <v>13481.5</v>
      </c>
      <c r="G39" s="181"/>
      <c r="H39" s="181">
        <f t="shared" si="4"/>
        <v>111465</v>
      </c>
      <c r="I39" s="181"/>
      <c r="J39" s="181">
        <f t="shared" si="9"/>
        <v>7900147</v>
      </c>
      <c r="K39" s="181">
        <f t="shared" si="7"/>
        <v>362093</v>
      </c>
      <c r="L39" s="181">
        <f t="shared" si="8"/>
        <v>438818</v>
      </c>
      <c r="M39" s="1085"/>
    </row>
    <row r="40" spans="1:13" ht="24" customHeight="1">
      <c r="A40" s="253">
        <v>42217</v>
      </c>
      <c r="B40" s="180">
        <v>3</v>
      </c>
      <c r="C40" s="180">
        <v>990</v>
      </c>
      <c r="D40" s="180">
        <f t="shared" si="2"/>
        <v>26521.5</v>
      </c>
      <c r="E40" s="180">
        <f t="shared" si="3"/>
        <v>8339955</v>
      </c>
      <c r="F40" s="180">
        <f t="shared" si="0"/>
        <v>13478.5</v>
      </c>
      <c r="G40" s="181"/>
      <c r="H40" s="181">
        <f t="shared" si="4"/>
        <v>76725</v>
      </c>
      <c r="I40" s="181"/>
      <c r="J40" s="181">
        <f t="shared" si="9"/>
        <v>7900147</v>
      </c>
      <c r="K40" s="181">
        <f t="shared" si="7"/>
        <v>438818</v>
      </c>
      <c r="L40" s="181">
        <f t="shared" si="8"/>
        <v>439808</v>
      </c>
      <c r="M40" s="1085" t="s">
        <v>1009</v>
      </c>
    </row>
    <row r="41" spans="1:13" ht="24" customHeight="1">
      <c r="A41" s="253">
        <v>42248</v>
      </c>
      <c r="B41" s="180">
        <v>8.5</v>
      </c>
      <c r="C41" s="180">
        <v>2550</v>
      </c>
      <c r="D41" s="180">
        <f t="shared" si="2"/>
        <v>26530</v>
      </c>
      <c r="E41" s="180">
        <f t="shared" si="3"/>
        <v>8342505</v>
      </c>
      <c r="F41" s="180">
        <f t="shared" si="0"/>
        <v>13470</v>
      </c>
      <c r="G41" s="181"/>
      <c r="H41" s="181">
        <f t="shared" si="4"/>
        <v>990</v>
      </c>
      <c r="I41" s="181">
        <v>189187</v>
      </c>
      <c r="J41" s="181">
        <f t="shared" si="9"/>
        <v>8089334</v>
      </c>
      <c r="K41" s="181">
        <f t="shared" si="7"/>
        <v>250621</v>
      </c>
      <c r="L41" s="181">
        <f t="shared" si="8"/>
        <v>253171</v>
      </c>
      <c r="M41" s="1085" t="s">
        <v>1010</v>
      </c>
    </row>
    <row r="42" spans="1:13" ht="24" customHeight="1">
      <c r="A42" s="253">
        <v>42278</v>
      </c>
      <c r="B42" s="180">
        <v>370.5</v>
      </c>
      <c r="C42" s="180">
        <v>121170</v>
      </c>
      <c r="D42" s="180">
        <f t="shared" si="2"/>
        <v>26900.5</v>
      </c>
      <c r="E42" s="180">
        <f t="shared" si="3"/>
        <v>8463675</v>
      </c>
      <c r="F42" s="180">
        <f t="shared" si="0"/>
        <v>13099.5</v>
      </c>
      <c r="G42" s="181"/>
      <c r="H42" s="181">
        <f t="shared" si="4"/>
        <v>2550</v>
      </c>
      <c r="I42" s="181">
        <v>1440</v>
      </c>
      <c r="J42" s="181">
        <f t="shared" si="9"/>
        <v>8090774</v>
      </c>
      <c r="K42" s="181">
        <f t="shared" si="7"/>
        <v>251731</v>
      </c>
      <c r="L42" s="181">
        <f t="shared" si="8"/>
        <v>372901</v>
      </c>
      <c r="M42" s="1085"/>
    </row>
    <row r="43" spans="1:13" ht="24" customHeight="1">
      <c r="A43" s="253">
        <v>42309</v>
      </c>
      <c r="B43" s="180">
        <v>348.5</v>
      </c>
      <c r="C43" s="180">
        <v>114770</v>
      </c>
      <c r="D43" s="180">
        <f t="shared" si="2"/>
        <v>27249</v>
      </c>
      <c r="E43" s="180">
        <f t="shared" si="3"/>
        <v>8578445</v>
      </c>
      <c r="F43" s="180">
        <f t="shared" si="0"/>
        <v>12751</v>
      </c>
      <c r="G43" s="181"/>
      <c r="H43" s="181">
        <f t="shared" si="4"/>
        <v>121170</v>
      </c>
      <c r="I43" s="181"/>
      <c r="J43" s="181">
        <f t="shared" si="9"/>
        <v>8090774</v>
      </c>
      <c r="K43" s="181">
        <f t="shared" si="7"/>
        <v>372901</v>
      </c>
      <c r="L43" s="181">
        <f t="shared" si="8"/>
        <v>487671</v>
      </c>
      <c r="M43" s="1085"/>
    </row>
    <row r="44" spans="1:13" ht="24" customHeight="1">
      <c r="A44" s="253">
        <v>42339</v>
      </c>
      <c r="B44" s="180">
        <v>9.5</v>
      </c>
      <c r="C44" s="180">
        <v>2850</v>
      </c>
      <c r="D44" s="180">
        <f t="shared" si="2"/>
        <v>27258.5</v>
      </c>
      <c r="E44" s="180">
        <f t="shared" si="3"/>
        <v>8581295</v>
      </c>
      <c r="F44" s="180">
        <f t="shared" si="0"/>
        <v>12741.5</v>
      </c>
      <c r="G44" s="181"/>
      <c r="H44" s="181">
        <f t="shared" si="4"/>
        <v>114770</v>
      </c>
      <c r="I44" s="181">
        <v>81465</v>
      </c>
      <c r="J44" s="181">
        <f t="shared" si="9"/>
        <v>8172239</v>
      </c>
      <c r="K44" s="181">
        <f t="shared" si="7"/>
        <v>406206</v>
      </c>
      <c r="L44" s="181">
        <f t="shared" si="8"/>
        <v>409056</v>
      </c>
      <c r="M44" s="1085" t="s">
        <v>1011</v>
      </c>
    </row>
    <row r="45" spans="1:13" ht="24" customHeight="1">
      <c r="A45" s="253">
        <v>42401</v>
      </c>
      <c r="B45" s="180">
        <v>0</v>
      </c>
      <c r="C45" s="180">
        <v>0</v>
      </c>
      <c r="D45" s="180">
        <f t="shared" si="2"/>
        <v>27258.5</v>
      </c>
      <c r="E45" s="180">
        <f t="shared" si="3"/>
        <v>8581295</v>
      </c>
      <c r="F45" s="180">
        <f t="shared" si="0"/>
        <v>12741.5</v>
      </c>
      <c r="G45" s="181"/>
      <c r="H45" s="181">
        <f t="shared" si="4"/>
        <v>2850</v>
      </c>
      <c r="I45" s="181"/>
      <c r="J45" s="181">
        <f t="shared" si="9"/>
        <v>8172239</v>
      </c>
      <c r="K45" s="181">
        <f t="shared" si="7"/>
        <v>409056</v>
      </c>
      <c r="L45" s="181">
        <f t="shared" si="8"/>
        <v>409056</v>
      </c>
      <c r="M45" s="1085"/>
    </row>
    <row r="46" spans="1:13" ht="24" customHeight="1">
      <c r="A46" s="253">
        <v>42461</v>
      </c>
      <c r="B46" s="180">
        <v>0</v>
      </c>
      <c r="C46" s="180">
        <v>0</v>
      </c>
      <c r="D46" s="180">
        <f t="shared" si="2"/>
        <v>27258.5</v>
      </c>
      <c r="E46" s="180">
        <f t="shared" si="3"/>
        <v>8581295</v>
      </c>
      <c r="F46" s="180">
        <f t="shared" si="0"/>
        <v>12741.5</v>
      </c>
      <c r="G46" s="181"/>
      <c r="H46" s="181">
        <f t="shared" si="4"/>
        <v>0</v>
      </c>
      <c r="I46" s="181">
        <v>319055</v>
      </c>
      <c r="J46" s="181">
        <f t="shared" si="9"/>
        <v>8491294</v>
      </c>
      <c r="K46" s="181">
        <f t="shared" si="7"/>
        <v>90001</v>
      </c>
      <c r="L46" s="181">
        <f t="shared" si="8"/>
        <v>90001</v>
      </c>
      <c r="M46" s="1085" t="s">
        <v>1012</v>
      </c>
    </row>
    <row r="47" spans="1:13" ht="24" customHeight="1">
      <c r="A47" s="253"/>
      <c r="B47" s="180"/>
      <c r="C47" s="180"/>
      <c r="D47" s="180"/>
      <c r="E47" s="180"/>
      <c r="F47" s="180"/>
      <c r="G47" s="181"/>
      <c r="H47" s="181">
        <f t="shared" si="4"/>
        <v>0</v>
      </c>
      <c r="I47" s="181"/>
      <c r="J47" s="181"/>
      <c r="K47" s="181">
        <f t="shared" si="7"/>
        <v>90001</v>
      </c>
      <c r="L47" s="181"/>
      <c r="M47" s="1085"/>
    </row>
    <row r="48" spans="1:13" ht="24" customHeight="1">
      <c r="A48" s="253"/>
      <c r="B48" s="180"/>
      <c r="C48" s="180"/>
      <c r="D48" s="180"/>
      <c r="E48" s="180"/>
      <c r="F48" s="180"/>
      <c r="G48" s="181"/>
      <c r="H48" s="181"/>
      <c r="I48" s="181"/>
      <c r="J48" s="181"/>
      <c r="K48" s="181"/>
      <c r="L48" s="181"/>
      <c r="M48" s="1085"/>
    </row>
    <row r="49" spans="1:13" ht="24" customHeight="1">
      <c r="A49" s="253"/>
      <c r="B49" s="180"/>
      <c r="C49" s="180"/>
      <c r="D49" s="180"/>
      <c r="E49" s="180"/>
      <c r="F49" s="180"/>
      <c r="G49" s="181"/>
      <c r="H49" s="181"/>
      <c r="I49" s="181"/>
      <c r="J49" s="181"/>
      <c r="K49" s="181"/>
      <c r="L49" s="181"/>
      <c r="M49" s="1085"/>
    </row>
  </sheetData>
  <mergeCells count="11">
    <mergeCell ref="C1:D1"/>
    <mergeCell ref="F1:H1"/>
    <mergeCell ref="J1:L1"/>
    <mergeCell ref="B2:C2"/>
    <mergeCell ref="E2:H2"/>
    <mergeCell ref="J2:K2"/>
    <mergeCell ref="B3:C3"/>
    <mergeCell ref="B4:H4"/>
    <mergeCell ref="I4:K4"/>
    <mergeCell ref="L4:M4"/>
    <mergeCell ref="B5:G5"/>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2"/>
  <sheetViews>
    <sheetView topLeftCell="A40" zoomScaleSheetLayoutView="100" workbookViewId="0">
      <selection activeCell="F48" sqref="F48"/>
    </sheetView>
  </sheetViews>
  <sheetFormatPr defaultRowHeight="14.25"/>
  <cols>
    <col min="1" max="1" width="13" style="10" customWidth="1"/>
    <col min="2" max="2" width="17.125" style="10" customWidth="1"/>
    <col min="3" max="3" width="15.5" style="10" customWidth="1"/>
    <col min="4" max="4" width="12.125" style="10" customWidth="1"/>
    <col min="5" max="5" width="15.25" style="10" customWidth="1"/>
    <col min="6" max="6" width="11.125" style="10" customWidth="1"/>
    <col min="7" max="7" width="11.625" style="10" customWidth="1"/>
    <col min="8" max="8" width="13.375" style="10" customWidth="1"/>
    <col min="9" max="9" width="13.75" style="10" customWidth="1"/>
    <col min="10" max="10" width="12.875" style="10" customWidth="1"/>
    <col min="11" max="11" width="15.875" style="10" customWidth="1"/>
    <col min="12" max="12" width="17.75" style="10" customWidth="1"/>
    <col min="13" max="13" width="33" style="10" customWidth="1"/>
    <col min="14" max="16384" width="9" style="10"/>
  </cols>
  <sheetData>
    <row r="1" spans="1:13" ht="33.950000000000003" customHeight="1">
      <c r="A1" s="1793" t="s">
        <v>556</v>
      </c>
      <c r="B1" s="1794">
        <v>41708</v>
      </c>
      <c r="C1" s="1647" t="s">
        <v>1013</v>
      </c>
      <c r="D1" s="1795" t="s">
        <v>236</v>
      </c>
      <c r="E1" s="1795"/>
      <c r="F1" s="1795"/>
      <c r="G1" s="1795"/>
      <c r="H1" s="1638" t="s">
        <v>237</v>
      </c>
      <c r="I1" s="1665" t="s">
        <v>1014</v>
      </c>
      <c r="J1" s="1665"/>
      <c r="K1" s="1665"/>
      <c r="L1" s="1665"/>
      <c r="M1" s="1792"/>
    </row>
    <row r="2" spans="1:13" ht="38.1" customHeight="1">
      <c r="A2" s="1793"/>
      <c r="B2" s="1794"/>
      <c r="C2" s="1647"/>
      <c r="D2" s="1795"/>
      <c r="E2" s="1795"/>
      <c r="F2" s="1795"/>
      <c r="G2" s="1795"/>
      <c r="H2" s="1638"/>
      <c r="I2" s="1665" t="s">
        <v>1015</v>
      </c>
      <c r="J2" s="1665"/>
      <c r="K2" s="1665"/>
      <c r="L2" s="463"/>
      <c r="M2" s="567"/>
    </row>
    <row r="3" spans="1:13" ht="33.950000000000003" customHeight="1">
      <c r="A3" s="39" t="s">
        <v>240</v>
      </c>
      <c r="B3" s="1637" t="s">
        <v>1016</v>
      </c>
      <c r="C3" s="1637"/>
      <c r="D3" s="41" t="s">
        <v>242</v>
      </c>
      <c r="E3" s="1637" t="s">
        <v>1016</v>
      </c>
      <c r="F3" s="1637"/>
      <c r="G3" s="1637"/>
      <c r="H3" s="1664"/>
      <c r="I3" s="1664"/>
      <c r="J3" s="41" t="s">
        <v>243</v>
      </c>
      <c r="K3" s="41" t="s">
        <v>823</v>
      </c>
      <c r="L3" s="103" t="s">
        <v>245</v>
      </c>
      <c r="M3" s="104"/>
    </row>
    <row r="4" spans="1:13" ht="33" customHeight="1">
      <c r="A4" s="39" t="s">
        <v>247</v>
      </c>
      <c r="B4" s="1637" t="s">
        <v>1017</v>
      </c>
      <c r="C4" s="1637"/>
      <c r="D4" s="41" t="s">
        <v>249</v>
      </c>
      <c r="E4" s="59" t="s">
        <v>1018</v>
      </c>
      <c r="F4" s="41" t="s">
        <v>251</v>
      </c>
      <c r="G4" s="41" t="s">
        <v>800</v>
      </c>
      <c r="H4" s="41" t="s">
        <v>252</v>
      </c>
      <c r="I4" s="41">
        <v>18026412216</v>
      </c>
      <c r="J4" s="91" t="s">
        <v>253</v>
      </c>
      <c r="K4" s="15" t="s">
        <v>1019</v>
      </c>
      <c r="L4" s="15" t="s">
        <v>255</v>
      </c>
      <c r="M4" s="92" t="s">
        <v>1019</v>
      </c>
    </row>
    <row r="5" spans="1:13" ht="39" customHeight="1">
      <c r="A5" s="39" t="s">
        <v>260</v>
      </c>
      <c r="B5" s="1633" t="s">
        <v>1020</v>
      </c>
      <c r="C5" s="1633"/>
      <c r="D5" s="1633"/>
      <c r="E5" s="1633"/>
      <c r="F5" s="1633"/>
      <c r="G5" s="1633"/>
      <c r="H5" s="1633" t="s">
        <v>1021</v>
      </c>
      <c r="I5" s="1633"/>
      <c r="J5" s="1633"/>
      <c r="K5" s="1633"/>
      <c r="L5" s="1633"/>
      <c r="M5" s="104"/>
    </row>
    <row r="6" spans="1:13" ht="24" customHeight="1">
      <c r="A6" s="39" t="s">
        <v>1022</v>
      </c>
      <c r="B6" s="1648"/>
      <c r="C6" s="1648"/>
      <c r="D6" s="1648"/>
      <c r="E6" s="150" t="s">
        <v>570</v>
      </c>
      <c r="F6" s="1648" t="s">
        <v>1023</v>
      </c>
      <c r="G6" s="1648"/>
      <c r="H6" s="1648"/>
      <c r="I6" s="1664"/>
      <c r="J6" s="1664"/>
      <c r="K6" s="1664"/>
      <c r="L6" s="1664"/>
      <c r="M6" s="104"/>
    </row>
    <row r="7" spans="1:13" ht="36" customHeight="1">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24" customHeight="1">
      <c r="A8" s="107">
        <v>41244</v>
      </c>
      <c r="B8" s="46">
        <v>79</v>
      </c>
      <c r="C8" s="109">
        <v>18170</v>
      </c>
      <c r="D8" s="46">
        <f>B8</f>
        <v>79</v>
      </c>
      <c r="E8" s="46">
        <f>C8</f>
        <v>18170</v>
      </c>
      <c r="F8" s="46"/>
      <c r="G8" s="47"/>
      <c r="H8" s="47"/>
      <c r="I8" s="47"/>
      <c r="J8" s="47"/>
      <c r="K8" s="47"/>
      <c r="L8" s="47">
        <f t="shared" ref="L8:L45" si="0">E8-J8</f>
        <v>18170</v>
      </c>
      <c r="M8" s="94" t="s">
        <v>1024</v>
      </c>
    </row>
    <row r="9" spans="1:13" ht="24" customHeight="1">
      <c r="A9" s="107">
        <v>41275</v>
      </c>
      <c r="B9" s="46">
        <v>47</v>
      </c>
      <c r="C9" s="46">
        <v>11930</v>
      </c>
      <c r="D9" s="46">
        <f t="shared" ref="D9:D45" si="1">D8+B9</f>
        <v>126</v>
      </c>
      <c r="E9" s="46">
        <f t="shared" ref="E9:E45" si="2">E8+C9</f>
        <v>30100</v>
      </c>
      <c r="F9" s="46"/>
      <c r="G9" s="47"/>
      <c r="H9" s="47">
        <f t="shared" ref="H9:H45" si="3">C8</f>
        <v>18170</v>
      </c>
      <c r="I9" s="47">
        <v>18565</v>
      </c>
      <c r="J9" s="47">
        <f t="shared" ref="J9:J46" si="4">J8+I9</f>
        <v>18565</v>
      </c>
      <c r="K9" s="47">
        <f t="shared" ref="K9:K46" si="5">K8+H9-I9</f>
        <v>-395</v>
      </c>
      <c r="L9" s="47">
        <f t="shared" si="0"/>
        <v>11535</v>
      </c>
      <c r="M9" s="94"/>
    </row>
    <row r="10" spans="1:13" ht="24" customHeight="1">
      <c r="A10" s="107">
        <v>41306</v>
      </c>
      <c r="B10" s="46">
        <v>0</v>
      </c>
      <c r="C10" s="46">
        <v>0</v>
      </c>
      <c r="D10" s="46">
        <f t="shared" si="1"/>
        <v>126</v>
      </c>
      <c r="E10" s="46">
        <f t="shared" si="2"/>
        <v>30100</v>
      </c>
      <c r="F10" s="46"/>
      <c r="G10" s="47"/>
      <c r="H10" s="47">
        <f t="shared" si="3"/>
        <v>11930</v>
      </c>
      <c r="I10" s="47">
        <v>0</v>
      </c>
      <c r="J10" s="47">
        <f t="shared" si="4"/>
        <v>18565</v>
      </c>
      <c r="K10" s="47">
        <f t="shared" si="5"/>
        <v>11535</v>
      </c>
      <c r="L10" s="47">
        <f t="shared" si="0"/>
        <v>11535</v>
      </c>
      <c r="M10" s="94"/>
    </row>
    <row r="11" spans="1:13" ht="24" customHeight="1">
      <c r="A11" s="107">
        <v>41334</v>
      </c>
      <c r="B11" s="46">
        <v>0</v>
      </c>
      <c r="C11" s="46">
        <v>0</v>
      </c>
      <c r="D11" s="46">
        <f t="shared" si="1"/>
        <v>126</v>
      </c>
      <c r="E11" s="46">
        <f t="shared" si="2"/>
        <v>30100</v>
      </c>
      <c r="F11" s="46"/>
      <c r="G11" s="47"/>
      <c r="H11" s="47">
        <f t="shared" si="3"/>
        <v>0</v>
      </c>
      <c r="I11" s="47">
        <v>0</v>
      </c>
      <c r="J11" s="47">
        <f t="shared" si="4"/>
        <v>18565</v>
      </c>
      <c r="K11" s="47">
        <f t="shared" si="5"/>
        <v>11535</v>
      </c>
      <c r="L11" s="47">
        <f t="shared" si="0"/>
        <v>11535</v>
      </c>
      <c r="M11" s="94"/>
    </row>
    <row r="12" spans="1:13" ht="24" customHeight="1">
      <c r="A12" s="107">
        <v>41365</v>
      </c>
      <c r="B12" s="46">
        <v>0</v>
      </c>
      <c r="C12" s="46">
        <v>0</v>
      </c>
      <c r="D12" s="46">
        <f t="shared" si="1"/>
        <v>126</v>
      </c>
      <c r="E12" s="46">
        <f t="shared" si="2"/>
        <v>30100</v>
      </c>
      <c r="F12" s="46"/>
      <c r="G12" s="47"/>
      <c r="H12" s="47">
        <f t="shared" si="3"/>
        <v>0</v>
      </c>
      <c r="I12" s="47">
        <v>0</v>
      </c>
      <c r="J12" s="47">
        <f t="shared" si="4"/>
        <v>18565</v>
      </c>
      <c r="K12" s="47">
        <f t="shared" si="5"/>
        <v>11535</v>
      </c>
      <c r="L12" s="47">
        <f t="shared" si="0"/>
        <v>11535</v>
      </c>
      <c r="M12" s="94"/>
    </row>
    <row r="13" spans="1:13" ht="24" customHeight="1">
      <c r="A13" s="107">
        <v>41395</v>
      </c>
      <c r="B13" s="46">
        <v>140</v>
      </c>
      <c r="C13" s="46">
        <v>38070</v>
      </c>
      <c r="D13" s="46">
        <f t="shared" si="1"/>
        <v>266</v>
      </c>
      <c r="E13" s="46">
        <f t="shared" si="2"/>
        <v>68170</v>
      </c>
      <c r="F13" s="46"/>
      <c r="G13" s="47"/>
      <c r="H13" s="47">
        <f t="shared" si="3"/>
        <v>0</v>
      </c>
      <c r="I13" s="47">
        <v>0</v>
      </c>
      <c r="J13" s="47">
        <f t="shared" si="4"/>
        <v>18565</v>
      </c>
      <c r="K13" s="47">
        <f t="shared" si="5"/>
        <v>11535</v>
      </c>
      <c r="L13" s="47">
        <f t="shared" si="0"/>
        <v>49605</v>
      </c>
      <c r="M13" s="94"/>
    </row>
    <row r="14" spans="1:13" ht="24" customHeight="1">
      <c r="A14" s="107">
        <v>41426</v>
      </c>
      <c r="B14" s="46">
        <v>0</v>
      </c>
      <c r="C14" s="46">
        <v>0</v>
      </c>
      <c r="D14" s="46">
        <f t="shared" si="1"/>
        <v>266</v>
      </c>
      <c r="E14" s="46">
        <f t="shared" si="2"/>
        <v>68170</v>
      </c>
      <c r="F14" s="46"/>
      <c r="G14" s="47"/>
      <c r="H14" s="47">
        <f t="shared" si="3"/>
        <v>38070</v>
      </c>
      <c r="I14" s="47">
        <v>0</v>
      </c>
      <c r="J14" s="47">
        <f t="shared" si="4"/>
        <v>18565</v>
      </c>
      <c r="K14" s="47">
        <f t="shared" si="5"/>
        <v>49605</v>
      </c>
      <c r="L14" s="47">
        <f t="shared" si="0"/>
        <v>49605</v>
      </c>
      <c r="M14" s="94"/>
    </row>
    <row r="15" spans="1:13" ht="24" customHeight="1">
      <c r="A15" s="107">
        <v>41456</v>
      </c>
      <c r="B15" s="46">
        <v>93</v>
      </c>
      <c r="C15" s="46">
        <v>23804</v>
      </c>
      <c r="D15" s="46">
        <f t="shared" si="1"/>
        <v>359</v>
      </c>
      <c r="E15" s="46">
        <f t="shared" si="2"/>
        <v>91974</v>
      </c>
      <c r="F15" s="46"/>
      <c r="G15" s="47"/>
      <c r="H15" s="47">
        <f t="shared" si="3"/>
        <v>0</v>
      </c>
      <c r="I15" s="47">
        <v>0</v>
      </c>
      <c r="J15" s="47">
        <f t="shared" si="4"/>
        <v>18565</v>
      </c>
      <c r="K15" s="47">
        <f t="shared" si="5"/>
        <v>49605</v>
      </c>
      <c r="L15" s="47">
        <f t="shared" si="0"/>
        <v>73409</v>
      </c>
      <c r="M15" s="94"/>
    </row>
    <row r="16" spans="1:13" ht="24" customHeight="1">
      <c r="A16" s="107">
        <v>41487</v>
      </c>
      <c r="B16" s="46">
        <v>0</v>
      </c>
      <c r="C16" s="46">
        <v>0</v>
      </c>
      <c r="D16" s="46">
        <f t="shared" si="1"/>
        <v>359</v>
      </c>
      <c r="E16" s="46">
        <f t="shared" si="2"/>
        <v>91974</v>
      </c>
      <c r="F16" s="46"/>
      <c r="G16" s="47"/>
      <c r="H16" s="47">
        <f t="shared" si="3"/>
        <v>23804</v>
      </c>
      <c r="I16" s="47">
        <v>0</v>
      </c>
      <c r="J16" s="47">
        <f t="shared" si="4"/>
        <v>18565</v>
      </c>
      <c r="K16" s="47">
        <f t="shared" si="5"/>
        <v>73409</v>
      </c>
      <c r="L16" s="47">
        <f t="shared" si="0"/>
        <v>73409</v>
      </c>
      <c r="M16" s="94"/>
    </row>
    <row r="17" spans="1:13" ht="24" customHeight="1">
      <c r="A17" s="107">
        <v>41518</v>
      </c>
      <c r="B17" s="46">
        <v>108</v>
      </c>
      <c r="C17" s="46">
        <v>23544</v>
      </c>
      <c r="D17" s="46">
        <f t="shared" si="1"/>
        <v>467</v>
      </c>
      <c r="E17" s="46">
        <f t="shared" si="2"/>
        <v>115518</v>
      </c>
      <c r="F17" s="46"/>
      <c r="G17" s="47"/>
      <c r="H17" s="47">
        <f t="shared" si="3"/>
        <v>0</v>
      </c>
      <c r="I17" s="47">
        <v>0</v>
      </c>
      <c r="J17" s="47">
        <f t="shared" si="4"/>
        <v>18565</v>
      </c>
      <c r="K17" s="47">
        <f t="shared" si="5"/>
        <v>73409</v>
      </c>
      <c r="L17" s="47">
        <f t="shared" si="0"/>
        <v>96953</v>
      </c>
      <c r="M17" s="94"/>
    </row>
    <row r="18" spans="1:13" ht="24" customHeight="1">
      <c r="A18" s="107">
        <v>41548</v>
      </c>
      <c r="B18" s="46">
        <v>164</v>
      </c>
      <c r="C18" s="46">
        <v>40672</v>
      </c>
      <c r="D18" s="46">
        <f t="shared" si="1"/>
        <v>631</v>
      </c>
      <c r="E18" s="46">
        <f t="shared" si="2"/>
        <v>156190</v>
      </c>
      <c r="F18" s="46"/>
      <c r="G18" s="47"/>
      <c r="H18" s="47">
        <f t="shared" si="3"/>
        <v>23544</v>
      </c>
      <c r="I18" s="47">
        <v>0</v>
      </c>
      <c r="J18" s="47">
        <f t="shared" si="4"/>
        <v>18565</v>
      </c>
      <c r="K18" s="47">
        <f t="shared" si="5"/>
        <v>96953</v>
      </c>
      <c r="L18" s="47">
        <f t="shared" si="0"/>
        <v>137625</v>
      </c>
      <c r="M18" s="94"/>
    </row>
    <row r="19" spans="1:13" ht="24" customHeight="1">
      <c r="A19" s="107">
        <v>41579</v>
      </c>
      <c r="B19" s="46">
        <v>38</v>
      </c>
      <c r="C19" s="46">
        <v>11974</v>
      </c>
      <c r="D19" s="46">
        <f t="shared" si="1"/>
        <v>669</v>
      </c>
      <c r="E19" s="46">
        <f t="shared" si="2"/>
        <v>168164</v>
      </c>
      <c r="F19" s="46"/>
      <c r="G19" s="47"/>
      <c r="H19" s="47">
        <f t="shared" si="3"/>
        <v>40672</v>
      </c>
      <c r="I19" s="47">
        <v>0</v>
      </c>
      <c r="J19" s="47">
        <f t="shared" si="4"/>
        <v>18565</v>
      </c>
      <c r="K19" s="47">
        <f t="shared" si="5"/>
        <v>137625</v>
      </c>
      <c r="L19" s="47">
        <f t="shared" si="0"/>
        <v>149599</v>
      </c>
      <c r="M19" s="94"/>
    </row>
    <row r="20" spans="1:13" ht="24" customHeight="1">
      <c r="A20" s="107">
        <v>41609</v>
      </c>
      <c r="B20" s="46">
        <v>95</v>
      </c>
      <c r="C20" s="46">
        <v>29735</v>
      </c>
      <c r="D20" s="46">
        <f t="shared" si="1"/>
        <v>764</v>
      </c>
      <c r="E20" s="46">
        <f t="shared" si="2"/>
        <v>197899</v>
      </c>
      <c r="F20" s="46"/>
      <c r="G20" s="47"/>
      <c r="H20" s="47">
        <f t="shared" si="3"/>
        <v>11974</v>
      </c>
      <c r="I20" s="47">
        <v>0</v>
      </c>
      <c r="J20" s="47">
        <f t="shared" si="4"/>
        <v>18565</v>
      </c>
      <c r="K20" s="47">
        <f t="shared" si="5"/>
        <v>149599</v>
      </c>
      <c r="L20" s="47">
        <f t="shared" si="0"/>
        <v>179334</v>
      </c>
      <c r="M20" s="94"/>
    </row>
    <row r="21" spans="1:13" ht="24" customHeight="1">
      <c r="A21" s="107">
        <v>41640</v>
      </c>
      <c r="B21" s="46">
        <v>0</v>
      </c>
      <c r="C21" s="46">
        <v>0</v>
      </c>
      <c r="D21" s="46">
        <f t="shared" si="1"/>
        <v>764</v>
      </c>
      <c r="E21" s="46">
        <f t="shared" si="2"/>
        <v>197899</v>
      </c>
      <c r="F21" s="46"/>
      <c r="G21" s="47"/>
      <c r="H21" s="47">
        <f t="shared" si="3"/>
        <v>29735</v>
      </c>
      <c r="I21" s="47">
        <v>177584</v>
      </c>
      <c r="J21" s="47">
        <f t="shared" si="4"/>
        <v>196149</v>
      </c>
      <c r="K21" s="47">
        <f t="shared" si="5"/>
        <v>1750</v>
      </c>
      <c r="L21" s="47">
        <f t="shared" si="0"/>
        <v>1750</v>
      </c>
      <c r="M21" s="94" t="s">
        <v>1025</v>
      </c>
    </row>
    <row r="22" spans="1:13" ht="30.95" customHeight="1">
      <c r="A22" s="107">
        <v>41671</v>
      </c>
      <c r="B22" s="46">
        <v>0</v>
      </c>
      <c r="C22" s="46">
        <v>0</v>
      </c>
      <c r="D22" s="46">
        <f t="shared" si="1"/>
        <v>764</v>
      </c>
      <c r="E22" s="46">
        <f t="shared" si="2"/>
        <v>197899</v>
      </c>
      <c r="F22" s="46"/>
      <c r="G22" s="47"/>
      <c r="H22" s="47">
        <f t="shared" si="3"/>
        <v>0</v>
      </c>
      <c r="I22" s="47">
        <v>1750</v>
      </c>
      <c r="J22" s="47">
        <f t="shared" si="4"/>
        <v>197899</v>
      </c>
      <c r="K22" s="47">
        <f t="shared" si="5"/>
        <v>0</v>
      </c>
      <c r="L22" s="47">
        <f t="shared" si="0"/>
        <v>0</v>
      </c>
      <c r="M22" s="94" t="s">
        <v>1026</v>
      </c>
    </row>
    <row r="23" spans="1:13" ht="30.95" customHeight="1">
      <c r="A23" s="107">
        <v>41699</v>
      </c>
      <c r="B23" s="46">
        <v>339</v>
      </c>
      <c r="C23" s="46">
        <v>91530</v>
      </c>
      <c r="D23" s="46">
        <f t="shared" si="1"/>
        <v>1103</v>
      </c>
      <c r="E23" s="46">
        <f t="shared" si="2"/>
        <v>289429</v>
      </c>
      <c r="F23" s="46"/>
      <c r="G23" s="47"/>
      <c r="H23" s="47">
        <f t="shared" si="3"/>
        <v>0</v>
      </c>
      <c r="I23" s="47">
        <v>0</v>
      </c>
      <c r="J23" s="47">
        <f t="shared" si="4"/>
        <v>197899</v>
      </c>
      <c r="K23" s="47">
        <f t="shared" si="5"/>
        <v>0</v>
      </c>
      <c r="L23" s="47">
        <f t="shared" si="0"/>
        <v>91530</v>
      </c>
      <c r="M23" s="94"/>
    </row>
    <row r="24" spans="1:13" ht="30.95" customHeight="1">
      <c r="A24" s="1268">
        <v>41730</v>
      </c>
      <c r="B24" s="180">
        <v>335</v>
      </c>
      <c r="C24" s="180">
        <v>94160</v>
      </c>
      <c r="D24" s="180">
        <f t="shared" si="1"/>
        <v>1438</v>
      </c>
      <c r="E24" s="180">
        <f t="shared" si="2"/>
        <v>383589</v>
      </c>
      <c r="F24" s="180"/>
      <c r="G24" s="181"/>
      <c r="H24" s="181">
        <f t="shared" si="3"/>
        <v>91530</v>
      </c>
      <c r="I24" s="181">
        <v>0</v>
      </c>
      <c r="J24" s="181">
        <f t="shared" si="4"/>
        <v>197899</v>
      </c>
      <c r="K24" s="181">
        <f t="shared" si="5"/>
        <v>91530</v>
      </c>
      <c r="L24" s="181">
        <f t="shared" si="0"/>
        <v>185690</v>
      </c>
      <c r="M24" s="1275"/>
    </row>
    <row r="25" spans="1:13" ht="30.95" customHeight="1">
      <c r="A25" s="1269">
        <v>41760</v>
      </c>
      <c r="B25" s="251">
        <v>3010</v>
      </c>
      <c r="C25" s="251">
        <v>926225</v>
      </c>
      <c r="D25" s="180">
        <f t="shared" si="1"/>
        <v>4448</v>
      </c>
      <c r="E25" s="180">
        <f t="shared" si="2"/>
        <v>1309814</v>
      </c>
      <c r="F25" s="251"/>
      <c r="G25" s="555"/>
      <c r="H25" s="555">
        <f t="shared" si="3"/>
        <v>94160</v>
      </c>
      <c r="I25" s="555">
        <v>91530</v>
      </c>
      <c r="J25" s="181">
        <f t="shared" si="4"/>
        <v>289429</v>
      </c>
      <c r="K25" s="181">
        <f t="shared" si="5"/>
        <v>94160</v>
      </c>
      <c r="L25" s="181">
        <f t="shared" si="0"/>
        <v>1020385</v>
      </c>
      <c r="M25" s="1276" t="s">
        <v>1027</v>
      </c>
    </row>
    <row r="26" spans="1:13" ht="30.95" customHeight="1">
      <c r="A26" s="1270">
        <v>41791</v>
      </c>
      <c r="B26" s="181">
        <v>5475</v>
      </c>
      <c r="C26" s="181">
        <v>1834141</v>
      </c>
      <c r="D26" s="180">
        <f t="shared" si="1"/>
        <v>9923</v>
      </c>
      <c r="E26" s="180">
        <f t="shared" si="2"/>
        <v>3143955</v>
      </c>
      <c r="F26" s="180"/>
      <c r="G26" s="181"/>
      <c r="H26" s="555">
        <f t="shared" si="3"/>
        <v>926225</v>
      </c>
      <c r="I26" s="181">
        <v>94160</v>
      </c>
      <c r="J26" s="181">
        <f t="shared" si="4"/>
        <v>383589</v>
      </c>
      <c r="K26" s="181">
        <f t="shared" si="5"/>
        <v>926225</v>
      </c>
      <c r="L26" s="181">
        <f t="shared" si="0"/>
        <v>2760366</v>
      </c>
      <c r="M26" s="1220" t="s">
        <v>1028</v>
      </c>
    </row>
    <row r="27" spans="1:13" ht="30.95" customHeight="1">
      <c r="A27" s="1270">
        <v>41821</v>
      </c>
      <c r="B27" s="180">
        <v>8457</v>
      </c>
      <c r="C27" s="180">
        <v>2826262</v>
      </c>
      <c r="D27" s="180">
        <f t="shared" si="1"/>
        <v>18380</v>
      </c>
      <c r="E27" s="180">
        <f t="shared" si="2"/>
        <v>5970217</v>
      </c>
      <c r="F27" s="180"/>
      <c r="G27" s="181"/>
      <c r="H27" s="555">
        <f t="shared" si="3"/>
        <v>1834141</v>
      </c>
      <c r="I27" s="181">
        <v>926225</v>
      </c>
      <c r="J27" s="181">
        <f t="shared" si="4"/>
        <v>1309814</v>
      </c>
      <c r="K27" s="181">
        <f t="shared" si="5"/>
        <v>1834141</v>
      </c>
      <c r="L27" s="181">
        <f t="shared" si="0"/>
        <v>4660403</v>
      </c>
      <c r="M27" s="323" t="s">
        <v>1029</v>
      </c>
    </row>
    <row r="28" spans="1:13" ht="30.95" customHeight="1">
      <c r="A28" s="1269">
        <v>41852</v>
      </c>
      <c r="B28" s="180">
        <v>2171</v>
      </c>
      <c r="C28" s="180">
        <v>681275</v>
      </c>
      <c r="D28" s="180">
        <f t="shared" si="1"/>
        <v>20551</v>
      </c>
      <c r="E28" s="180">
        <f t="shared" si="2"/>
        <v>6651492</v>
      </c>
      <c r="F28" s="180"/>
      <c r="G28" s="181"/>
      <c r="H28" s="555">
        <f t="shared" si="3"/>
        <v>2826262</v>
      </c>
      <c r="I28" s="181">
        <v>1834141</v>
      </c>
      <c r="J28" s="181">
        <f t="shared" si="4"/>
        <v>3143955</v>
      </c>
      <c r="K28" s="181">
        <f t="shared" si="5"/>
        <v>2826262</v>
      </c>
      <c r="L28" s="181">
        <f t="shared" si="0"/>
        <v>3507537</v>
      </c>
      <c r="M28" s="323" t="s">
        <v>1030</v>
      </c>
    </row>
    <row r="29" spans="1:13" ht="33" customHeight="1">
      <c r="A29" s="1270">
        <v>41883</v>
      </c>
      <c r="B29" s="180">
        <v>5097</v>
      </c>
      <c r="C29" s="180">
        <v>1586040</v>
      </c>
      <c r="D29" s="180">
        <f t="shared" si="1"/>
        <v>25648</v>
      </c>
      <c r="E29" s="180">
        <f t="shared" si="2"/>
        <v>8237532</v>
      </c>
      <c r="F29" s="180"/>
      <c r="G29" s="181"/>
      <c r="H29" s="555">
        <f t="shared" si="3"/>
        <v>681275</v>
      </c>
      <c r="I29" s="181">
        <f>2826262+681275</f>
        <v>3507537</v>
      </c>
      <c r="J29" s="181">
        <f t="shared" si="4"/>
        <v>6651492</v>
      </c>
      <c r="K29" s="181">
        <f t="shared" si="5"/>
        <v>0</v>
      </c>
      <c r="L29" s="181">
        <f t="shared" si="0"/>
        <v>1586040</v>
      </c>
      <c r="M29" s="323" t="s">
        <v>1031</v>
      </c>
    </row>
    <row r="30" spans="1:13" ht="33" customHeight="1">
      <c r="A30" s="1269">
        <v>41913</v>
      </c>
      <c r="B30" s="180">
        <v>3504.5</v>
      </c>
      <c r="C30" s="180">
        <v>1075680</v>
      </c>
      <c r="D30" s="180">
        <f t="shared" si="1"/>
        <v>29152.5</v>
      </c>
      <c r="E30" s="180">
        <f t="shared" si="2"/>
        <v>9313212</v>
      </c>
      <c r="F30" s="180"/>
      <c r="G30" s="181"/>
      <c r="H30" s="555">
        <f t="shared" si="3"/>
        <v>1586040</v>
      </c>
      <c r="I30" s="181"/>
      <c r="J30" s="181">
        <f t="shared" si="4"/>
        <v>6651492</v>
      </c>
      <c r="K30" s="181">
        <f t="shared" si="5"/>
        <v>1586040</v>
      </c>
      <c r="L30" s="181">
        <f t="shared" si="0"/>
        <v>2661720</v>
      </c>
      <c r="M30" s="1282"/>
    </row>
    <row r="31" spans="1:13" ht="33" customHeight="1">
      <c r="A31" s="1270">
        <v>41944</v>
      </c>
      <c r="B31" s="180">
        <v>4278</v>
      </c>
      <c r="C31" s="180">
        <v>1280145</v>
      </c>
      <c r="D31" s="180">
        <f t="shared" si="1"/>
        <v>33430.5</v>
      </c>
      <c r="E31" s="180">
        <f t="shared" si="2"/>
        <v>10593357</v>
      </c>
      <c r="F31" s="180"/>
      <c r="G31" s="181"/>
      <c r="H31" s="555">
        <f t="shared" si="3"/>
        <v>1075680</v>
      </c>
      <c r="I31" s="181">
        <v>586040</v>
      </c>
      <c r="J31" s="181">
        <f t="shared" si="4"/>
        <v>7237532</v>
      </c>
      <c r="K31" s="181">
        <f t="shared" si="5"/>
        <v>2075680</v>
      </c>
      <c r="L31" s="181">
        <f t="shared" si="0"/>
        <v>3355825</v>
      </c>
      <c r="M31" s="323" t="s">
        <v>1032</v>
      </c>
    </row>
    <row r="32" spans="1:13" ht="33" customHeight="1">
      <c r="A32" s="1269">
        <v>41974</v>
      </c>
      <c r="B32" s="180">
        <v>186.5</v>
      </c>
      <c r="C32" s="180">
        <v>56687.5</v>
      </c>
      <c r="D32" s="180">
        <f t="shared" si="1"/>
        <v>33617</v>
      </c>
      <c r="E32" s="180">
        <f t="shared" si="2"/>
        <v>10650044.5</v>
      </c>
      <c r="F32" s="180"/>
      <c r="G32" s="181"/>
      <c r="H32" s="555">
        <f t="shared" si="3"/>
        <v>1280145</v>
      </c>
      <c r="I32" s="181">
        <v>1500000</v>
      </c>
      <c r="J32" s="181">
        <f t="shared" si="4"/>
        <v>8737532</v>
      </c>
      <c r="K32" s="181">
        <f t="shared" si="5"/>
        <v>1855825</v>
      </c>
      <c r="L32" s="181">
        <f t="shared" si="0"/>
        <v>1912512.5</v>
      </c>
      <c r="M32" s="1282" t="s">
        <v>1033</v>
      </c>
    </row>
    <row r="33" spans="1:13" ht="33" customHeight="1">
      <c r="A33" s="1327">
        <v>42005</v>
      </c>
      <c r="B33" s="180">
        <v>20</v>
      </c>
      <c r="C33" s="180">
        <v>5750</v>
      </c>
      <c r="D33" s="180">
        <f t="shared" si="1"/>
        <v>33637</v>
      </c>
      <c r="E33" s="180">
        <f t="shared" si="2"/>
        <v>10655794.5</v>
      </c>
      <c r="F33" s="180"/>
      <c r="G33" s="181"/>
      <c r="H33" s="555">
        <f t="shared" si="3"/>
        <v>56687.5</v>
      </c>
      <c r="I33" s="181">
        <v>400000</v>
      </c>
      <c r="J33" s="181">
        <f t="shared" si="4"/>
        <v>9137532</v>
      </c>
      <c r="K33" s="181">
        <f t="shared" si="5"/>
        <v>1512512.5</v>
      </c>
      <c r="L33" s="181">
        <f t="shared" si="0"/>
        <v>1518262.5</v>
      </c>
      <c r="M33" s="1282" t="s">
        <v>1034</v>
      </c>
    </row>
    <row r="34" spans="1:13" ht="33" customHeight="1">
      <c r="A34" s="1270">
        <v>42037</v>
      </c>
      <c r="B34" s="180">
        <v>0</v>
      </c>
      <c r="C34" s="180">
        <v>0</v>
      </c>
      <c r="D34" s="180">
        <f t="shared" si="1"/>
        <v>33637</v>
      </c>
      <c r="E34" s="180">
        <f t="shared" si="2"/>
        <v>10655794.5</v>
      </c>
      <c r="F34" s="180"/>
      <c r="G34" s="437"/>
      <c r="H34" s="181">
        <f t="shared" si="3"/>
        <v>5750</v>
      </c>
      <c r="I34" s="652">
        <v>512512.5</v>
      </c>
      <c r="J34" s="181">
        <f t="shared" si="4"/>
        <v>9650044.5</v>
      </c>
      <c r="K34" s="181">
        <f t="shared" si="5"/>
        <v>1005750</v>
      </c>
      <c r="L34" s="181">
        <f t="shared" si="0"/>
        <v>1005750</v>
      </c>
      <c r="M34" s="1282" t="s">
        <v>1035</v>
      </c>
    </row>
    <row r="35" spans="1:13" ht="33" customHeight="1">
      <c r="A35" s="1272">
        <v>42130</v>
      </c>
      <c r="B35" s="1328">
        <v>586</v>
      </c>
      <c r="C35" s="1328">
        <v>189230</v>
      </c>
      <c r="D35" s="180">
        <f t="shared" si="1"/>
        <v>34223</v>
      </c>
      <c r="E35" s="180">
        <f t="shared" si="2"/>
        <v>10845024.5</v>
      </c>
      <c r="F35" s="180"/>
      <c r="G35" s="181"/>
      <c r="H35" s="181">
        <f t="shared" si="3"/>
        <v>0</v>
      </c>
      <c r="I35" s="181">
        <v>500000</v>
      </c>
      <c r="J35" s="181">
        <f t="shared" si="4"/>
        <v>10150044.5</v>
      </c>
      <c r="K35" s="181">
        <f t="shared" si="5"/>
        <v>505750</v>
      </c>
      <c r="L35" s="181">
        <f t="shared" si="0"/>
        <v>694980</v>
      </c>
      <c r="M35" s="1282" t="s">
        <v>1036</v>
      </c>
    </row>
    <row r="36" spans="1:13" ht="33" customHeight="1">
      <c r="A36" s="1272">
        <v>42156</v>
      </c>
      <c r="B36" s="180">
        <v>923</v>
      </c>
      <c r="C36" s="180">
        <v>301615</v>
      </c>
      <c r="D36" s="180">
        <f t="shared" si="1"/>
        <v>35146</v>
      </c>
      <c r="E36" s="180">
        <f t="shared" si="2"/>
        <v>11146639.5</v>
      </c>
      <c r="F36" s="180"/>
      <c r="G36" s="181"/>
      <c r="H36" s="181">
        <f t="shared" si="3"/>
        <v>189230</v>
      </c>
      <c r="I36" s="181">
        <v>150000</v>
      </c>
      <c r="J36" s="181">
        <f t="shared" si="4"/>
        <v>10300044.5</v>
      </c>
      <c r="K36" s="181">
        <f t="shared" si="5"/>
        <v>544980</v>
      </c>
      <c r="L36" s="181">
        <f t="shared" si="0"/>
        <v>846595</v>
      </c>
      <c r="M36" s="1282" t="s">
        <v>1037</v>
      </c>
    </row>
    <row r="37" spans="1:13" ht="33" customHeight="1">
      <c r="A37" s="1272">
        <v>42186</v>
      </c>
      <c r="B37" s="180">
        <v>194</v>
      </c>
      <c r="C37" s="180">
        <v>60385</v>
      </c>
      <c r="D37" s="180">
        <f t="shared" si="1"/>
        <v>35340</v>
      </c>
      <c r="E37" s="180">
        <f t="shared" si="2"/>
        <v>11207024.5</v>
      </c>
      <c r="F37" s="180"/>
      <c r="G37" s="181"/>
      <c r="H37" s="181">
        <f t="shared" si="3"/>
        <v>301615</v>
      </c>
      <c r="I37" s="181">
        <v>250000</v>
      </c>
      <c r="J37" s="181">
        <f t="shared" si="4"/>
        <v>10550044.5</v>
      </c>
      <c r="K37" s="181">
        <f t="shared" si="5"/>
        <v>596595</v>
      </c>
      <c r="L37" s="181">
        <f t="shared" si="0"/>
        <v>656980</v>
      </c>
      <c r="M37" s="1282" t="s">
        <v>1038</v>
      </c>
    </row>
    <row r="38" spans="1:13" ht="33" customHeight="1">
      <c r="A38" s="1272">
        <v>42217</v>
      </c>
      <c r="B38" s="180">
        <v>89</v>
      </c>
      <c r="C38" s="180">
        <v>24920</v>
      </c>
      <c r="D38" s="180">
        <f t="shared" si="1"/>
        <v>35429</v>
      </c>
      <c r="E38" s="180">
        <f t="shared" si="2"/>
        <v>11231944.5</v>
      </c>
      <c r="F38" s="180"/>
      <c r="G38" s="181"/>
      <c r="H38" s="181">
        <f t="shared" si="3"/>
        <v>60385</v>
      </c>
      <c r="I38" s="181">
        <v>350000</v>
      </c>
      <c r="J38" s="181">
        <f t="shared" si="4"/>
        <v>10900044.5</v>
      </c>
      <c r="K38" s="181">
        <f t="shared" si="5"/>
        <v>306980</v>
      </c>
      <c r="L38" s="181">
        <f t="shared" si="0"/>
        <v>331900</v>
      </c>
      <c r="M38" s="1282" t="s">
        <v>1039</v>
      </c>
    </row>
    <row r="39" spans="1:13" ht="33" customHeight="1">
      <c r="A39" s="1272">
        <v>42248</v>
      </c>
      <c r="B39" s="180">
        <v>24</v>
      </c>
      <c r="C39" s="180">
        <v>6840</v>
      </c>
      <c r="D39" s="180">
        <f t="shared" si="1"/>
        <v>35453</v>
      </c>
      <c r="E39" s="180">
        <f t="shared" si="2"/>
        <v>11238784.5</v>
      </c>
      <c r="F39" s="180"/>
      <c r="G39" s="181"/>
      <c r="H39" s="181">
        <f t="shared" si="3"/>
        <v>24920</v>
      </c>
      <c r="I39" s="181"/>
      <c r="J39" s="181">
        <f t="shared" si="4"/>
        <v>10900044.5</v>
      </c>
      <c r="K39" s="181">
        <f t="shared" si="5"/>
        <v>331900</v>
      </c>
      <c r="L39" s="181">
        <f t="shared" si="0"/>
        <v>338740</v>
      </c>
      <c r="M39" s="1282"/>
    </row>
    <row r="40" spans="1:13" ht="33" customHeight="1">
      <c r="A40" s="1272">
        <v>42278</v>
      </c>
      <c r="B40" s="180">
        <v>9</v>
      </c>
      <c r="C40" s="180">
        <v>2520</v>
      </c>
      <c r="D40" s="180">
        <f t="shared" si="1"/>
        <v>35462</v>
      </c>
      <c r="E40" s="180">
        <f t="shared" si="2"/>
        <v>11241304.5</v>
      </c>
      <c r="F40" s="180"/>
      <c r="G40" s="181"/>
      <c r="H40" s="181">
        <f t="shared" si="3"/>
        <v>6840</v>
      </c>
      <c r="I40" s="181"/>
      <c r="J40" s="181">
        <f t="shared" si="4"/>
        <v>10900044.5</v>
      </c>
      <c r="K40" s="181">
        <f t="shared" si="5"/>
        <v>338740</v>
      </c>
      <c r="L40" s="181">
        <f t="shared" si="0"/>
        <v>341260</v>
      </c>
      <c r="M40" s="1282"/>
    </row>
    <row r="41" spans="1:13" ht="33" customHeight="1">
      <c r="A41" s="1272">
        <v>42309</v>
      </c>
      <c r="B41" s="180">
        <v>24</v>
      </c>
      <c r="C41" s="180">
        <v>6720</v>
      </c>
      <c r="D41" s="180">
        <f t="shared" si="1"/>
        <v>35486</v>
      </c>
      <c r="E41" s="180">
        <f t="shared" si="2"/>
        <v>11248024.5</v>
      </c>
      <c r="F41" s="180"/>
      <c r="G41" s="181"/>
      <c r="H41" s="181">
        <f t="shared" si="3"/>
        <v>2520</v>
      </c>
      <c r="I41" s="181">
        <v>100000</v>
      </c>
      <c r="J41" s="181">
        <f t="shared" si="4"/>
        <v>11000044.5</v>
      </c>
      <c r="K41" s="181">
        <f t="shared" si="5"/>
        <v>241260</v>
      </c>
      <c r="L41" s="181">
        <f t="shared" si="0"/>
        <v>247980</v>
      </c>
      <c r="M41" s="1282" t="s">
        <v>1040</v>
      </c>
    </row>
    <row r="42" spans="1:13" ht="33" customHeight="1">
      <c r="A42" s="1272">
        <v>42339</v>
      </c>
      <c r="B42" s="180">
        <v>0</v>
      </c>
      <c r="C42" s="180">
        <v>0</v>
      </c>
      <c r="D42" s="180">
        <f t="shared" si="1"/>
        <v>35486</v>
      </c>
      <c r="E42" s="180">
        <f t="shared" si="2"/>
        <v>11248024.5</v>
      </c>
      <c r="F42" s="180"/>
      <c r="G42" s="181"/>
      <c r="H42" s="181">
        <f t="shared" si="3"/>
        <v>6720</v>
      </c>
      <c r="I42" s="181"/>
      <c r="J42" s="181">
        <f t="shared" si="4"/>
        <v>11000044.5</v>
      </c>
      <c r="K42" s="181">
        <f t="shared" si="5"/>
        <v>247980</v>
      </c>
      <c r="L42" s="181">
        <f t="shared" si="0"/>
        <v>247980</v>
      </c>
      <c r="M42" s="1282"/>
    </row>
    <row r="43" spans="1:13" ht="33" customHeight="1">
      <c r="A43" s="1272">
        <v>42401</v>
      </c>
      <c r="B43" s="180">
        <v>0</v>
      </c>
      <c r="C43" s="180">
        <v>0</v>
      </c>
      <c r="D43" s="180">
        <f t="shared" si="1"/>
        <v>35486</v>
      </c>
      <c r="E43" s="180">
        <f t="shared" si="2"/>
        <v>11248024.5</v>
      </c>
      <c r="F43" s="180"/>
      <c r="G43" s="181"/>
      <c r="H43" s="181">
        <f t="shared" si="3"/>
        <v>0</v>
      </c>
      <c r="I43" s="181">
        <v>100000</v>
      </c>
      <c r="J43" s="181">
        <f t="shared" si="4"/>
        <v>11100044.5</v>
      </c>
      <c r="K43" s="181">
        <f t="shared" si="5"/>
        <v>147980</v>
      </c>
      <c r="L43" s="181">
        <f t="shared" si="0"/>
        <v>147980</v>
      </c>
      <c r="M43" s="1282" t="s">
        <v>1041</v>
      </c>
    </row>
    <row r="44" spans="1:13" ht="33" customHeight="1">
      <c r="A44" s="1272">
        <v>42461</v>
      </c>
      <c r="B44" s="180">
        <v>0</v>
      </c>
      <c r="C44" s="180">
        <v>0</v>
      </c>
      <c r="D44" s="180">
        <f t="shared" si="1"/>
        <v>35486</v>
      </c>
      <c r="E44" s="180">
        <f t="shared" si="2"/>
        <v>11248024.5</v>
      </c>
      <c r="F44" s="180"/>
      <c r="G44" s="181"/>
      <c r="H44" s="181">
        <f t="shared" si="3"/>
        <v>0</v>
      </c>
      <c r="I44" s="181">
        <v>30000</v>
      </c>
      <c r="J44" s="181">
        <f t="shared" si="4"/>
        <v>11130044.5</v>
      </c>
      <c r="K44" s="181">
        <f t="shared" si="5"/>
        <v>117980</v>
      </c>
      <c r="L44" s="181">
        <f t="shared" si="0"/>
        <v>117980</v>
      </c>
      <c r="M44" s="1282" t="s">
        <v>1042</v>
      </c>
    </row>
    <row r="45" spans="1:13" ht="33" customHeight="1">
      <c r="A45" s="1272">
        <v>42917</v>
      </c>
      <c r="B45" s="180">
        <v>0</v>
      </c>
      <c r="C45" s="180">
        <v>0</v>
      </c>
      <c r="D45" s="180">
        <f t="shared" si="1"/>
        <v>35486</v>
      </c>
      <c r="E45" s="180">
        <f t="shared" si="2"/>
        <v>11248024.5</v>
      </c>
      <c r="F45" s="180"/>
      <c r="G45" s="181"/>
      <c r="H45" s="181">
        <f t="shared" si="3"/>
        <v>0</v>
      </c>
      <c r="I45" s="181">
        <v>68053.399999999994</v>
      </c>
      <c r="J45" s="181">
        <f t="shared" si="4"/>
        <v>11198097.9</v>
      </c>
      <c r="K45" s="181">
        <f t="shared" si="5"/>
        <v>49926.600000000006</v>
      </c>
      <c r="L45" s="181">
        <f t="shared" si="0"/>
        <v>49926.599999999627</v>
      </c>
      <c r="M45" s="1282" t="s">
        <v>1043</v>
      </c>
    </row>
    <row r="46" spans="1:13" ht="33" customHeight="1">
      <c r="A46" s="1272"/>
      <c r="B46" s="180"/>
      <c r="C46" s="180"/>
      <c r="D46" s="180"/>
      <c r="E46" s="180"/>
      <c r="F46" s="180"/>
      <c r="G46" s="181"/>
      <c r="H46" s="181"/>
      <c r="I46" s="181"/>
      <c r="J46" s="181">
        <f t="shared" si="4"/>
        <v>11198097.9</v>
      </c>
      <c r="K46" s="181">
        <f t="shared" si="5"/>
        <v>49926.600000000006</v>
      </c>
      <c r="L46" s="181"/>
      <c r="M46" s="1282"/>
    </row>
    <row r="47" spans="1:13" ht="33" customHeight="1">
      <c r="A47" s="1272"/>
      <c r="B47" s="180"/>
      <c r="C47" s="180"/>
      <c r="D47" s="180"/>
      <c r="E47" s="180"/>
      <c r="F47" s="180"/>
      <c r="G47" s="181"/>
      <c r="H47" s="181"/>
      <c r="I47" s="181"/>
      <c r="J47" s="181"/>
      <c r="K47" s="181"/>
      <c r="L47" s="181"/>
      <c r="M47" s="1282"/>
    </row>
    <row r="48" spans="1:13" ht="33" customHeight="1">
      <c r="A48" s="1272"/>
      <c r="B48" s="180"/>
      <c r="C48" s="180"/>
      <c r="D48" s="180"/>
      <c r="E48" s="180"/>
      <c r="F48" s="180"/>
      <c r="G48" s="181"/>
      <c r="H48" s="181"/>
      <c r="I48" s="181"/>
      <c r="J48" s="181"/>
      <c r="K48" s="181"/>
      <c r="L48" s="181"/>
      <c r="M48" s="1282"/>
    </row>
    <row r="49" spans="1:13" ht="33" customHeight="1">
      <c r="A49" s="1272"/>
      <c r="B49" s="180"/>
      <c r="C49" s="180"/>
      <c r="D49" s="180"/>
      <c r="E49" s="180"/>
      <c r="F49" s="180"/>
      <c r="G49" s="181"/>
      <c r="H49" s="181"/>
      <c r="I49" s="181"/>
      <c r="J49" s="181"/>
      <c r="K49" s="181"/>
      <c r="L49" s="181"/>
      <c r="M49" s="1282"/>
    </row>
    <row r="50" spans="1:13" ht="33" customHeight="1">
      <c r="A50" s="1272"/>
      <c r="B50" s="180"/>
      <c r="C50" s="180"/>
      <c r="D50" s="180"/>
      <c r="E50" s="180"/>
      <c r="F50" s="180"/>
      <c r="G50" s="181"/>
      <c r="H50" s="181"/>
      <c r="I50" s="181"/>
      <c r="J50" s="181"/>
      <c r="K50" s="181"/>
      <c r="L50" s="181"/>
      <c r="M50" s="1282"/>
    </row>
    <row r="51" spans="1:13" ht="33" customHeight="1">
      <c r="A51" s="1272"/>
      <c r="B51" s="180"/>
      <c r="C51" s="180"/>
      <c r="D51" s="180"/>
      <c r="E51" s="180"/>
      <c r="F51" s="180"/>
      <c r="G51" s="181"/>
      <c r="H51" s="181"/>
      <c r="I51" s="181"/>
      <c r="J51" s="181"/>
      <c r="K51" s="181"/>
      <c r="L51" s="181"/>
      <c r="M51" s="1282"/>
    </row>
    <row r="52" spans="1:13" ht="33" customHeight="1"/>
  </sheetData>
  <mergeCells count="18">
    <mergeCell ref="A1:A2"/>
    <mergeCell ref="B1:B2"/>
    <mergeCell ref="C1:C2"/>
    <mergeCell ref="D1:D2"/>
    <mergeCell ref="H1:H2"/>
    <mergeCell ref="E1:G2"/>
    <mergeCell ref="B4:C4"/>
    <mergeCell ref="B5:G5"/>
    <mergeCell ref="H5:L5"/>
    <mergeCell ref="B6:D6"/>
    <mergeCell ref="F6:H6"/>
    <mergeCell ref="I6:L6"/>
    <mergeCell ref="I1:K1"/>
    <mergeCell ref="L1:M1"/>
    <mergeCell ref="I2:K2"/>
    <mergeCell ref="B3:C3"/>
    <mergeCell ref="E3:G3"/>
    <mergeCell ref="H3:I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52"/>
  <sheetViews>
    <sheetView topLeftCell="A43" zoomScaleSheetLayoutView="100" workbookViewId="0">
      <selection activeCell="H51" sqref="H51"/>
    </sheetView>
  </sheetViews>
  <sheetFormatPr defaultColWidth="9" defaultRowHeight="14.25"/>
  <cols>
    <col min="1" max="1" width="17" customWidth="1"/>
    <col min="2" max="2" width="12.875" customWidth="1"/>
    <col min="3" max="3" width="16.375" customWidth="1"/>
    <col min="4" max="4" width="13.25" customWidth="1"/>
    <col min="5" max="5" width="18.625" customWidth="1"/>
    <col min="6" max="6" width="14.375" customWidth="1"/>
    <col min="7" max="7" width="16.5" customWidth="1"/>
    <col min="8" max="8" width="16.625" customWidth="1"/>
    <col min="9" max="9" width="14.5" customWidth="1"/>
    <col min="10" max="10" width="14.125" customWidth="1"/>
    <col min="11" max="11" width="16.625" style="434" customWidth="1"/>
    <col min="12" max="12" width="14.75" customWidth="1"/>
    <col min="13" max="13" width="24.25" customWidth="1"/>
  </cols>
  <sheetData>
    <row r="1" spans="1:13" ht="42" customHeight="1">
      <c r="A1" s="34" t="s">
        <v>1044</v>
      </c>
      <c r="B1" s="55"/>
      <c r="C1" s="56" t="s">
        <v>1045</v>
      </c>
      <c r="D1" s="38" t="s">
        <v>236</v>
      </c>
      <c r="E1" s="1796" t="s">
        <v>1046</v>
      </c>
      <c r="F1" s="1790"/>
      <c r="G1" s="1790"/>
      <c r="H1" s="57" t="s">
        <v>237</v>
      </c>
      <c r="I1" s="1791" t="s">
        <v>1047</v>
      </c>
      <c r="J1" s="1791"/>
      <c r="K1" s="1797"/>
      <c r="L1" s="1791" t="s">
        <v>1048</v>
      </c>
      <c r="M1" s="1798"/>
    </row>
    <row r="2" spans="1:13" ht="33" customHeight="1">
      <c r="A2" s="39" t="s">
        <v>240</v>
      </c>
      <c r="B2" s="1637" t="s">
        <v>1049</v>
      </c>
      <c r="C2" s="1637"/>
      <c r="D2" s="41" t="s">
        <v>242</v>
      </c>
      <c r="E2" s="1637" t="s">
        <v>1049</v>
      </c>
      <c r="F2" s="1637"/>
      <c r="G2" s="1637"/>
      <c r="H2" s="41" t="s">
        <v>243</v>
      </c>
      <c r="I2" s="58" t="s">
        <v>244</v>
      </c>
      <c r="J2" s="41"/>
      <c r="K2" s="1317" t="s">
        <v>1050</v>
      </c>
      <c r="L2" s="103" t="s">
        <v>245</v>
      </c>
      <c r="M2" s="104" t="s">
        <v>1051</v>
      </c>
    </row>
    <row r="3" spans="1:13" ht="30.95" customHeight="1">
      <c r="A3" s="39" t="s">
        <v>247</v>
      </c>
      <c r="B3" s="1637" t="s">
        <v>1052</v>
      </c>
      <c r="C3" s="1637"/>
      <c r="D3" s="41" t="s">
        <v>249</v>
      </c>
      <c r="E3" s="59" t="s">
        <v>1053</v>
      </c>
      <c r="F3" s="41" t="s">
        <v>251</v>
      </c>
      <c r="G3" s="41" t="s">
        <v>1054</v>
      </c>
      <c r="H3" s="41" t="s">
        <v>252</v>
      </c>
      <c r="I3" s="41">
        <v>13922198898</v>
      </c>
      <c r="J3" s="91" t="s">
        <v>253</v>
      </c>
      <c r="K3" s="1318" t="s">
        <v>1055</v>
      </c>
      <c r="L3" s="15" t="s">
        <v>255</v>
      </c>
      <c r="M3" s="105" t="s">
        <v>1056</v>
      </c>
    </row>
    <row r="4" spans="1:13" ht="51" customHeight="1">
      <c r="A4" s="39" t="s">
        <v>260</v>
      </c>
      <c r="B4" s="1633" t="s">
        <v>1057</v>
      </c>
      <c r="C4" s="1633"/>
      <c r="D4" s="1633"/>
      <c r="E4" s="1633"/>
      <c r="F4" s="1633"/>
      <c r="G4" s="1633"/>
      <c r="H4" s="1665" t="s">
        <v>935</v>
      </c>
      <c r="I4" s="1665"/>
      <c r="J4" s="1665" t="s">
        <v>1058</v>
      </c>
      <c r="K4" s="1799"/>
      <c r="L4" s="1665"/>
      <c r="M4" s="1792"/>
    </row>
    <row r="5" spans="1:13" ht="57" customHeight="1">
      <c r="A5" s="1313" t="s">
        <v>1059</v>
      </c>
      <c r="B5" s="1665" t="s">
        <v>1060</v>
      </c>
      <c r="C5" s="1665"/>
      <c r="D5" s="1665"/>
      <c r="E5" s="1665"/>
      <c r="F5" s="1665"/>
      <c r="G5" s="1665"/>
      <c r="H5" s="60"/>
      <c r="I5" s="60"/>
      <c r="J5" s="60"/>
      <c r="K5" s="1319"/>
      <c r="L5" s="60"/>
      <c r="M5" s="1320"/>
    </row>
    <row r="6" spans="1:13" ht="54" customHeight="1">
      <c r="A6" s="39" t="s">
        <v>755</v>
      </c>
      <c r="B6" s="1648" t="s">
        <v>1061</v>
      </c>
      <c r="C6" s="1648"/>
      <c r="D6" s="1648"/>
      <c r="E6" s="1648"/>
      <c r="F6" s="1633" t="s">
        <v>1062</v>
      </c>
      <c r="G6" s="1633"/>
      <c r="H6" s="1633"/>
      <c r="I6" s="1633"/>
      <c r="J6" s="1633"/>
      <c r="K6" s="1800"/>
      <c r="L6" s="1633"/>
      <c r="M6" s="104"/>
    </row>
    <row r="7" spans="1:13" ht="30.75">
      <c r="A7" s="19" t="s">
        <v>266</v>
      </c>
      <c r="B7" s="20" t="s">
        <v>267</v>
      </c>
      <c r="C7" s="20" t="s">
        <v>268</v>
      </c>
      <c r="D7" s="20" t="s">
        <v>269</v>
      </c>
      <c r="E7" s="20" t="s">
        <v>270</v>
      </c>
      <c r="F7" s="20" t="s">
        <v>271</v>
      </c>
      <c r="G7" s="21" t="s">
        <v>272</v>
      </c>
      <c r="H7" s="22" t="s">
        <v>273</v>
      </c>
      <c r="I7" s="20" t="s">
        <v>274</v>
      </c>
      <c r="J7" s="70" t="s">
        <v>275</v>
      </c>
      <c r="K7" s="1321" t="s">
        <v>276</v>
      </c>
      <c r="L7" s="20" t="s">
        <v>277</v>
      </c>
      <c r="M7" s="71" t="s">
        <v>278</v>
      </c>
    </row>
    <row r="8" spans="1:13" ht="29.1" customHeight="1">
      <c r="A8" s="107">
        <v>41518</v>
      </c>
      <c r="B8" s="46">
        <v>433.5</v>
      </c>
      <c r="C8" s="46">
        <v>114010.5</v>
      </c>
      <c r="D8" s="46">
        <f>B8</f>
        <v>433.5</v>
      </c>
      <c r="E8" s="46">
        <f>C8</f>
        <v>114010.5</v>
      </c>
      <c r="F8" s="46"/>
      <c r="G8" s="47">
        <f>E8*0.2</f>
        <v>22802.100000000002</v>
      </c>
      <c r="H8" s="47"/>
      <c r="I8" s="47"/>
      <c r="J8" s="47"/>
      <c r="K8" s="1322"/>
      <c r="L8" s="47">
        <f>E8-J8</f>
        <v>114010.5</v>
      </c>
      <c r="M8" s="94"/>
    </row>
    <row r="9" spans="1:13" ht="29.1" customHeight="1">
      <c r="A9" s="107">
        <v>41548</v>
      </c>
      <c r="B9" s="46">
        <v>1406</v>
      </c>
      <c r="C9" s="46">
        <v>369478</v>
      </c>
      <c r="D9" s="46">
        <f t="shared" ref="D9:D28" si="0">D8+B9</f>
        <v>1839.5</v>
      </c>
      <c r="E9" s="46">
        <f t="shared" ref="E9:E28" si="1">E8+C9</f>
        <v>483488.5</v>
      </c>
      <c r="F9" s="46"/>
      <c r="G9" s="47">
        <f>C9*0.2</f>
        <v>73895.600000000006</v>
      </c>
      <c r="H9" s="47">
        <f>C8*0.8</f>
        <v>91208.400000000009</v>
      </c>
      <c r="I9" s="47"/>
      <c r="J9" s="47"/>
      <c r="K9" s="1322">
        <f>K8+H9-I9</f>
        <v>91208.400000000009</v>
      </c>
      <c r="L9" s="47">
        <f t="shared" ref="L9:L18" si="2">E9-J9</f>
        <v>483488.5</v>
      </c>
      <c r="M9" s="94"/>
    </row>
    <row r="10" spans="1:13" ht="29.1" customHeight="1">
      <c r="A10" s="107">
        <v>41579</v>
      </c>
      <c r="B10" s="46">
        <v>106</v>
      </c>
      <c r="C10" s="46">
        <v>26728</v>
      </c>
      <c r="D10" s="46">
        <f t="shared" si="0"/>
        <v>1945.5</v>
      </c>
      <c r="E10" s="46">
        <f t="shared" si="1"/>
        <v>510216.5</v>
      </c>
      <c r="F10" s="46"/>
      <c r="G10" s="47">
        <f t="shared" ref="G10:G49" si="3">C10*0.2</f>
        <v>5345.6</v>
      </c>
      <c r="H10" s="47">
        <f>C9*0.8+C8*0.2</f>
        <v>318384.5</v>
      </c>
      <c r="I10" s="47"/>
      <c r="J10" s="47"/>
      <c r="K10" s="1322">
        <f t="shared" ref="K10:K50" si="4">K9+H10-I10</f>
        <v>409592.9</v>
      </c>
      <c r="L10" s="47">
        <f t="shared" si="2"/>
        <v>510216.5</v>
      </c>
      <c r="M10" s="94" t="s">
        <v>1063</v>
      </c>
    </row>
    <row r="11" spans="1:13" ht="29.1" customHeight="1">
      <c r="A11" s="107">
        <v>41609</v>
      </c>
      <c r="B11" s="46">
        <v>320.5</v>
      </c>
      <c r="C11" s="46">
        <v>81516.5</v>
      </c>
      <c r="D11" s="46">
        <f t="shared" si="0"/>
        <v>2266</v>
      </c>
      <c r="E11" s="46">
        <f t="shared" si="1"/>
        <v>591733</v>
      </c>
      <c r="F11" s="46"/>
      <c r="G11" s="47">
        <f t="shared" si="3"/>
        <v>16303.300000000001</v>
      </c>
      <c r="H11" s="47">
        <f>C10*0.8+C9*0.2</f>
        <v>95278</v>
      </c>
      <c r="I11" s="47">
        <v>400000</v>
      </c>
      <c r="J11" s="47">
        <f>J10+I11</f>
        <v>400000</v>
      </c>
      <c r="K11" s="1322">
        <f t="shared" si="4"/>
        <v>104870.90000000002</v>
      </c>
      <c r="L11" s="47">
        <f t="shared" si="2"/>
        <v>191733</v>
      </c>
      <c r="M11" s="94"/>
    </row>
    <row r="12" spans="1:13" ht="27.95" customHeight="1">
      <c r="A12" s="107" t="s">
        <v>1064</v>
      </c>
      <c r="B12" s="46"/>
      <c r="C12" s="46">
        <v>2167.5</v>
      </c>
      <c r="D12" s="46">
        <f t="shared" si="0"/>
        <v>2266</v>
      </c>
      <c r="E12" s="46">
        <f t="shared" si="1"/>
        <v>593900.5</v>
      </c>
      <c r="F12" s="46"/>
      <c r="G12" s="47">
        <f t="shared" si="3"/>
        <v>433.5</v>
      </c>
      <c r="H12" s="47">
        <f t="shared" ref="H12:H50" si="5">C11*0.8+C10*0.2</f>
        <v>70558.8</v>
      </c>
      <c r="I12" s="47">
        <v>0</v>
      </c>
      <c r="J12" s="47">
        <f t="shared" ref="J12:J49" si="6">J11+I12</f>
        <v>400000</v>
      </c>
      <c r="K12" s="1322">
        <f t="shared" si="4"/>
        <v>175429.7</v>
      </c>
      <c r="L12" s="47">
        <f t="shared" si="2"/>
        <v>193900.5</v>
      </c>
      <c r="M12" s="94"/>
    </row>
    <row r="13" spans="1:13" ht="27.95" customHeight="1">
      <c r="A13" s="107">
        <v>41640</v>
      </c>
      <c r="B13" s="46">
        <v>124</v>
      </c>
      <c r="C13" s="46">
        <v>27932</v>
      </c>
      <c r="D13" s="46">
        <f t="shared" si="0"/>
        <v>2390</v>
      </c>
      <c r="E13" s="46">
        <f t="shared" si="1"/>
        <v>621832.5</v>
      </c>
      <c r="F13" s="46"/>
      <c r="G13" s="47">
        <f t="shared" si="3"/>
        <v>5586.4000000000005</v>
      </c>
      <c r="H13" s="47">
        <f t="shared" si="5"/>
        <v>18037.300000000003</v>
      </c>
      <c r="I13" s="47">
        <v>150000</v>
      </c>
      <c r="J13" s="47">
        <f t="shared" si="6"/>
        <v>550000</v>
      </c>
      <c r="K13" s="1322">
        <f t="shared" si="4"/>
        <v>43467</v>
      </c>
      <c r="L13" s="47">
        <f t="shared" si="2"/>
        <v>71832.5</v>
      </c>
      <c r="M13" s="94" t="s">
        <v>1065</v>
      </c>
    </row>
    <row r="14" spans="1:13" ht="27.95" customHeight="1">
      <c r="A14" s="107" t="s">
        <v>1066</v>
      </c>
      <c r="B14" s="46"/>
      <c r="C14" s="46">
        <v>137477.5</v>
      </c>
      <c r="D14" s="46">
        <f t="shared" si="0"/>
        <v>2390</v>
      </c>
      <c r="E14" s="46">
        <f t="shared" si="1"/>
        <v>759310</v>
      </c>
      <c r="F14" s="46"/>
      <c r="G14" s="47">
        <f t="shared" si="3"/>
        <v>27495.5</v>
      </c>
      <c r="H14" s="47">
        <f t="shared" si="5"/>
        <v>22779.100000000002</v>
      </c>
      <c r="I14" s="47">
        <v>0</v>
      </c>
      <c r="J14" s="47">
        <f t="shared" si="6"/>
        <v>550000</v>
      </c>
      <c r="K14" s="1322">
        <f t="shared" si="4"/>
        <v>66246.100000000006</v>
      </c>
      <c r="L14" s="47">
        <f t="shared" si="2"/>
        <v>209310</v>
      </c>
      <c r="M14" s="94"/>
    </row>
    <row r="15" spans="1:13" ht="27.95" customHeight="1">
      <c r="A15" s="107">
        <v>41671</v>
      </c>
      <c r="B15" s="46">
        <v>25</v>
      </c>
      <c r="C15" s="46">
        <v>5575</v>
      </c>
      <c r="D15" s="46">
        <f t="shared" si="0"/>
        <v>2415</v>
      </c>
      <c r="E15" s="46">
        <f t="shared" si="1"/>
        <v>764885</v>
      </c>
      <c r="F15" s="46"/>
      <c r="G15" s="47">
        <f t="shared" si="3"/>
        <v>1115</v>
      </c>
      <c r="H15" s="47">
        <f t="shared" si="5"/>
        <v>115568.4</v>
      </c>
      <c r="I15" s="47">
        <v>0</v>
      </c>
      <c r="J15" s="47">
        <f t="shared" si="6"/>
        <v>550000</v>
      </c>
      <c r="K15" s="1322">
        <f t="shared" si="4"/>
        <v>181814.5</v>
      </c>
      <c r="L15" s="47">
        <f t="shared" si="2"/>
        <v>214885</v>
      </c>
      <c r="M15" s="94"/>
    </row>
    <row r="16" spans="1:13" ht="27.95" customHeight="1">
      <c r="A16" s="107">
        <v>41699</v>
      </c>
      <c r="B16" s="46">
        <v>122</v>
      </c>
      <c r="C16" s="46">
        <v>27206</v>
      </c>
      <c r="D16" s="46">
        <f t="shared" si="0"/>
        <v>2537</v>
      </c>
      <c r="E16" s="46">
        <f t="shared" si="1"/>
        <v>792091</v>
      </c>
      <c r="F16" s="46"/>
      <c r="G16" s="47">
        <f t="shared" si="3"/>
        <v>5441.2000000000007</v>
      </c>
      <c r="H16" s="47">
        <f t="shared" si="5"/>
        <v>31955.5</v>
      </c>
      <c r="I16" s="47">
        <v>0</v>
      </c>
      <c r="J16" s="47">
        <f t="shared" si="6"/>
        <v>550000</v>
      </c>
      <c r="K16" s="1322">
        <f t="shared" si="4"/>
        <v>213770</v>
      </c>
      <c r="L16" s="47">
        <f t="shared" si="2"/>
        <v>242091</v>
      </c>
      <c r="M16" s="94" t="s">
        <v>1067</v>
      </c>
    </row>
    <row r="17" spans="1:13" ht="27.95" customHeight="1">
      <c r="A17" s="107" t="s">
        <v>1068</v>
      </c>
      <c r="B17" s="46"/>
      <c r="C17" s="46">
        <v>16345</v>
      </c>
      <c r="D17" s="46">
        <f t="shared" si="0"/>
        <v>2537</v>
      </c>
      <c r="E17" s="46">
        <f t="shared" si="1"/>
        <v>808436</v>
      </c>
      <c r="F17" s="46"/>
      <c r="G17" s="47">
        <f t="shared" si="3"/>
        <v>3269</v>
      </c>
      <c r="H17" s="47">
        <f t="shared" si="5"/>
        <v>22879.800000000003</v>
      </c>
      <c r="I17" s="47"/>
      <c r="J17" s="47">
        <f t="shared" si="6"/>
        <v>550000</v>
      </c>
      <c r="K17" s="1322">
        <f t="shared" si="4"/>
        <v>236649.8</v>
      </c>
      <c r="L17" s="47">
        <f t="shared" si="2"/>
        <v>258436</v>
      </c>
      <c r="M17" s="94"/>
    </row>
    <row r="18" spans="1:13" ht="30" customHeight="1">
      <c r="A18" s="1268">
        <v>41730</v>
      </c>
      <c r="B18" s="180">
        <v>3094</v>
      </c>
      <c r="C18" s="180">
        <v>990500</v>
      </c>
      <c r="D18" s="180">
        <f t="shared" si="0"/>
        <v>5631</v>
      </c>
      <c r="E18" s="180">
        <f t="shared" si="1"/>
        <v>1798936</v>
      </c>
      <c r="F18" s="180"/>
      <c r="G18" s="181">
        <f t="shared" si="3"/>
        <v>198100</v>
      </c>
      <c r="H18" s="181">
        <f t="shared" si="5"/>
        <v>18517.2</v>
      </c>
      <c r="I18" s="181">
        <v>235275</v>
      </c>
      <c r="J18" s="181">
        <f t="shared" si="6"/>
        <v>785275</v>
      </c>
      <c r="K18" s="294">
        <f t="shared" si="4"/>
        <v>19892</v>
      </c>
      <c r="L18" s="294">
        <f t="shared" si="2"/>
        <v>1013661</v>
      </c>
      <c r="M18" s="1275"/>
    </row>
    <row r="19" spans="1:13" ht="30" customHeight="1">
      <c r="A19" s="1270">
        <v>41760</v>
      </c>
      <c r="B19" s="180">
        <v>1536</v>
      </c>
      <c r="C19" s="180">
        <v>500220</v>
      </c>
      <c r="D19" s="180">
        <f t="shared" si="0"/>
        <v>7167</v>
      </c>
      <c r="E19" s="180">
        <f t="shared" si="1"/>
        <v>2299156</v>
      </c>
      <c r="F19" s="180"/>
      <c r="G19" s="181">
        <f t="shared" si="3"/>
        <v>100044</v>
      </c>
      <c r="H19" s="181">
        <f t="shared" si="5"/>
        <v>795669</v>
      </c>
      <c r="I19" s="181">
        <v>800000</v>
      </c>
      <c r="J19" s="181">
        <f t="shared" si="6"/>
        <v>1585275</v>
      </c>
      <c r="K19" s="294">
        <f t="shared" si="4"/>
        <v>15561</v>
      </c>
      <c r="L19" s="294">
        <f t="shared" ref="L19:L49" si="7">E19-J19</f>
        <v>713881</v>
      </c>
      <c r="M19" s="1275" t="s">
        <v>1069</v>
      </c>
    </row>
    <row r="20" spans="1:13" ht="30" customHeight="1">
      <c r="A20" s="1270">
        <v>41791</v>
      </c>
      <c r="B20" s="180">
        <v>1780</v>
      </c>
      <c r="C20" s="180">
        <v>587402.5</v>
      </c>
      <c r="D20" s="180">
        <f t="shared" si="0"/>
        <v>8947</v>
      </c>
      <c r="E20" s="180">
        <f t="shared" si="1"/>
        <v>2886558.5</v>
      </c>
      <c r="F20" s="180"/>
      <c r="G20" s="181">
        <f t="shared" si="3"/>
        <v>117480.5</v>
      </c>
      <c r="H20" s="181">
        <f t="shared" si="5"/>
        <v>598276</v>
      </c>
      <c r="I20" s="181">
        <v>0</v>
      </c>
      <c r="J20" s="181">
        <f t="shared" si="6"/>
        <v>1585275</v>
      </c>
      <c r="K20" s="294">
        <f t="shared" si="4"/>
        <v>613837</v>
      </c>
      <c r="L20" s="294">
        <f t="shared" si="7"/>
        <v>1301283.5</v>
      </c>
      <c r="M20" s="1275"/>
    </row>
    <row r="21" spans="1:13" ht="30" customHeight="1">
      <c r="A21" s="1270" t="s">
        <v>1070</v>
      </c>
      <c r="B21" s="180"/>
      <c r="C21" s="1314">
        <v>-8643.06</v>
      </c>
      <c r="D21" s="180">
        <f t="shared" si="0"/>
        <v>8947</v>
      </c>
      <c r="E21" s="180">
        <f t="shared" si="1"/>
        <v>2877915.44</v>
      </c>
      <c r="F21" s="180"/>
      <c r="G21" s="181">
        <f t="shared" si="3"/>
        <v>-1728.6120000000001</v>
      </c>
      <c r="H21" s="181">
        <f t="shared" si="5"/>
        <v>569966</v>
      </c>
      <c r="I21" s="181"/>
      <c r="J21" s="181">
        <f t="shared" si="6"/>
        <v>1585275</v>
      </c>
      <c r="K21" s="294">
        <f t="shared" si="4"/>
        <v>1183803</v>
      </c>
      <c r="L21" s="294">
        <f t="shared" si="7"/>
        <v>1292640.44</v>
      </c>
      <c r="M21" s="1275"/>
    </row>
    <row r="22" spans="1:13" ht="30" customHeight="1">
      <c r="A22" s="1270">
        <v>41821</v>
      </c>
      <c r="B22" s="180">
        <v>1600.5</v>
      </c>
      <c r="C22" s="180">
        <v>519475</v>
      </c>
      <c r="D22" s="180">
        <f t="shared" si="0"/>
        <v>10547.5</v>
      </c>
      <c r="E22" s="180">
        <f t="shared" si="1"/>
        <v>3397390.44</v>
      </c>
      <c r="F22" s="180"/>
      <c r="G22" s="181">
        <f t="shared" si="3"/>
        <v>103895</v>
      </c>
      <c r="H22" s="181">
        <f t="shared" si="5"/>
        <v>110566.052</v>
      </c>
      <c r="I22" s="181">
        <f>500000+500000</f>
        <v>1000000</v>
      </c>
      <c r="J22" s="181">
        <f t="shared" si="6"/>
        <v>2585275</v>
      </c>
      <c r="K22" s="294">
        <f t="shared" si="4"/>
        <v>294369.05199999991</v>
      </c>
      <c r="L22" s="294">
        <f t="shared" si="7"/>
        <v>812115.44</v>
      </c>
      <c r="M22" s="1323" t="s">
        <v>1071</v>
      </c>
    </row>
    <row r="23" spans="1:13" ht="30" customHeight="1">
      <c r="A23" s="1270" t="s">
        <v>1072</v>
      </c>
      <c r="B23" s="180"/>
      <c r="C23" s="1314">
        <v>-14524.47</v>
      </c>
      <c r="D23" s="180">
        <f t="shared" si="0"/>
        <v>10547.5</v>
      </c>
      <c r="E23" s="180">
        <f t="shared" si="1"/>
        <v>3382865.9699999997</v>
      </c>
      <c r="F23" s="180"/>
      <c r="G23" s="181">
        <f t="shared" si="3"/>
        <v>-2904.8940000000002</v>
      </c>
      <c r="H23" s="181">
        <f t="shared" si="5"/>
        <v>413851.38799999998</v>
      </c>
      <c r="I23" s="181"/>
      <c r="J23" s="181">
        <f t="shared" si="6"/>
        <v>2585275</v>
      </c>
      <c r="K23" s="294">
        <f t="shared" si="4"/>
        <v>708220.44</v>
      </c>
      <c r="L23" s="294">
        <f t="shared" si="7"/>
        <v>797590.96999999974</v>
      </c>
      <c r="M23" s="1323"/>
    </row>
    <row r="24" spans="1:13" ht="30" customHeight="1">
      <c r="A24" s="1270">
        <v>41852</v>
      </c>
      <c r="B24" s="180">
        <v>1780</v>
      </c>
      <c r="C24" s="180">
        <v>564580</v>
      </c>
      <c r="D24" s="180">
        <f t="shared" si="0"/>
        <v>12327.5</v>
      </c>
      <c r="E24" s="180">
        <f t="shared" si="1"/>
        <v>3947445.9699999997</v>
      </c>
      <c r="F24" s="180"/>
      <c r="G24" s="181">
        <f t="shared" si="3"/>
        <v>112916</v>
      </c>
      <c r="H24" s="181">
        <f t="shared" si="5"/>
        <v>92275.423999999999</v>
      </c>
      <c r="I24" s="181">
        <v>450000</v>
      </c>
      <c r="J24" s="181">
        <f t="shared" si="6"/>
        <v>3035275</v>
      </c>
      <c r="K24" s="294">
        <f t="shared" si="4"/>
        <v>350495.86399999994</v>
      </c>
      <c r="L24" s="294">
        <f t="shared" si="7"/>
        <v>912170.96999999974</v>
      </c>
      <c r="M24" s="1323" t="s">
        <v>1073</v>
      </c>
    </row>
    <row r="25" spans="1:13" ht="30" customHeight="1">
      <c r="A25" s="1270" t="s">
        <v>1074</v>
      </c>
      <c r="B25" s="340"/>
      <c r="C25" s="1315">
        <v>-15464.63</v>
      </c>
      <c r="D25" s="180">
        <f t="shared" si="0"/>
        <v>12327.5</v>
      </c>
      <c r="E25" s="180">
        <f t="shared" si="1"/>
        <v>3931981.34</v>
      </c>
      <c r="F25" s="340"/>
      <c r="G25" s="181">
        <f t="shared" si="3"/>
        <v>-3092.9259999999999</v>
      </c>
      <c r="H25" s="181">
        <f t="shared" si="5"/>
        <v>448759.10600000003</v>
      </c>
      <c r="I25" s="457"/>
      <c r="J25" s="181">
        <f t="shared" si="6"/>
        <v>3035275</v>
      </c>
      <c r="K25" s="294">
        <f t="shared" si="4"/>
        <v>799254.97</v>
      </c>
      <c r="L25" s="294">
        <f t="shared" si="7"/>
        <v>896706.33999999985</v>
      </c>
      <c r="M25" s="1324"/>
    </row>
    <row r="26" spans="1:13" ht="30" customHeight="1">
      <c r="A26" s="1270">
        <v>41883</v>
      </c>
      <c r="B26" s="340">
        <v>1742.5</v>
      </c>
      <c r="C26" s="181">
        <v>545350</v>
      </c>
      <c r="D26" s="180">
        <f t="shared" si="0"/>
        <v>14070</v>
      </c>
      <c r="E26" s="180">
        <f t="shared" si="1"/>
        <v>4477331.34</v>
      </c>
      <c r="F26" s="340"/>
      <c r="G26" s="181">
        <f t="shared" si="3"/>
        <v>109070</v>
      </c>
      <c r="H26" s="181">
        <f t="shared" si="5"/>
        <v>100544.296</v>
      </c>
      <c r="I26" s="457">
        <v>600000</v>
      </c>
      <c r="J26" s="181">
        <f t="shared" si="6"/>
        <v>3635275</v>
      </c>
      <c r="K26" s="294">
        <f t="shared" si="4"/>
        <v>299799.26599999995</v>
      </c>
      <c r="L26" s="294">
        <f t="shared" si="7"/>
        <v>842056.33999999985</v>
      </c>
      <c r="M26" s="1324" t="s">
        <v>1075</v>
      </c>
    </row>
    <row r="27" spans="1:13" ht="30" customHeight="1">
      <c r="A27" s="1270" t="s">
        <v>1076</v>
      </c>
      <c r="B27" s="340"/>
      <c r="C27" s="316">
        <v>-19387.173500000001</v>
      </c>
      <c r="D27" s="180">
        <f t="shared" si="0"/>
        <v>14070</v>
      </c>
      <c r="E27" s="224">
        <f t="shared" si="1"/>
        <v>4457944.1665000003</v>
      </c>
      <c r="F27" s="340"/>
      <c r="G27" s="181">
        <f t="shared" si="3"/>
        <v>-3877.4347000000002</v>
      </c>
      <c r="H27" s="181">
        <f t="shared" si="5"/>
        <v>433187.07400000002</v>
      </c>
      <c r="I27" s="457"/>
      <c r="J27" s="181">
        <f t="shared" si="6"/>
        <v>3635275</v>
      </c>
      <c r="K27" s="294">
        <f t="shared" si="4"/>
        <v>732986.34</v>
      </c>
      <c r="L27" s="294">
        <f t="shared" si="7"/>
        <v>822669.16650000028</v>
      </c>
      <c r="M27" s="1324"/>
    </row>
    <row r="28" spans="1:13" ht="30" customHeight="1">
      <c r="A28" s="1270">
        <v>41913</v>
      </c>
      <c r="B28" s="340">
        <v>2073.5</v>
      </c>
      <c r="C28" s="457">
        <v>642675</v>
      </c>
      <c r="D28" s="180">
        <f t="shared" si="0"/>
        <v>16143.5</v>
      </c>
      <c r="E28" s="224">
        <f t="shared" si="1"/>
        <v>5100619.1665000003</v>
      </c>
      <c r="F28" s="340"/>
      <c r="G28" s="181">
        <f t="shared" si="3"/>
        <v>128535</v>
      </c>
      <c r="H28" s="181">
        <f t="shared" si="5"/>
        <v>93560.261199999994</v>
      </c>
      <c r="I28" s="457">
        <v>550000</v>
      </c>
      <c r="J28" s="181">
        <f t="shared" si="6"/>
        <v>4185275</v>
      </c>
      <c r="K28" s="294">
        <f t="shared" si="4"/>
        <v>276546.60119999992</v>
      </c>
      <c r="L28" s="294">
        <f t="shared" si="7"/>
        <v>915344.16650000028</v>
      </c>
      <c r="M28" s="1324" t="s">
        <v>1077</v>
      </c>
    </row>
    <row r="29" spans="1:13" ht="30" customHeight="1">
      <c r="A29" s="1270" t="s">
        <v>1078</v>
      </c>
      <c r="B29" s="340"/>
      <c r="C29" s="316">
        <v>-20632.669999999998</v>
      </c>
      <c r="D29" s="180">
        <f t="shared" ref="D29:D49" si="8">D28+B29</f>
        <v>16143.5</v>
      </c>
      <c r="E29" s="224">
        <f t="shared" ref="E29:E49" si="9">E28+C29</f>
        <v>5079986.4965000004</v>
      </c>
      <c r="F29" s="340"/>
      <c r="G29" s="181">
        <f t="shared" si="3"/>
        <v>-4126.5339999999997</v>
      </c>
      <c r="H29" s="181">
        <f t="shared" si="5"/>
        <v>510262.56530000002</v>
      </c>
      <c r="I29" s="457"/>
      <c r="J29" s="181">
        <f t="shared" si="6"/>
        <v>4185275</v>
      </c>
      <c r="K29" s="294">
        <f t="shared" si="4"/>
        <v>786809.16649999993</v>
      </c>
      <c r="L29" s="294">
        <f t="shared" si="7"/>
        <v>894711.49650000036</v>
      </c>
      <c r="M29" s="1324"/>
    </row>
    <row r="30" spans="1:13" ht="30" customHeight="1">
      <c r="A30" s="1270">
        <v>41945</v>
      </c>
      <c r="B30" s="340">
        <v>612.5</v>
      </c>
      <c r="C30" s="457">
        <v>192845</v>
      </c>
      <c r="D30" s="180">
        <f t="shared" si="8"/>
        <v>16756</v>
      </c>
      <c r="E30" s="224">
        <f t="shared" si="9"/>
        <v>5272831.4965000004</v>
      </c>
      <c r="F30" s="340"/>
      <c r="G30" s="181">
        <f t="shared" si="3"/>
        <v>38569</v>
      </c>
      <c r="H30" s="181">
        <f t="shared" si="5"/>
        <v>112028.864</v>
      </c>
      <c r="I30" s="457">
        <v>600000</v>
      </c>
      <c r="J30" s="181">
        <f t="shared" si="6"/>
        <v>4785275</v>
      </c>
      <c r="K30" s="294">
        <f t="shared" si="4"/>
        <v>298838.03049999988</v>
      </c>
      <c r="L30" s="294">
        <f t="shared" si="7"/>
        <v>487556.49650000036</v>
      </c>
      <c r="M30" s="1324" t="s">
        <v>1079</v>
      </c>
    </row>
    <row r="31" spans="1:13" ht="30" customHeight="1">
      <c r="A31" s="1270" t="s">
        <v>1080</v>
      </c>
      <c r="B31" s="340"/>
      <c r="C31" s="316">
        <v>-5566.54</v>
      </c>
      <c r="D31" s="180">
        <f t="shared" si="8"/>
        <v>16756</v>
      </c>
      <c r="E31" s="224">
        <f t="shared" si="9"/>
        <v>5267264.9565000003</v>
      </c>
      <c r="F31" s="340"/>
      <c r="G31" s="181">
        <f t="shared" si="3"/>
        <v>-1113.308</v>
      </c>
      <c r="H31" s="181">
        <f t="shared" si="5"/>
        <v>150149.46600000001</v>
      </c>
      <c r="I31" s="457"/>
      <c r="J31" s="181">
        <f t="shared" si="6"/>
        <v>4785275</v>
      </c>
      <c r="K31" s="294">
        <f t="shared" si="4"/>
        <v>448987.49649999989</v>
      </c>
      <c r="L31" s="294">
        <f t="shared" si="7"/>
        <v>481989.95650000032</v>
      </c>
      <c r="M31" s="1324"/>
    </row>
    <row r="32" spans="1:13" ht="30" customHeight="1">
      <c r="A32" s="1270">
        <v>41977</v>
      </c>
      <c r="B32" s="340">
        <v>27.5</v>
      </c>
      <c r="C32" s="457">
        <v>9830</v>
      </c>
      <c r="D32" s="180">
        <f t="shared" si="8"/>
        <v>16783.5</v>
      </c>
      <c r="E32" s="224">
        <f t="shared" si="9"/>
        <v>5277094.9565000003</v>
      </c>
      <c r="F32" s="340"/>
      <c r="G32" s="181">
        <f t="shared" si="3"/>
        <v>1966</v>
      </c>
      <c r="H32" s="181">
        <f t="shared" si="5"/>
        <v>34115.767999999996</v>
      </c>
      <c r="I32" s="457">
        <v>200000</v>
      </c>
      <c r="J32" s="181">
        <f t="shared" si="6"/>
        <v>4985275</v>
      </c>
      <c r="K32" s="294">
        <f t="shared" si="4"/>
        <v>283103.26449999987</v>
      </c>
      <c r="L32" s="294">
        <f t="shared" si="7"/>
        <v>291819.95650000032</v>
      </c>
      <c r="M32" s="1324" t="s">
        <v>1081</v>
      </c>
    </row>
    <row r="33" spans="1:13" ht="30" customHeight="1">
      <c r="A33" s="1292" t="s">
        <v>1082</v>
      </c>
      <c r="B33" s="340"/>
      <c r="C33" s="316">
        <v>-349.61</v>
      </c>
      <c r="D33" s="180">
        <f t="shared" si="8"/>
        <v>16783.5</v>
      </c>
      <c r="E33" s="224">
        <f t="shared" si="9"/>
        <v>5276745.3465</v>
      </c>
      <c r="F33" s="340"/>
      <c r="G33" s="181">
        <f t="shared" si="3"/>
        <v>-69.922000000000011</v>
      </c>
      <c r="H33" s="181">
        <f t="shared" si="5"/>
        <v>6750.692</v>
      </c>
      <c r="I33" s="457"/>
      <c r="J33" s="181">
        <f t="shared" si="6"/>
        <v>4985275</v>
      </c>
      <c r="K33" s="294">
        <f t="shared" si="4"/>
        <v>289853.95649999985</v>
      </c>
      <c r="L33" s="294">
        <f t="shared" si="7"/>
        <v>291470.34649999999</v>
      </c>
      <c r="M33" s="1324"/>
    </row>
    <row r="34" spans="1:13" ht="30" customHeight="1">
      <c r="A34" s="1292">
        <v>42005</v>
      </c>
      <c r="B34" s="340">
        <v>34.5</v>
      </c>
      <c r="C34" s="457">
        <v>12990</v>
      </c>
      <c r="D34" s="180">
        <f t="shared" si="8"/>
        <v>16818</v>
      </c>
      <c r="E34" s="224">
        <f t="shared" si="9"/>
        <v>5289735.3465</v>
      </c>
      <c r="F34" s="340"/>
      <c r="G34" s="181">
        <f t="shared" si="3"/>
        <v>2598</v>
      </c>
      <c r="H34" s="181">
        <f t="shared" si="5"/>
        <v>1686.3119999999999</v>
      </c>
      <c r="I34" s="457">
        <v>100000</v>
      </c>
      <c r="J34" s="181">
        <f t="shared" si="6"/>
        <v>5085275</v>
      </c>
      <c r="K34" s="294">
        <f t="shared" si="4"/>
        <v>191540.26849999983</v>
      </c>
      <c r="L34" s="294">
        <f t="shared" si="7"/>
        <v>204460.34649999999</v>
      </c>
      <c r="M34" s="1324" t="s">
        <v>1083</v>
      </c>
    </row>
    <row r="35" spans="1:13" ht="30" customHeight="1">
      <c r="A35" s="1292">
        <v>42037</v>
      </c>
      <c r="B35" s="340">
        <v>9.5</v>
      </c>
      <c r="C35" s="457">
        <v>3705</v>
      </c>
      <c r="D35" s="180">
        <f t="shared" si="8"/>
        <v>16827.5</v>
      </c>
      <c r="E35" s="224">
        <f t="shared" si="9"/>
        <v>5293440.3465</v>
      </c>
      <c r="F35" s="340"/>
      <c r="G35" s="181">
        <f t="shared" si="3"/>
        <v>741</v>
      </c>
      <c r="H35" s="181">
        <f t="shared" si="5"/>
        <v>10322.078</v>
      </c>
      <c r="I35" s="457">
        <v>100000</v>
      </c>
      <c r="J35" s="181">
        <f t="shared" si="6"/>
        <v>5185275</v>
      </c>
      <c r="K35" s="294">
        <f t="shared" si="4"/>
        <v>101862.34649999984</v>
      </c>
      <c r="L35" s="294">
        <f t="shared" si="7"/>
        <v>108165.34649999999</v>
      </c>
      <c r="M35" s="1324" t="s">
        <v>1084</v>
      </c>
    </row>
    <row r="36" spans="1:13" ht="30" customHeight="1">
      <c r="A36" s="1292">
        <v>42069</v>
      </c>
      <c r="B36" s="340">
        <v>16.5</v>
      </c>
      <c r="C36" s="457">
        <v>4860</v>
      </c>
      <c r="D36" s="180">
        <f t="shared" si="8"/>
        <v>16844</v>
      </c>
      <c r="E36" s="224">
        <f t="shared" si="9"/>
        <v>5298300.3465</v>
      </c>
      <c r="F36" s="340"/>
      <c r="G36" s="181">
        <f t="shared" si="3"/>
        <v>972</v>
      </c>
      <c r="H36" s="181">
        <f t="shared" si="5"/>
        <v>5562</v>
      </c>
      <c r="I36" s="457"/>
      <c r="J36" s="181">
        <f t="shared" si="6"/>
        <v>5185275</v>
      </c>
      <c r="K36" s="294">
        <f t="shared" si="4"/>
        <v>107424.34649999984</v>
      </c>
      <c r="L36" s="294">
        <f t="shared" si="7"/>
        <v>113025.34649999999</v>
      </c>
      <c r="M36" s="1324"/>
    </row>
    <row r="37" spans="1:13" ht="30" customHeight="1">
      <c r="A37" s="1272">
        <v>42095</v>
      </c>
      <c r="B37" s="180">
        <v>137.5</v>
      </c>
      <c r="C37" s="299">
        <v>40875</v>
      </c>
      <c r="D37" s="180">
        <f t="shared" si="8"/>
        <v>16981.5</v>
      </c>
      <c r="E37" s="224">
        <f t="shared" si="9"/>
        <v>5339175.3465</v>
      </c>
      <c r="F37" s="180"/>
      <c r="G37" s="181">
        <f t="shared" si="3"/>
        <v>8175</v>
      </c>
      <c r="H37" s="181">
        <f t="shared" si="5"/>
        <v>4629</v>
      </c>
      <c r="I37" s="181"/>
      <c r="J37" s="181">
        <f t="shared" si="6"/>
        <v>5185275</v>
      </c>
      <c r="K37" s="294">
        <f t="shared" si="4"/>
        <v>112053.34649999984</v>
      </c>
      <c r="L37" s="294">
        <f t="shared" si="7"/>
        <v>153900.34649999999</v>
      </c>
      <c r="M37" s="1282"/>
    </row>
    <row r="38" spans="1:13" ht="30" customHeight="1">
      <c r="A38" s="1272">
        <v>42125</v>
      </c>
      <c r="B38" s="180">
        <v>58</v>
      </c>
      <c r="C38" s="181">
        <v>17055</v>
      </c>
      <c r="D38" s="180">
        <f t="shared" si="8"/>
        <v>17039.5</v>
      </c>
      <c r="E38" s="224">
        <f t="shared" si="9"/>
        <v>5356230.3465</v>
      </c>
      <c r="F38" s="180"/>
      <c r="G38" s="181">
        <f t="shared" si="3"/>
        <v>3411</v>
      </c>
      <c r="H38" s="181">
        <f t="shared" si="5"/>
        <v>33672</v>
      </c>
      <c r="I38" s="181"/>
      <c r="J38" s="181">
        <f t="shared" si="6"/>
        <v>5185275</v>
      </c>
      <c r="K38" s="294">
        <f t="shared" si="4"/>
        <v>145725.34649999984</v>
      </c>
      <c r="L38" s="294">
        <f t="shared" si="7"/>
        <v>170955.34649999999</v>
      </c>
      <c r="M38" s="1282"/>
    </row>
    <row r="39" spans="1:13" ht="30" customHeight="1">
      <c r="A39" s="1272">
        <v>42156</v>
      </c>
      <c r="B39" s="180">
        <v>5</v>
      </c>
      <c r="C39" s="181">
        <v>1540</v>
      </c>
      <c r="D39" s="180">
        <f t="shared" si="8"/>
        <v>17044.5</v>
      </c>
      <c r="E39" s="224">
        <f t="shared" si="9"/>
        <v>5357770.3465</v>
      </c>
      <c r="F39" s="180"/>
      <c r="G39" s="181">
        <f t="shared" si="3"/>
        <v>308</v>
      </c>
      <c r="H39" s="181">
        <f t="shared" si="5"/>
        <v>21819</v>
      </c>
      <c r="I39" s="181">
        <v>80000</v>
      </c>
      <c r="J39" s="181">
        <f t="shared" si="6"/>
        <v>5265275</v>
      </c>
      <c r="K39" s="294">
        <f t="shared" si="4"/>
        <v>87544.34649999984</v>
      </c>
      <c r="L39" s="294">
        <f t="shared" si="7"/>
        <v>92495.346499999985</v>
      </c>
      <c r="M39" s="1282" t="s">
        <v>1085</v>
      </c>
    </row>
    <row r="40" spans="1:13" ht="30" customHeight="1">
      <c r="A40" s="1272">
        <v>42186</v>
      </c>
      <c r="B40" s="180">
        <v>16</v>
      </c>
      <c r="C40" s="181">
        <v>4960</v>
      </c>
      <c r="D40" s="180">
        <f t="shared" si="8"/>
        <v>17060.5</v>
      </c>
      <c r="E40" s="224">
        <f t="shared" si="9"/>
        <v>5362730.3465</v>
      </c>
      <c r="F40" s="180"/>
      <c r="G40" s="181">
        <f t="shared" si="3"/>
        <v>992</v>
      </c>
      <c r="H40" s="181">
        <f t="shared" si="5"/>
        <v>4643</v>
      </c>
      <c r="I40" s="181"/>
      <c r="J40" s="181">
        <f t="shared" si="6"/>
        <v>5265275</v>
      </c>
      <c r="K40" s="294">
        <f t="shared" si="4"/>
        <v>92187.34649999984</v>
      </c>
      <c r="L40" s="294">
        <f t="shared" si="7"/>
        <v>97455.346499999985</v>
      </c>
      <c r="M40" s="1282"/>
    </row>
    <row r="41" spans="1:13" ht="30" customHeight="1">
      <c r="A41" s="1272">
        <v>42217</v>
      </c>
      <c r="B41" s="180">
        <v>12.5</v>
      </c>
      <c r="C41" s="181">
        <v>3720</v>
      </c>
      <c r="D41" s="180">
        <f t="shared" si="8"/>
        <v>17073</v>
      </c>
      <c r="E41" s="224">
        <f t="shared" si="9"/>
        <v>5366450.3465</v>
      </c>
      <c r="F41" s="180"/>
      <c r="G41" s="181">
        <f t="shared" si="3"/>
        <v>744</v>
      </c>
      <c r="H41" s="181">
        <f t="shared" si="5"/>
        <v>4276</v>
      </c>
      <c r="I41" s="181"/>
      <c r="J41" s="181">
        <f t="shared" si="6"/>
        <v>5265275</v>
      </c>
      <c r="K41" s="294">
        <f t="shared" si="4"/>
        <v>96463.34649999984</v>
      </c>
      <c r="L41" s="294">
        <f t="shared" si="7"/>
        <v>101175.34649999999</v>
      </c>
      <c r="M41" s="1282"/>
    </row>
    <row r="42" spans="1:13" ht="30" customHeight="1">
      <c r="A42" s="1272">
        <v>42248</v>
      </c>
      <c r="B42" s="180">
        <v>33</v>
      </c>
      <c r="C42" s="181">
        <v>10030</v>
      </c>
      <c r="D42" s="180">
        <f t="shared" si="8"/>
        <v>17106</v>
      </c>
      <c r="E42" s="224">
        <f t="shared" si="9"/>
        <v>5376480.3465</v>
      </c>
      <c r="F42" s="180"/>
      <c r="G42" s="181">
        <f t="shared" si="3"/>
        <v>2006</v>
      </c>
      <c r="H42" s="181">
        <f t="shared" si="5"/>
        <v>3968</v>
      </c>
      <c r="I42" s="181">
        <v>50000</v>
      </c>
      <c r="J42" s="181">
        <f t="shared" si="6"/>
        <v>5315275</v>
      </c>
      <c r="K42" s="294">
        <f t="shared" si="4"/>
        <v>50431.34649999984</v>
      </c>
      <c r="L42" s="294">
        <f t="shared" si="7"/>
        <v>61205.346499999985</v>
      </c>
      <c r="M42" s="1282" t="s">
        <v>1086</v>
      </c>
    </row>
    <row r="43" spans="1:13" ht="30" customHeight="1">
      <c r="A43" s="1272">
        <v>42278</v>
      </c>
      <c r="B43" s="180">
        <v>30</v>
      </c>
      <c r="C43" s="181">
        <v>9000</v>
      </c>
      <c r="D43" s="180">
        <f t="shared" si="8"/>
        <v>17136</v>
      </c>
      <c r="E43" s="224">
        <f t="shared" si="9"/>
        <v>5385480.3465</v>
      </c>
      <c r="F43" s="180"/>
      <c r="G43" s="181">
        <f t="shared" si="3"/>
        <v>1800</v>
      </c>
      <c r="H43" s="181">
        <f t="shared" si="5"/>
        <v>8768</v>
      </c>
      <c r="I43" s="181"/>
      <c r="J43" s="181">
        <f t="shared" si="6"/>
        <v>5315275</v>
      </c>
      <c r="K43" s="294">
        <f t="shared" si="4"/>
        <v>59199.34649999984</v>
      </c>
      <c r="L43" s="294">
        <f t="shared" si="7"/>
        <v>70205.346499999985</v>
      </c>
      <c r="M43" s="1282"/>
    </row>
    <row r="44" spans="1:13" ht="30" customHeight="1">
      <c r="A44" s="1272">
        <v>42309</v>
      </c>
      <c r="B44" s="180">
        <v>598.5</v>
      </c>
      <c r="C44" s="181">
        <v>180040</v>
      </c>
      <c r="D44" s="180">
        <f t="shared" si="8"/>
        <v>17734.5</v>
      </c>
      <c r="E44" s="224">
        <f t="shared" si="9"/>
        <v>5565520.3465</v>
      </c>
      <c r="F44" s="180"/>
      <c r="G44" s="181">
        <f t="shared" si="3"/>
        <v>36008</v>
      </c>
      <c r="H44" s="181">
        <f t="shared" si="5"/>
        <v>9206</v>
      </c>
      <c r="I44" s="181"/>
      <c r="J44" s="181">
        <f t="shared" si="6"/>
        <v>5315275</v>
      </c>
      <c r="K44" s="294">
        <f t="shared" si="4"/>
        <v>68405.34649999984</v>
      </c>
      <c r="L44" s="294">
        <f t="shared" si="7"/>
        <v>250245.34649999999</v>
      </c>
      <c r="M44" s="1282"/>
    </row>
    <row r="45" spans="1:13" ht="30" customHeight="1">
      <c r="A45" s="1272">
        <v>42339</v>
      </c>
      <c r="B45" s="180">
        <v>87</v>
      </c>
      <c r="C45" s="181">
        <v>26330</v>
      </c>
      <c r="D45" s="180">
        <f t="shared" si="8"/>
        <v>17821.5</v>
      </c>
      <c r="E45" s="224">
        <f t="shared" si="9"/>
        <v>5591850.3465</v>
      </c>
      <c r="F45" s="180"/>
      <c r="G45" s="181">
        <f t="shared" si="3"/>
        <v>5266</v>
      </c>
      <c r="H45" s="181">
        <f t="shared" si="5"/>
        <v>145832</v>
      </c>
      <c r="I45" s="181"/>
      <c r="J45" s="181">
        <f t="shared" si="6"/>
        <v>5315275</v>
      </c>
      <c r="K45" s="294">
        <f t="shared" si="4"/>
        <v>214237.34649999984</v>
      </c>
      <c r="L45" s="294">
        <f t="shared" si="7"/>
        <v>276575.34649999999</v>
      </c>
      <c r="M45" s="1282"/>
    </row>
    <row r="46" spans="1:13" ht="30" customHeight="1">
      <c r="A46" s="1272">
        <v>42370</v>
      </c>
      <c r="B46" s="180">
        <v>38.5</v>
      </c>
      <c r="C46" s="181">
        <v>11935</v>
      </c>
      <c r="D46" s="180">
        <f t="shared" si="8"/>
        <v>17860</v>
      </c>
      <c r="E46" s="224">
        <f t="shared" si="9"/>
        <v>5603785.3465</v>
      </c>
      <c r="F46" s="180"/>
      <c r="G46" s="181">
        <f t="shared" si="3"/>
        <v>2387</v>
      </c>
      <c r="H46" s="181">
        <f t="shared" si="5"/>
        <v>57072</v>
      </c>
      <c r="I46" s="181">
        <v>120000</v>
      </c>
      <c r="J46" s="181">
        <f t="shared" si="6"/>
        <v>5435275</v>
      </c>
      <c r="K46" s="294">
        <f t="shared" si="4"/>
        <v>151309.34649999987</v>
      </c>
      <c r="L46" s="294">
        <f t="shared" si="7"/>
        <v>168510.34649999999</v>
      </c>
      <c r="M46" s="1282" t="s">
        <v>1087</v>
      </c>
    </row>
    <row r="47" spans="1:13" ht="30" customHeight="1">
      <c r="A47" s="1272">
        <v>42401</v>
      </c>
      <c r="B47" s="180">
        <v>0</v>
      </c>
      <c r="C47" s="181">
        <v>0</v>
      </c>
      <c r="D47" s="180">
        <f t="shared" si="8"/>
        <v>17860</v>
      </c>
      <c r="E47" s="224">
        <f t="shared" si="9"/>
        <v>5603785.3465</v>
      </c>
      <c r="F47" s="180"/>
      <c r="G47" s="181">
        <f t="shared" si="3"/>
        <v>0</v>
      </c>
      <c r="H47" s="181">
        <f t="shared" si="5"/>
        <v>14814</v>
      </c>
      <c r="I47" s="181"/>
      <c r="J47" s="181">
        <f t="shared" si="6"/>
        <v>5435275</v>
      </c>
      <c r="K47" s="294">
        <f t="shared" si="4"/>
        <v>166123.34649999987</v>
      </c>
      <c r="L47" s="294">
        <f t="shared" si="7"/>
        <v>168510.34649999999</v>
      </c>
      <c r="M47" s="1282"/>
    </row>
    <row r="48" spans="1:13" ht="30" customHeight="1">
      <c r="A48" s="1316">
        <v>42430</v>
      </c>
      <c r="B48" s="251">
        <v>0</v>
      </c>
      <c r="C48" s="252">
        <v>0</v>
      </c>
      <c r="D48" s="180">
        <f t="shared" si="8"/>
        <v>17860</v>
      </c>
      <c r="E48" s="224">
        <f t="shared" si="9"/>
        <v>5603785.3465</v>
      </c>
      <c r="F48" s="251"/>
      <c r="G48" s="181">
        <f t="shared" si="3"/>
        <v>0</v>
      </c>
      <c r="H48" s="252">
        <f t="shared" si="5"/>
        <v>2387</v>
      </c>
      <c r="I48" s="252">
        <v>80000</v>
      </c>
      <c r="J48" s="181">
        <f t="shared" si="6"/>
        <v>5515275</v>
      </c>
      <c r="K48" s="1325">
        <f t="shared" si="4"/>
        <v>88510.346499999869</v>
      </c>
      <c r="L48" s="294">
        <f t="shared" si="7"/>
        <v>88510.346499999985</v>
      </c>
      <c r="M48" s="1326"/>
    </row>
    <row r="49" spans="1:13" ht="30" customHeight="1">
      <c r="A49" s="1272">
        <v>42461</v>
      </c>
      <c r="B49" s="180">
        <v>0</v>
      </c>
      <c r="C49" s="181">
        <v>0</v>
      </c>
      <c r="D49" s="180">
        <f t="shared" si="8"/>
        <v>17860</v>
      </c>
      <c r="E49" s="224">
        <f t="shared" si="9"/>
        <v>5603785.3465</v>
      </c>
      <c r="F49" s="180"/>
      <c r="G49" s="181">
        <f t="shared" si="3"/>
        <v>0</v>
      </c>
      <c r="H49" s="252">
        <f t="shared" si="5"/>
        <v>0</v>
      </c>
      <c r="I49" s="181">
        <v>83214</v>
      </c>
      <c r="J49" s="181">
        <f t="shared" si="6"/>
        <v>5598489</v>
      </c>
      <c r="K49" s="1325">
        <f t="shared" si="4"/>
        <v>5296.3464999998687</v>
      </c>
      <c r="L49" s="294">
        <f t="shared" si="7"/>
        <v>5296.3464999999851</v>
      </c>
      <c r="M49" s="1282" t="s">
        <v>1088</v>
      </c>
    </row>
    <row r="50" spans="1:13" ht="30" customHeight="1">
      <c r="A50" s="1272"/>
      <c r="B50" s="180"/>
      <c r="C50" s="615"/>
      <c r="D50" s="180"/>
      <c r="E50" s="180"/>
      <c r="F50" s="180"/>
      <c r="G50" s="181"/>
      <c r="H50" s="252">
        <f t="shared" si="5"/>
        <v>0</v>
      </c>
      <c r="I50" s="181"/>
      <c r="J50" s="181"/>
      <c r="K50" s="1325">
        <f t="shared" si="4"/>
        <v>5296.3464999998687</v>
      </c>
      <c r="L50" s="181"/>
      <c r="M50" s="1282"/>
    </row>
    <row r="51" spans="1:13" ht="30" customHeight="1">
      <c r="A51" s="1272"/>
      <c r="B51" s="180"/>
      <c r="C51" s="615"/>
      <c r="D51" s="180"/>
      <c r="E51" s="180"/>
      <c r="F51" s="180"/>
      <c r="G51" s="181"/>
      <c r="H51" s="181"/>
      <c r="I51" s="181"/>
      <c r="J51" s="181"/>
      <c r="K51" s="294"/>
      <c r="L51" s="181"/>
      <c r="M51" s="1282" t="s">
        <v>1012</v>
      </c>
    </row>
    <row r="52" spans="1:13" ht="30" customHeight="1">
      <c r="A52" s="1272"/>
      <c r="B52" s="180"/>
      <c r="C52" s="615"/>
      <c r="D52" s="180"/>
      <c r="E52" s="180"/>
      <c r="F52" s="180"/>
      <c r="G52" s="181"/>
      <c r="H52" s="181"/>
      <c r="I52" s="181"/>
      <c r="J52" s="181"/>
      <c r="K52" s="294"/>
      <c r="L52" s="181"/>
      <c r="M52" s="1282"/>
    </row>
  </sheetData>
  <mergeCells count="12">
    <mergeCell ref="B4:G4"/>
    <mergeCell ref="H4:I4"/>
    <mergeCell ref="J4:M4"/>
    <mergeCell ref="B5:G5"/>
    <mergeCell ref="B6:E6"/>
    <mergeCell ref="F6:L6"/>
    <mergeCell ref="E1:G1"/>
    <mergeCell ref="I1:K1"/>
    <mergeCell ref="L1:M1"/>
    <mergeCell ref="B2:C2"/>
    <mergeCell ref="E2:G2"/>
    <mergeCell ref="B3:C3"/>
  </mergeCells>
  <phoneticPr fontId="84" type="noConversion"/>
  <hyperlinks>
    <hyperlink ref="E1" r:id="rId1"/>
  </hyperlinks>
  <pageMargins left="0.75" right="0.75" top="1" bottom="1" header="0.51" footer="0.51"/>
  <pageSetup paperSize="9" orientation="portrait" horizontalDpi="200" verticalDpi="200"/>
  <headerFooter scaleWithDoc="0"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zoomScaleSheetLayoutView="100" workbookViewId="0">
      <selection activeCell="K44" sqref="K44"/>
    </sheetView>
  </sheetViews>
  <sheetFormatPr defaultColWidth="9" defaultRowHeight="14.25"/>
  <cols>
    <col min="1" max="1" width="14" customWidth="1"/>
    <col min="2" max="2" width="15.25" customWidth="1"/>
    <col min="3" max="3" width="13.625" customWidth="1"/>
    <col min="4" max="4" width="14" customWidth="1"/>
    <col min="5" max="5" width="15.375" customWidth="1"/>
    <col min="6" max="6" width="16" customWidth="1"/>
    <col min="7" max="7" width="10.875" customWidth="1"/>
    <col min="8" max="8" width="15.375" customWidth="1"/>
    <col min="9" max="9" width="14" customWidth="1"/>
    <col min="10" max="10" width="13.5" customWidth="1"/>
    <col min="11" max="11" width="17.875" customWidth="1"/>
    <col min="12" max="12" width="15.375" bestFit="1" customWidth="1"/>
    <col min="13" max="13" width="31.625" customWidth="1"/>
  </cols>
  <sheetData>
    <row r="1" spans="1:13" ht="57">
      <c r="A1" s="34" t="s">
        <v>234</v>
      </c>
      <c r="B1" s="176"/>
      <c r="C1" s="1207" t="s">
        <v>235</v>
      </c>
      <c r="D1" s="37"/>
      <c r="E1" s="38" t="s">
        <v>236</v>
      </c>
      <c r="F1" s="1635"/>
      <c r="G1" s="1635"/>
      <c r="H1" s="1635"/>
      <c r="I1" s="57" t="s">
        <v>237</v>
      </c>
      <c r="J1" s="1636" t="s">
        <v>238</v>
      </c>
      <c r="K1" s="1636"/>
      <c r="L1" s="1636"/>
      <c r="M1" s="88" t="s">
        <v>239</v>
      </c>
    </row>
    <row r="2" spans="1:13" ht="33" customHeight="1">
      <c r="A2" s="39" t="s">
        <v>240</v>
      </c>
      <c r="B2" s="1637" t="s">
        <v>241</v>
      </c>
      <c r="C2" s="1637"/>
      <c r="D2" s="41" t="s">
        <v>242</v>
      </c>
      <c r="E2" s="1638" t="s">
        <v>241</v>
      </c>
      <c r="F2" s="1638"/>
      <c r="G2" s="1638"/>
      <c r="H2" s="1638"/>
      <c r="I2" s="41" t="s">
        <v>243</v>
      </c>
      <c r="J2" s="1638" t="s">
        <v>244</v>
      </c>
      <c r="K2" s="1638"/>
      <c r="L2" s="41" t="s">
        <v>245</v>
      </c>
      <c r="M2" s="89" t="s">
        <v>246</v>
      </c>
    </row>
    <row r="3" spans="1:13" ht="33" customHeight="1">
      <c r="A3" s="39" t="s">
        <v>247</v>
      </c>
      <c r="B3" s="1639" t="s">
        <v>248</v>
      </c>
      <c r="C3" s="1639"/>
      <c r="D3" s="41" t="s">
        <v>249</v>
      </c>
      <c r="E3" s="186" t="s">
        <v>250</v>
      </c>
      <c r="F3" s="41" t="s">
        <v>251</v>
      </c>
      <c r="G3" s="41"/>
      <c r="H3" s="41" t="s">
        <v>252</v>
      </c>
      <c r="I3" s="90"/>
      <c r="J3" s="91" t="s">
        <v>253</v>
      </c>
      <c r="K3" s="15" t="s">
        <v>254</v>
      </c>
      <c r="L3" s="15" t="s">
        <v>255</v>
      </c>
      <c r="M3" s="89" t="s">
        <v>256</v>
      </c>
    </row>
    <row r="4" spans="1:13" ht="33" customHeight="1">
      <c r="A4" s="39" t="s">
        <v>257</v>
      </c>
      <c r="B4" s="1637"/>
      <c r="C4" s="1637"/>
      <c r="D4" s="1637"/>
      <c r="E4" s="43" t="s">
        <v>258</v>
      </c>
      <c r="F4" s="1638" t="s">
        <v>259</v>
      </c>
      <c r="G4" s="1638"/>
      <c r="H4" s="1638"/>
      <c r="I4" s="1643"/>
      <c r="J4" s="1643"/>
      <c r="K4" s="1643"/>
      <c r="L4" s="15"/>
      <c r="M4" s="105"/>
    </row>
    <row r="5" spans="1:13" ht="72" customHeight="1">
      <c r="A5" s="39" t="s">
        <v>260</v>
      </c>
      <c r="B5" s="1633" t="s">
        <v>261</v>
      </c>
      <c r="C5" s="1633"/>
      <c r="D5" s="1633"/>
      <c r="E5" s="1633"/>
      <c r="F5" s="1633"/>
      <c r="G5" s="1633"/>
      <c r="H5" s="1633"/>
      <c r="I5" s="1633"/>
      <c r="J5" s="1633" t="s">
        <v>262</v>
      </c>
      <c r="K5" s="1633"/>
      <c r="L5" s="1633" t="s">
        <v>263</v>
      </c>
      <c r="M5" s="1634"/>
    </row>
    <row r="6" spans="1:13" ht="51.95" customHeight="1">
      <c r="A6" s="39" t="s">
        <v>264</v>
      </c>
      <c r="B6" s="1640" t="s">
        <v>265</v>
      </c>
      <c r="C6" s="1641"/>
      <c r="D6" s="1642"/>
      <c r="E6" s="60"/>
      <c r="F6" s="60"/>
      <c r="G6" s="60"/>
      <c r="H6" s="60"/>
      <c r="I6" s="60"/>
      <c r="J6" s="60"/>
      <c r="K6" s="60"/>
      <c r="L6" s="60"/>
      <c r="M6" s="1320"/>
    </row>
    <row r="7" spans="1:13" ht="33" customHeight="1">
      <c r="A7" s="19" t="s">
        <v>266</v>
      </c>
      <c r="B7" s="20" t="s">
        <v>267</v>
      </c>
      <c r="C7" s="20" t="s">
        <v>268</v>
      </c>
      <c r="D7" s="20" t="s">
        <v>269</v>
      </c>
      <c r="E7" s="20" t="s">
        <v>270</v>
      </c>
      <c r="F7" s="20" t="s">
        <v>271</v>
      </c>
      <c r="G7" s="21" t="s">
        <v>272</v>
      </c>
      <c r="H7" s="22" t="s">
        <v>273</v>
      </c>
      <c r="I7" s="70" t="s">
        <v>274</v>
      </c>
      <c r="J7" s="70" t="s">
        <v>275</v>
      </c>
      <c r="K7" s="70" t="s">
        <v>276</v>
      </c>
      <c r="L7" s="20" t="s">
        <v>277</v>
      </c>
      <c r="M7" s="71" t="s">
        <v>278</v>
      </c>
    </row>
    <row r="8" spans="1:13" ht="33" customHeight="1">
      <c r="A8" s="48">
        <v>41395</v>
      </c>
      <c r="B8" s="109">
        <v>402</v>
      </c>
      <c r="C8" s="46">
        <v>106420</v>
      </c>
      <c r="D8" s="140">
        <f>B8</f>
        <v>402</v>
      </c>
      <c r="E8" s="140">
        <f>C8</f>
        <v>106420</v>
      </c>
      <c r="F8" s="46">
        <f t="shared" ref="F8:F29" si="0">34330-D8</f>
        <v>33928</v>
      </c>
      <c r="G8" s="47"/>
      <c r="H8" s="1322"/>
      <c r="I8" s="47"/>
      <c r="J8" s="47"/>
      <c r="K8" s="1322"/>
      <c r="L8" s="1497">
        <f t="shared" ref="L8:L34" si="1">E8-J8</f>
        <v>106420</v>
      </c>
      <c r="M8" s="94"/>
    </row>
    <row r="9" spans="1:13" ht="33" customHeight="1">
      <c r="A9" s="48">
        <v>41426</v>
      </c>
      <c r="B9" s="109">
        <v>2554</v>
      </c>
      <c r="C9" s="46">
        <v>684430</v>
      </c>
      <c r="D9" s="140">
        <f t="shared" ref="D9:D34" si="2">D8+B9</f>
        <v>2956</v>
      </c>
      <c r="E9" s="140">
        <f t="shared" ref="E9:E34" si="3">E8+C9</f>
        <v>790850</v>
      </c>
      <c r="F9" s="46">
        <f t="shared" si="0"/>
        <v>31374</v>
      </c>
      <c r="G9" s="47"/>
      <c r="H9" s="1322">
        <f t="shared" ref="H9:H21" si="4">C8*0.8</f>
        <v>85136</v>
      </c>
      <c r="I9" s="47"/>
      <c r="J9" s="47"/>
      <c r="K9" s="1322">
        <f t="shared" ref="K9:K35" si="5">K8+H9-I9</f>
        <v>85136</v>
      </c>
      <c r="L9" s="1497">
        <f t="shared" si="1"/>
        <v>790850</v>
      </c>
      <c r="M9" s="94" t="s">
        <v>279</v>
      </c>
    </row>
    <row r="10" spans="1:13" ht="33" customHeight="1">
      <c r="A10" s="48">
        <v>41456</v>
      </c>
      <c r="B10" s="109">
        <v>2512</v>
      </c>
      <c r="C10" s="46">
        <v>700330</v>
      </c>
      <c r="D10" s="140">
        <f t="shared" si="2"/>
        <v>5468</v>
      </c>
      <c r="E10" s="140">
        <f t="shared" si="3"/>
        <v>1491180</v>
      </c>
      <c r="F10" s="46">
        <f t="shared" si="0"/>
        <v>28862</v>
      </c>
      <c r="G10" s="47"/>
      <c r="H10" s="1322">
        <f t="shared" si="4"/>
        <v>547544</v>
      </c>
      <c r="I10" s="47">
        <v>632680</v>
      </c>
      <c r="J10" s="47">
        <f>J9+I10</f>
        <v>632680</v>
      </c>
      <c r="K10" s="1322">
        <f t="shared" si="5"/>
        <v>0</v>
      </c>
      <c r="L10" s="1497">
        <f t="shared" si="1"/>
        <v>858500</v>
      </c>
      <c r="M10" s="94"/>
    </row>
    <row r="11" spans="1:13" ht="33" customHeight="1">
      <c r="A11" s="48">
        <v>41487</v>
      </c>
      <c r="B11" s="109">
        <v>2166</v>
      </c>
      <c r="C11" s="46">
        <v>620580</v>
      </c>
      <c r="D11" s="140">
        <f t="shared" si="2"/>
        <v>7634</v>
      </c>
      <c r="E11" s="140">
        <f t="shared" si="3"/>
        <v>2111760</v>
      </c>
      <c r="F11" s="46">
        <f t="shared" si="0"/>
        <v>26696</v>
      </c>
      <c r="G11" s="47"/>
      <c r="H11" s="1322">
        <f t="shared" si="4"/>
        <v>560264</v>
      </c>
      <c r="I11" s="47">
        <v>0</v>
      </c>
      <c r="J11" s="47">
        <f t="shared" ref="J11:J34" si="6">J10+I11</f>
        <v>632680</v>
      </c>
      <c r="K11" s="1322">
        <f t="shared" si="5"/>
        <v>560264</v>
      </c>
      <c r="L11" s="1497">
        <f t="shared" si="1"/>
        <v>1479080</v>
      </c>
      <c r="M11" s="94" t="s">
        <v>280</v>
      </c>
    </row>
    <row r="12" spans="1:13" ht="33" customHeight="1">
      <c r="A12" s="48">
        <v>41518</v>
      </c>
      <c r="B12" s="109">
        <v>1189</v>
      </c>
      <c r="C12" s="46">
        <v>337850</v>
      </c>
      <c r="D12" s="140">
        <f t="shared" si="2"/>
        <v>8823</v>
      </c>
      <c r="E12" s="140">
        <f t="shared" si="3"/>
        <v>2449610</v>
      </c>
      <c r="F12" s="46">
        <f t="shared" si="0"/>
        <v>25507</v>
      </c>
      <c r="G12" s="47"/>
      <c r="H12" s="1322">
        <f t="shared" si="4"/>
        <v>496464</v>
      </c>
      <c r="I12" s="47"/>
      <c r="J12" s="47">
        <f t="shared" si="6"/>
        <v>632680</v>
      </c>
      <c r="K12" s="1322">
        <f t="shared" si="5"/>
        <v>1056728</v>
      </c>
      <c r="L12" s="1497">
        <f t="shared" si="1"/>
        <v>1816930</v>
      </c>
      <c r="M12" s="94"/>
    </row>
    <row r="13" spans="1:13" ht="33" customHeight="1">
      <c r="A13" s="48">
        <v>41548</v>
      </c>
      <c r="B13" s="109">
        <v>286</v>
      </c>
      <c r="C13" s="46">
        <v>84905</v>
      </c>
      <c r="D13" s="140">
        <f t="shared" si="2"/>
        <v>9109</v>
      </c>
      <c r="E13" s="140">
        <f t="shared" si="3"/>
        <v>2534515</v>
      </c>
      <c r="F13" s="46">
        <f t="shared" si="0"/>
        <v>25221</v>
      </c>
      <c r="G13" s="47"/>
      <c r="H13" s="1322">
        <f t="shared" si="4"/>
        <v>270280</v>
      </c>
      <c r="I13" s="47">
        <v>1056728</v>
      </c>
      <c r="J13" s="47">
        <f t="shared" si="6"/>
        <v>1689408</v>
      </c>
      <c r="K13" s="1322">
        <f t="shared" si="5"/>
        <v>270280</v>
      </c>
      <c r="L13" s="1497">
        <f t="shared" si="1"/>
        <v>845107</v>
      </c>
      <c r="M13" s="94" t="s">
        <v>281</v>
      </c>
    </row>
    <row r="14" spans="1:13" ht="33" customHeight="1">
      <c r="A14" s="48">
        <v>41579</v>
      </c>
      <c r="B14" s="109">
        <v>392</v>
      </c>
      <c r="C14" s="46">
        <v>125600</v>
      </c>
      <c r="D14" s="140">
        <f t="shared" si="2"/>
        <v>9501</v>
      </c>
      <c r="E14" s="140">
        <f t="shared" si="3"/>
        <v>2660115</v>
      </c>
      <c r="F14" s="46">
        <f t="shared" si="0"/>
        <v>24829</v>
      </c>
      <c r="G14" s="47"/>
      <c r="H14" s="1322">
        <f t="shared" si="4"/>
        <v>67924</v>
      </c>
      <c r="I14" s="47">
        <v>338204</v>
      </c>
      <c r="J14" s="47">
        <f t="shared" si="6"/>
        <v>2027612</v>
      </c>
      <c r="K14" s="1322">
        <f t="shared" si="5"/>
        <v>0</v>
      </c>
      <c r="L14" s="1497">
        <f t="shared" si="1"/>
        <v>632503</v>
      </c>
      <c r="M14" s="94"/>
    </row>
    <row r="15" spans="1:13" ht="33" customHeight="1">
      <c r="A15" s="48">
        <v>41609</v>
      </c>
      <c r="B15" s="109">
        <v>2734</v>
      </c>
      <c r="C15" s="46">
        <v>933020</v>
      </c>
      <c r="D15" s="140">
        <f t="shared" si="2"/>
        <v>12235</v>
      </c>
      <c r="E15" s="140">
        <f t="shared" si="3"/>
        <v>3593135</v>
      </c>
      <c r="F15" s="46">
        <f t="shared" si="0"/>
        <v>22095</v>
      </c>
      <c r="G15" s="47"/>
      <c r="H15" s="1322">
        <f t="shared" si="4"/>
        <v>100480</v>
      </c>
      <c r="I15" s="47">
        <v>0</v>
      </c>
      <c r="J15" s="47">
        <f t="shared" si="6"/>
        <v>2027612</v>
      </c>
      <c r="K15" s="1322">
        <f t="shared" si="5"/>
        <v>100480</v>
      </c>
      <c r="L15" s="1497">
        <f t="shared" si="1"/>
        <v>1565523</v>
      </c>
      <c r="M15" s="94"/>
    </row>
    <row r="16" spans="1:13" ht="33" customHeight="1">
      <c r="A16" s="48">
        <v>41640</v>
      </c>
      <c r="B16" s="109">
        <v>4777</v>
      </c>
      <c r="C16" s="46">
        <v>1629059</v>
      </c>
      <c r="D16" s="140">
        <f t="shared" si="2"/>
        <v>17012</v>
      </c>
      <c r="E16" s="140">
        <f t="shared" si="3"/>
        <v>5222194</v>
      </c>
      <c r="F16" s="46">
        <f t="shared" si="0"/>
        <v>17318</v>
      </c>
      <c r="G16" s="47"/>
      <c r="H16" s="1322">
        <f t="shared" si="4"/>
        <v>746416</v>
      </c>
      <c r="I16" s="47">
        <v>846896</v>
      </c>
      <c r="J16" s="47">
        <f t="shared" si="6"/>
        <v>2874508</v>
      </c>
      <c r="K16" s="1322">
        <f t="shared" si="5"/>
        <v>0</v>
      </c>
      <c r="L16" s="1497">
        <f t="shared" si="1"/>
        <v>2347686</v>
      </c>
      <c r="M16" s="94" t="s">
        <v>282</v>
      </c>
    </row>
    <row r="17" spans="1:13" ht="33" customHeight="1">
      <c r="A17" s="48">
        <v>41671</v>
      </c>
      <c r="B17" s="46">
        <v>200</v>
      </c>
      <c r="C17" s="46">
        <v>69864</v>
      </c>
      <c r="D17" s="140">
        <f t="shared" si="2"/>
        <v>17212</v>
      </c>
      <c r="E17" s="140">
        <f t="shared" si="3"/>
        <v>5292058</v>
      </c>
      <c r="F17" s="46">
        <f t="shared" si="0"/>
        <v>17118</v>
      </c>
      <c r="G17" s="47"/>
      <c r="H17" s="1322">
        <f t="shared" si="4"/>
        <v>1303247.2000000002</v>
      </c>
      <c r="I17" s="47">
        <v>0</v>
      </c>
      <c r="J17" s="47">
        <f t="shared" si="6"/>
        <v>2874508</v>
      </c>
      <c r="K17" s="1322">
        <f t="shared" si="5"/>
        <v>1303247.2000000002</v>
      </c>
      <c r="L17" s="1497">
        <f t="shared" si="1"/>
        <v>2417550</v>
      </c>
      <c r="M17" s="94" t="s">
        <v>283</v>
      </c>
    </row>
    <row r="18" spans="1:13" ht="33" customHeight="1">
      <c r="A18" s="48">
        <v>41699</v>
      </c>
      <c r="B18" s="46">
        <v>3650</v>
      </c>
      <c r="C18" s="46">
        <v>1240115</v>
      </c>
      <c r="D18" s="140">
        <f t="shared" si="2"/>
        <v>20862</v>
      </c>
      <c r="E18" s="140">
        <f t="shared" si="3"/>
        <v>6532173</v>
      </c>
      <c r="F18" s="46">
        <f t="shared" si="0"/>
        <v>13468</v>
      </c>
      <c r="G18" s="47"/>
      <c r="H18" s="1322">
        <f t="shared" si="4"/>
        <v>55891.200000000004</v>
      </c>
      <c r="I18" s="47">
        <v>1303247</v>
      </c>
      <c r="J18" s="47">
        <f t="shared" si="6"/>
        <v>4177755</v>
      </c>
      <c r="K18" s="1322">
        <f t="shared" si="5"/>
        <v>55891.40000000014</v>
      </c>
      <c r="L18" s="1497">
        <f t="shared" si="1"/>
        <v>2354418</v>
      </c>
      <c r="M18" s="94"/>
    </row>
    <row r="19" spans="1:13" ht="33" customHeight="1">
      <c r="A19" s="179">
        <v>41730</v>
      </c>
      <c r="B19" s="180">
        <v>2263</v>
      </c>
      <c r="C19" s="180">
        <v>760836</v>
      </c>
      <c r="D19" s="200">
        <f t="shared" si="2"/>
        <v>23125</v>
      </c>
      <c r="E19" s="200">
        <f t="shared" si="3"/>
        <v>7293009</v>
      </c>
      <c r="F19" s="180">
        <f t="shared" si="0"/>
        <v>11205</v>
      </c>
      <c r="G19" s="181"/>
      <c r="H19" s="294">
        <f t="shared" si="4"/>
        <v>992092</v>
      </c>
      <c r="I19" s="181"/>
      <c r="J19" s="262">
        <f t="shared" si="6"/>
        <v>4177755</v>
      </c>
      <c r="K19" s="294">
        <f t="shared" si="5"/>
        <v>1047983.4000000001</v>
      </c>
      <c r="L19" s="226">
        <f t="shared" si="1"/>
        <v>3115254</v>
      </c>
      <c r="M19" s="1275"/>
    </row>
    <row r="20" spans="1:13" ht="33" customHeight="1">
      <c r="A20" s="1330">
        <v>41760</v>
      </c>
      <c r="B20" s="180">
        <v>2038.5</v>
      </c>
      <c r="C20" s="180">
        <v>737990.5</v>
      </c>
      <c r="D20" s="200">
        <f t="shared" si="2"/>
        <v>25163.5</v>
      </c>
      <c r="E20" s="200">
        <f t="shared" si="3"/>
        <v>8030999.5</v>
      </c>
      <c r="F20" s="180">
        <f t="shared" si="0"/>
        <v>9166.5</v>
      </c>
      <c r="G20" s="181"/>
      <c r="H20" s="294">
        <f t="shared" si="4"/>
        <v>608668.80000000005</v>
      </c>
      <c r="I20" s="181">
        <v>1047983</v>
      </c>
      <c r="J20" s="262">
        <f t="shared" si="6"/>
        <v>5225738</v>
      </c>
      <c r="K20" s="294">
        <f t="shared" si="5"/>
        <v>608669.20000000019</v>
      </c>
      <c r="L20" s="226">
        <f t="shared" si="1"/>
        <v>2805261.5</v>
      </c>
      <c r="M20" s="1275" t="s">
        <v>284</v>
      </c>
    </row>
    <row r="21" spans="1:13" ht="33" customHeight="1">
      <c r="A21" s="1330">
        <v>41791</v>
      </c>
      <c r="B21" s="180">
        <v>1672</v>
      </c>
      <c r="C21" s="180">
        <v>551507</v>
      </c>
      <c r="D21" s="200">
        <f t="shared" si="2"/>
        <v>26835.5</v>
      </c>
      <c r="E21" s="200">
        <f t="shared" si="3"/>
        <v>8582506.5</v>
      </c>
      <c r="F21" s="180">
        <f t="shared" si="0"/>
        <v>7494.5</v>
      </c>
      <c r="G21" s="181"/>
      <c r="H21" s="294">
        <f t="shared" si="4"/>
        <v>590392.4</v>
      </c>
      <c r="I21" s="181">
        <v>1000000</v>
      </c>
      <c r="J21" s="262">
        <f t="shared" si="6"/>
        <v>6225738</v>
      </c>
      <c r="K21" s="294">
        <f t="shared" si="5"/>
        <v>199061.60000000009</v>
      </c>
      <c r="L21" s="226">
        <f t="shared" si="1"/>
        <v>2356768.5</v>
      </c>
      <c r="M21" s="1204" t="s">
        <v>285</v>
      </c>
    </row>
    <row r="22" spans="1:13" ht="33" customHeight="1">
      <c r="A22" s="1330">
        <v>41821</v>
      </c>
      <c r="B22" s="180">
        <v>1307.5</v>
      </c>
      <c r="C22" s="180">
        <v>425752.5</v>
      </c>
      <c r="D22" s="200">
        <f t="shared" si="2"/>
        <v>28143</v>
      </c>
      <c r="E22" s="200">
        <f t="shared" si="3"/>
        <v>9008259</v>
      </c>
      <c r="F22" s="180">
        <f t="shared" si="0"/>
        <v>6187</v>
      </c>
      <c r="G22" s="181"/>
      <c r="H22" s="294">
        <f>C21*0.8+E21*0.2/3</f>
        <v>1013372.7</v>
      </c>
      <c r="I22" s="181"/>
      <c r="J22" s="262">
        <f t="shared" si="6"/>
        <v>6225738</v>
      </c>
      <c r="K22" s="294">
        <f t="shared" si="5"/>
        <v>1212434.3</v>
      </c>
      <c r="L22" s="226">
        <f t="shared" si="1"/>
        <v>2782521</v>
      </c>
      <c r="M22" s="1275" t="s">
        <v>286</v>
      </c>
    </row>
    <row r="23" spans="1:13" ht="33" customHeight="1">
      <c r="A23" s="1330">
        <v>41852</v>
      </c>
      <c r="B23" s="180">
        <v>64.5</v>
      </c>
      <c r="C23" s="180">
        <v>20317.5</v>
      </c>
      <c r="D23" s="200">
        <f t="shared" si="2"/>
        <v>28207.5</v>
      </c>
      <c r="E23" s="200">
        <f t="shared" si="3"/>
        <v>9028576.5</v>
      </c>
      <c r="F23" s="180">
        <f t="shared" si="0"/>
        <v>6122.5</v>
      </c>
      <c r="G23" s="181"/>
      <c r="H23" s="294">
        <f>C22+E21*0.2/3</f>
        <v>997919.6</v>
      </c>
      <c r="I23" s="181"/>
      <c r="J23" s="262">
        <f t="shared" si="6"/>
        <v>6225738</v>
      </c>
      <c r="K23" s="294">
        <f t="shared" si="5"/>
        <v>2210353.9</v>
      </c>
      <c r="L23" s="226">
        <f t="shared" si="1"/>
        <v>2802838.5</v>
      </c>
      <c r="M23" s="1275"/>
    </row>
    <row r="24" spans="1:13" ht="33" customHeight="1">
      <c r="A24" s="1330">
        <v>41883</v>
      </c>
      <c r="B24" s="180">
        <v>74.5</v>
      </c>
      <c r="C24" s="180">
        <v>23850</v>
      </c>
      <c r="D24" s="200">
        <f t="shared" si="2"/>
        <v>28282</v>
      </c>
      <c r="E24" s="200">
        <f t="shared" si="3"/>
        <v>9052426.5</v>
      </c>
      <c r="F24" s="180">
        <f t="shared" si="0"/>
        <v>6048</v>
      </c>
      <c r="G24" s="181"/>
      <c r="H24" s="294">
        <f>C23+E21*0.2/3</f>
        <v>592484.6</v>
      </c>
      <c r="I24" s="181">
        <v>470000</v>
      </c>
      <c r="J24" s="262">
        <f t="shared" si="6"/>
        <v>6695738</v>
      </c>
      <c r="K24" s="294">
        <f t="shared" si="5"/>
        <v>2332838.5</v>
      </c>
      <c r="L24" s="226">
        <f t="shared" si="1"/>
        <v>2356688.5</v>
      </c>
      <c r="M24" s="1275" t="s">
        <v>287</v>
      </c>
    </row>
    <row r="25" spans="1:13" ht="33" customHeight="1">
      <c r="A25" s="1330">
        <v>41913</v>
      </c>
      <c r="B25" s="340">
        <v>64.5</v>
      </c>
      <c r="C25" s="340">
        <v>20625</v>
      </c>
      <c r="D25" s="200">
        <f t="shared" si="2"/>
        <v>28346.5</v>
      </c>
      <c r="E25" s="200">
        <f t="shared" si="3"/>
        <v>9073051.5</v>
      </c>
      <c r="F25" s="180">
        <f t="shared" si="0"/>
        <v>5983.5</v>
      </c>
      <c r="G25" s="457"/>
      <c r="H25" s="294">
        <f t="shared" ref="H25:H32" si="7">C24</f>
        <v>23850</v>
      </c>
      <c r="I25" s="457">
        <v>350000</v>
      </c>
      <c r="J25" s="262">
        <f t="shared" si="6"/>
        <v>7045738</v>
      </c>
      <c r="K25" s="294">
        <f t="shared" si="5"/>
        <v>2006688.5</v>
      </c>
      <c r="L25" s="226">
        <f t="shared" si="1"/>
        <v>2027313.5</v>
      </c>
      <c r="M25" s="1277" t="s">
        <v>288</v>
      </c>
    </row>
    <row r="26" spans="1:13" ht="33" customHeight="1">
      <c r="A26" s="1330">
        <v>41944</v>
      </c>
      <c r="B26" s="340">
        <v>187</v>
      </c>
      <c r="C26" s="340">
        <v>61825</v>
      </c>
      <c r="D26" s="200">
        <f t="shared" si="2"/>
        <v>28533.5</v>
      </c>
      <c r="E26" s="200">
        <f t="shared" si="3"/>
        <v>9134876.5</v>
      </c>
      <c r="F26" s="180">
        <f t="shared" si="0"/>
        <v>5796.5</v>
      </c>
      <c r="G26" s="457"/>
      <c r="H26" s="294">
        <f t="shared" si="7"/>
        <v>20625</v>
      </c>
      <c r="I26" s="457"/>
      <c r="J26" s="262">
        <f t="shared" si="6"/>
        <v>7045738</v>
      </c>
      <c r="K26" s="294">
        <f t="shared" si="5"/>
        <v>2027313.5</v>
      </c>
      <c r="L26" s="226">
        <f t="shared" si="1"/>
        <v>2089138.5</v>
      </c>
      <c r="M26" s="1277"/>
    </row>
    <row r="27" spans="1:13" ht="29.1" customHeight="1">
      <c r="A27" s="1330">
        <v>41974</v>
      </c>
      <c r="B27" s="340">
        <v>69</v>
      </c>
      <c r="C27" s="340">
        <v>21825</v>
      </c>
      <c r="D27" s="200">
        <f t="shared" si="2"/>
        <v>28602.5</v>
      </c>
      <c r="E27" s="200">
        <f t="shared" si="3"/>
        <v>9156701.5</v>
      </c>
      <c r="F27" s="180">
        <f t="shared" si="0"/>
        <v>5727.5</v>
      </c>
      <c r="G27" s="457"/>
      <c r="H27" s="294">
        <f t="shared" si="7"/>
        <v>61825</v>
      </c>
      <c r="I27" s="457">
        <v>300000</v>
      </c>
      <c r="J27" s="262">
        <f t="shared" si="6"/>
        <v>7345738</v>
      </c>
      <c r="K27" s="294">
        <f t="shared" si="5"/>
        <v>1789138.5</v>
      </c>
      <c r="L27" s="226">
        <f t="shared" si="1"/>
        <v>1810963.5</v>
      </c>
      <c r="M27" s="1277" t="s">
        <v>289</v>
      </c>
    </row>
    <row r="28" spans="1:13" ht="33" customHeight="1">
      <c r="A28" s="1331">
        <v>42005</v>
      </c>
      <c r="B28" s="340">
        <v>564</v>
      </c>
      <c r="C28" s="340">
        <v>194020</v>
      </c>
      <c r="D28" s="200">
        <f t="shared" si="2"/>
        <v>29166.5</v>
      </c>
      <c r="E28" s="200">
        <f t="shared" si="3"/>
        <v>9350721.5</v>
      </c>
      <c r="F28" s="180">
        <f t="shared" si="0"/>
        <v>5163.5</v>
      </c>
      <c r="G28" s="457"/>
      <c r="H28" s="294">
        <f t="shared" si="7"/>
        <v>21825</v>
      </c>
      <c r="I28" s="457">
        <v>300000</v>
      </c>
      <c r="J28" s="262">
        <f t="shared" si="6"/>
        <v>7645738</v>
      </c>
      <c r="K28" s="294">
        <f t="shared" si="5"/>
        <v>1510963.5</v>
      </c>
      <c r="L28" s="226">
        <f t="shared" si="1"/>
        <v>1704983.5</v>
      </c>
      <c r="M28" s="1277" t="s">
        <v>290</v>
      </c>
    </row>
    <row r="29" spans="1:13" ht="30" customHeight="1">
      <c r="A29" s="1331">
        <v>42037</v>
      </c>
      <c r="B29" s="340">
        <v>10</v>
      </c>
      <c r="C29" s="340">
        <v>3380</v>
      </c>
      <c r="D29" s="200">
        <f t="shared" si="2"/>
        <v>29176.5</v>
      </c>
      <c r="E29" s="200">
        <f t="shared" si="3"/>
        <v>9354101.5</v>
      </c>
      <c r="F29" s="180">
        <f t="shared" si="0"/>
        <v>5153.5</v>
      </c>
      <c r="G29" s="457"/>
      <c r="H29" s="294">
        <f t="shared" si="7"/>
        <v>194020</v>
      </c>
      <c r="I29" s="478">
        <v>300000</v>
      </c>
      <c r="J29" s="262">
        <f t="shared" si="6"/>
        <v>7945738</v>
      </c>
      <c r="K29" s="294">
        <f t="shared" si="5"/>
        <v>1404983.5</v>
      </c>
      <c r="L29" s="226">
        <f t="shared" si="1"/>
        <v>1408363.5</v>
      </c>
      <c r="M29" s="1277" t="s">
        <v>291</v>
      </c>
    </row>
    <row r="30" spans="1:13" ht="30" customHeight="1">
      <c r="A30" s="1502">
        <v>42069</v>
      </c>
      <c r="B30" s="1039">
        <v>0</v>
      </c>
      <c r="C30" s="1039">
        <v>0</v>
      </c>
      <c r="D30" s="211">
        <f t="shared" si="2"/>
        <v>29176.5</v>
      </c>
      <c r="E30" s="211">
        <f t="shared" si="3"/>
        <v>9354101.5</v>
      </c>
      <c r="F30" s="1039"/>
      <c r="G30" s="478"/>
      <c r="H30" s="1503">
        <f t="shared" si="7"/>
        <v>3380</v>
      </c>
      <c r="I30" s="181">
        <v>300000</v>
      </c>
      <c r="J30" s="1506">
        <f t="shared" si="6"/>
        <v>8245738</v>
      </c>
      <c r="K30" s="1325">
        <f t="shared" si="5"/>
        <v>1108363.5</v>
      </c>
      <c r="L30" s="505">
        <f t="shared" si="1"/>
        <v>1108363.5</v>
      </c>
      <c r="M30" s="1507" t="s">
        <v>292</v>
      </c>
    </row>
    <row r="31" spans="1:13" ht="30" customHeight="1">
      <c r="A31" s="1504">
        <v>42401</v>
      </c>
      <c r="B31" s="251">
        <v>0</v>
      </c>
      <c r="C31" s="937">
        <v>0</v>
      </c>
      <c r="D31" s="211">
        <f t="shared" si="2"/>
        <v>29176.5</v>
      </c>
      <c r="E31" s="211">
        <f t="shared" si="3"/>
        <v>9354101.5</v>
      </c>
      <c r="F31" s="251"/>
      <c r="G31" s="555"/>
      <c r="H31" s="1503">
        <f t="shared" si="7"/>
        <v>0</v>
      </c>
      <c r="I31" s="181">
        <v>300000</v>
      </c>
      <c r="J31" s="1506">
        <f t="shared" si="6"/>
        <v>8545738</v>
      </c>
      <c r="K31" s="1325">
        <f t="shared" si="5"/>
        <v>808363.5</v>
      </c>
      <c r="L31" s="505">
        <f t="shared" si="1"/>
        <v>808363.5</v>
      </c>
      <c r="M31" s="1508" t="s">
        <v>293</v>
      </c>
    </row>
    <row r="32" spans="1:13" s="285" customFormat="1" ht="30" customHeight="1">
      <c r="A32" s="1504">
        <v>42461</v>
      </c>
      <c r="B32" s="180">
        <v>0</v>
      </c>
      <c r="C32" s="180">
        <v>0</v>
      </c>
      <c r="D32" s="211">
        <f t="shared" si="2"/>
        <v>29176.5</v>
      </c>
      <c r="E32" s="211">
        <f t="shared" si="3"/>
        <v>9354101.5</v>
      </c>
      <c r="F32" s="180"/>
      <c r="G32" s="181"/>
      <c r="H32" s="1503">
        <f t="shared" si="7"/>
        <v>0</v>
      </c>
      <c r="I32" s="181">
        <v>300000</v>
      </c>
      <c r="J32" s="1506">
        <f t="shared" si="6"/>
        <v>8845738</v>
      </c>
      <c r="K32" s="1325">
        <f t="shared" si="5"/>
        <v>508363.5</v>
      </c>
      <c r="L32" s="505">
        <f t="shared" si="1"/>
        <v>508363.5</v>
      </c>
      <c r="M32" s="1509" t="s">
        <v>294</v>
      </c>
    </row>
    <row r="33" spans="1:13" s="285" customFormat="1" ht="30" customHeight="1">
      <c r="A33" s="253">
        <v>42552</v>
      </c>
      <c r="B33" s="180">
        <v>0</v>
      </c>
      <c r="C33" s="180">
        <v>0</v>
      </c>
      <c r="D33" s="211">
        <f t="shared" si="2"/>
        <v>29176.5</v>
      </c>
      <c r="E33" s="211">
        <f t="shared" si="3"/>
        <v>9354101.5</v>
      </c>
      <c r="F33" s="180"/>
      <c r="G33" s="181"/>
      <c r="H33" s="294"/>
      <c r="I33" s="181">
        <v>150000</v>
      </c>
      <c r="J33" s="1506">
        <f t="shared" si="6"/>
        <v>8995738</v>
      </c>
      <c r="K33" s="1325">
        <f t="shared" si="5"/>
        <v>358363.5</v>
      </c>
      <c r="L33" s="505">
        <f t="shared" si="1"/>
        <v>358363.5</v>
      </c>
      <c r="M33" s="1312" t="s">
        <v>295</v>
      </c>
    </row>
    <row r="34" spans="1:13" s="285" customFormat="1" ht="30" customHeight="1">
      <c r="A34" s="253">
        <v>42647</v>
      </c>
      <c r="B34" s="180">
        <v>0</v>
      </c>
      <c r="C34" s="180">
        <v>0</v>
      </c>
      <c r="D34" s="211">
        <f t="shared" si="2"/>
        <v>29176.5</v>
      </c>
      <c r="E34" s="211">
        <f t="shared" si="3"/>
        <v>9354101.5</v>
      </c>
      <c r="F34" s="180"/>
      <c r="G34" s="181"/>
      <c r="H34" s="294"/>
      <c r="I34" s="181">
        <v>158363.5</v>
      </c>
      <c r="J34" s="1506">
        <f t="shared" si="6"/>
        <v>9154101.5</v>
      </c>
      <c r="K34" s="1325">
        <f t="shared" si="5"/>
        <v>200000</v>
      </c>
      <c r="L34" s="505">
        <f t="shared" si="1"/>
        <v>200000</v>
      </c>
      <c r="M34" s="1312" t="s">
        <v>296</v>
      </c>
    </row>
    <row r="35" spans="1:13" s="285" customFormat="1" ht="30" customHeight="1">
      <c r="A35" s="253"/>
      <c r="B35" s="180"/>
      <c r="C35" s="180"/>
      <c r="D35" s="200"/>
      <c r="E35" s="200"/>
      <c r="F35" s="180"/>
      <c r="G35" s="181"/>
      <c r="H35" s="294"/>
      <c r="I35" s="181"/>
      <c r="J35" s="262"/>
      <c r="K35" s="1325">
        <f t="shared" si="5"/>
        <v>200000</v>
      </c>
      <c r="L35" s="334"/>
      <c r="M35" s="1312" t="s">
        <v>297</v>
      </c>
    </row>
    <row r="36" spans="1:13" s="285" customFormat="1" ht="30" customHeight="1">
      <c r="A36" s="253"/>
      <c r="B36" s="180"/>
      <c r="C36" s="180"/>
      <c r="D36" s="200"/>
      <c r="E36" s="200"/>
      <c r="F36" s="180"/>
      <c r="G36" s="181"/>
      <c r="H36" s="294"/>
      <c r="I36" s="181"/>
      <c r="J36" s="262"/>
      <c r="K36" s="294"/>
      <c r="L36" s="334"/>
      <c r="M36" s="1312"/>
    </row>
    <row r="40" spans="1:13">
      <c r="B40" s="1505"/>
      <c r="C40" s="1093"/>
      <c r="D40" s="1093"/>
      <c r="E40" s="1093"/>
    </row>
    <row r="41" spans="1:13">
      <c r="B41" s="1505"/>
      <c r="C41" s="1093"/>
      <c r="D41" s="1093"/>
      <c r="E41" s="1093"/>
    </row>
    <row r="42" spans="1:13">
      <c r="B42" s="1505"/>
      <c r="C42" s="272"/>
      <c r="D42" s="1093"/>
      <c r="E42" s="1093"/>
    </row>
    <row r="43" spans="1:13">
      <c r="B43" s="1505"/>
      <c r="C43" s="272"/>
      <c r="D43" s="1093"/>
      <c r="E43" s="1093"/>
    </row>
    <row r="44" spans="1:13">
      <c r="B44" s="1505"/>
      <c r="C44" s="272"/>
      <c r="D44" s="1093"/>
      <c r="E44" s="1093"/>
    </row>
    <row r="45" spans="1:13">
      <c r="B45" s="1505"/>
      <c r="C45" s="272"/>
      <c r="D45" s="1093"/>
      <c r="E45" s="1093"/>
    </row>
    <row r="46" spans="1:13">
      <c r="B46" s="1505"/>
      <c r="C46" s="272"/>
      <c r="D46" s="1093"/>
      <c r="E46" s="1093"/>
    </row>
    <row r="47" spans="1:13">
      <c r="B47" s="1505"/>
      <c r="C47" s="272"/>
      <c r="D47" s="1093"/>
      <c r="E47" s="1093"/>
    </row>
    <row r="48" spans="1:13">
      <c r="B48" s="1505"/>
      <c r="C48" s="272"/>
      <c r="D48" s="1093"/>
      <c r="E48" s="1093"/>
    </row>
    <row r="49" spans="2:5">
      <c r="B49" s="1505"/>
      <c r="C49" s="272"/>
      <c r="D49" s="1093"/>
      <c r="E49" s="1093"/>
    </row>
    <row r="50" spans="2:5">
      <c r="B50" s="1505"/>
      <c r="C50" s="272"/>
      <c r="D50" s="1093"/>
      <c r="E50" s="1093"/>
    </row>
    <row r="51" spans="2:5">
      <c r="B51" s="1505"/>
      <c r="C51" s="272"/>
      <c r="D51" s="1093"/>
      <c r="E51" s="1093"/>
    </row>
    <row r="52" spans="2:5">
      <c r="B52" s="1505"/>
      <c r="C52" s="272"/>
      <c r="D52" s="1093"/>
      <c r="E52" s="1093"/>
    </row>
    <row r="53" spans="2:5">
      <c r="B53" s="912"/>
      <c r="C53" s="912"/>
    </row>
    <row r="54" spans="2:5">
      <c r="B54" s="912"/>
      <c r="C54" s="912"/>
    </row>
  </sheetData>
  <mergeCells count="13">
    <mergeCell ref="B6:D6"/>
    <mergeCell ref="B4:D4"/>
    <mergeCell ref="F4:H4"/>
    <mergeCell ref="I4:K4"/>
    <mergeCell ref="B5:I5"/>
    <mergeCell ref="J5:K5"/>
    <mergeCell ref="L5:M5"/>
    <mergeCell ref="F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U63"/>
  <sheetViews>
    <sheetView topLeftCell="A49" zoomScaleSheetLayoutView="100" workbookViewId="0">
      <selection activeCell="B60" sqref="B60"/>
    </sheetView>
  </sheetViews>
  <sheetFormatPr defaultRowHeight="14.25"/>
  <cols>
    <col min="1" max="1" width="12.875" style="1285" customWidth="1"/>
    <col min="2" max="2" width="13.375" style="1285" customWidth="1"/>
    <col min="3" max="3" width="14.625" style="1285" customWidth="1"/>
    <col min="4" max="4" width="15.75" style="1285" customWidth="1"/>
    <col min="5" max="5" width="14" style="1285" customWidth="1"/>
    <col min="6" max="6" width="14.625" style="1285" customWidth="1"/>
    <col min="7" max="7" width="14" style="1285" customWidth="1"/>
    <col min="8" max="8" width="13.75" style="1285" customWidth="1"/>
    <col min="9" max="9" width="12.75" style="1285" customWidth="1"/>
    <col min="10" max="10" width="14.625" style="1285" customWidth="1"/>
    <col min="11" max="11" width="15.625" style="1285" customWidth="1"/>
    <col min="12" max="12" width="19.75" style="1285" customWidth="1"/>
    <col min="13" max="13" width="32.25" style="1285" customWidth="1"/>
    <col min="14" max="14" width="9" style="1285"/>
    <col min="15" max="15" width="12.125" style="1285" customWidth="1"/>
    <col min="16" max="16" width="14.125" style="1285" customWidth="1"/>
    <col min="17" max="255" width="9" style="1285"/>
  </cols>
  <sheetData>
    <row r="1" spans="1:13" ht="107.1" customHeight="1">
      <c r="A1" s="1032" t="s">
        <v>1089</v>
      </c>
      <c r="B1" s="1216"/>
      <c r="C1" s="1644" t="s">
        <v>1090</v>
      </c>
      <c r="D1" s="1644"/>
      <c r="E1" s="1775" t="s">
        <v>1091</v>
      </c>
      <c r="F1" s="1775"/>
      <c r="G1" s="1775"/>
      <c r="H1" s="531" t="s">
        <v>237</v>
      </c>
      <c r="I1" s="1777" t="s">
        <v>1092</v>
      </c>
      <c r="J1" s="1777"/>
      <c r="K1" s="1777"/>
      <c r="L1" s="1777" t="s">
        <v>1093</v>
      </c>
      <c r="M1" s="1801"/>
    </row>
    <row r="2" spans="1:13" ht="33.950000000000003" customHeight="1">
      <c r="A2" s="39" t="s">
        <v>240</v>
      </c>
      <c r="B2" s="1637" t="s">
        <v>1094</v>
      </c>
      <c r="C2" s="1637"/>
      <c r="D2" s="41" t="s">
        <v>242</v>
      </c>
      <c r="E2" s="1637" t="s">
        <v>1094</v>
      </c>
      <c r="F2" s="1637"/>
      <c r="G2" s="1637"/>
      <c r="H2" s="1664"/>
      <c r="I2" s="1664"/>
      <c r="J2" s="41" t="s">
        <v>243</v>
      </c>
      <c r="K2" s="41" t="s">
        <v>1095</v>
      </c>
      <c r="L2" s="103" t="s">
        <v>245</v>
      </c>
      <c r="M2" s="104" t="s">
        <v>1096</v>
      </c>
    </row>
    <row r="3" spans="1:13" ht="36" customHeight="1">
      <c r="A3" s="39" t="s">
        <v>247</v>
      </c>
      <c r="B3" s="1637" t="s">
        <v>1097</v>
      </c>
      <c r="C3" s="1637"/>
      <c r="D3" s="41" t="s">
        <v>249</v>
      </c>
      <c r="E3" s="59" t="s">
        <v>323</v>
      </c>
      <c r="F3" s="41" t="s">
        <v>251</v>
      </c>
      <c r="G3" s="41" t="s">
        <v>1098</v>
      </c>
      <c r="H3" s="41" t="s">
        <v>252</v>
      </c>
      <c r="I3" s="41"/>
      <c r="J3" s="91" t="s">
        <v>253</v>
      </c>
      <c r="K3" s="15" t="s">
        <v>1099</v>
      </c>
      <c r="L3" s="15" t="s">
        <v>255</v>
      </c>
      <c r="M3" s="92" t="s">
        <v>1100</v>
      </c>
    </row>
    <row r="4" spans="1:13" ht="94.5" customHeight="1">
      <c r="A4" s="39" t="s">
        <v>260</v>
      </c>
      <c r="B4" s="1762" t="s">
        <v>1101</v>
      </c>
      <c r="C4" s="1762"/>
      <c r="D4" s="1762"/>
      <c r="E4" s="1762"/>
      <c r="F4" s="1762"/>
      <c r="G4" s="1762"/>
      <c r="H4" s="1762" t="s">
        <v>1102</v>
      </c>
      <c r="I4" s="1762"/>
      <c r="J4" s="1762"/>
      <c r="K4" s="1762" t="s">
        <v>1103</v>
      </c>
      <c r="L4" s="1762"/>
      <c r="M4" s="104" t="s">
        <v>1104</v>
      </c>
    </row>
    <row r="5" spans="1:13" ht="74.099999999999994" customHeight="1">
      <c r="A5" s="39" t="s">
        <v>755</v>
      </c>
      <c r="B5" s="1670" t="s">
        <v>936</v>
      </c>
      <c r="C5" s="1679"/>
      <c r="D5" s="1679"/>
      <c r="E5" s="1680"/>
      <c r="F5" s="1670" t="s">
        <v>1105</v>
      </c>
      <c r="G5" s="1679"/>
      <c r="H5" s="1679"/>
      <c r="I5" s="1679"/>
      <c r="J5" s="1680"/>
      <c r="K5" s="1806" t="s">
        <v>1106</v>
      </c>
      <c r="L5" s="1807"/>
      <c r="M5" s="104"/>
    </row>
    <row r="6" spans="1:13" ht="57" customHeight="1">
      <c r="A6" s="1286" t="s">
        <v>1107</v>
      </c>
      <c r="B6" s="1802" t="s">
        <v>1108</v>
      </c>
      <c r="C6" s="1802"/>
      <c r="D6" s="1802"/>
      <c r="E6" s="1802"/>
      <c r="F6" s="1803" t="s">
        <v>1109</v>
      </c>
      <c r="G6" s="1804"/>
      <c r="H6" s="1804"/>
      <c r="I6" s="1804"/>
      <c r="J6" s="1805"/>
      <c r="K6" s="1808"/>
      <c r="L6" s="1809"/>
      <c r="M6" s="104"/>
    </row>
    <row r="7" spans="1:13" ht="57" customHeight="1">
      <c r="A7" s="1286" t="s">
        <v>264</v>
      </c>
      <c r="B7" s="1802" t="s">
        <v>1110</v>
      </c>
      <c r="C7" s="1802"/>
      <c r="D7" s="1802"/>
      <c r="E7" s="1802"/>
      <c r="F7" s="1226"/>
      <c r="G7" s="1227"/>
      <c r="H7" s="1227"/>
      <c r="I7" s="1227"/>
      <c r="J7" s="1230"/>
      <c r="K7" s="1297"/>
      <c r="L7" s="1298"/>
      <c r="M7" s="104"/>
    </row>
    <row r="8" spans="1:13" ht="42.75">
      <c r="A8" s="19" t="s">
        <v>266</v>
      </c>
      <c r="B8" s="20" t="s">
        <v>267</v>
      </c>
      <c r="C8" s="20" t="s">
        <v>268</v>
      </c>
      <c r="D8" s="20" t="s">
        <v>269</v>
      </c>
      <c r="E8" s="20" t="s">
        <v>270</v>
      </c>
      <c r="F8" s="20" t="s">
        <v>271</v>
      </c>
      <c r="G8" s="21" t="s">
        <v>272</v>
      </c>
      <c r="H8" s="22" t="s">
        <v>273</v>
      </c>
      <c r="I8" s="20" t="s">
        <v>274</v>
      </c>
      <c r="J8" s="70" t="s">
        <v>275</v>
      </c>
      <c r="K8" s="70" t="s">
        <v>276</v>
      </c>
      <c r="L8" s="20" t="s">
        <v>277</v>
      </c>
      <c r="M8" s="71" t="s">
        <v>278</v>
      </c>
    </row>
    <row r="9" spans="1:13" ht="27" customHeight="1">
      <c r="A9" s="107">
        <v>41518</v>
      </c>
      <c r="B9" s="46">
        <v>316.5</v>
      </c>
      <c r="C9" s="46">
        <v>91785</v>
      </c>
      <c r="D9" s="46">
        <f>B9</f>
        <v>316.5</v>
      </c>
      <c r="E9" s="46">
        <f>C9</f>
        <v>91785</v>
      </c>
      <c r="F9" s="46"/>
      <c r="G9" s="47">
        <f t="shared" ref="G9:G28" si="0">E9</f>
        <v>91785</v>
      </c>
      <c r="H9" s="47"/>
      <c r="I9" s="47"/>
      <c r="J9" s="47"/>
      <c r="K9" s="47"/>
      <c r="L9" s="47">
        <f t="shared" ref="L9:L30" si="1">E9-J9</f>
        <v>91785</v>
      </c>
      <c r="M9" s="94"/>
    </row>
    <row r="10" spans="1:13" ht="27" customHeight="1">
      <c r="A10" s="107">
        <v>41548</v>
      </c>
      <c r="B10" s="46">
        <v>940.5</v>
      </c>
      <c r="C10" s="46">
        <v>273570</v>
      </c>
      <c r="D10" s="46">
        <f>D9+B10</f>
        <v>1257</v>
      </c>
      <c r="E10" s="46">
        <f>E9+C10</f>
        <v>365355</v>
      </c>
      <c r="F10" s="46"/>
      <c r="G10" s="47">
        <f t="shared" si="0"/>
        <v>365355</v>
      </c>
      <c r="H10" s="47"/>
      <c r="I10" s="47"/>
      <c r="J10" s="47"/>
      <c r="K10" s="47">
        <f t="shared" ref="K10:K17" si="2">K9+H10-I10</f>
        <v>0</v>
      </c>
      <c r="L10" s="47">
        <f t="shared" si="1"/>
        <v>365355</v>
      </c>
      <c r="M10" s="94"/>
    </row>
    <row r="11" spans="1:13" ht="27" customHeight="1">
      <c r="A11" s="107">
        <v>41579</v>
      </c>
      <c r="B11" s="46">
        <v>935</v>
      </c>
      <c r="C11" s="46">
        <v>271150</v>
      </c>
      <c r="D11" s="46">
        <f t="shared" ref="D11:D60" si="3">D10+B11</f>
        <v>2192</v>
      </c>
      <c r="E11" s="46">
        <f t="shared" ref="E11:E60" si="4">E10+C11</f>
        <v>636505</v>
      </c>
      <c r="F11" s="46"/>
      <c r="G11" s="47">
        <f t="shared" si="0"/>
        <v>636505</v>
      </c>
      <c r="H11" s="47"/>
      <c r="I11" s="47"/>
      <c r="J11" s="47">
        <f>J10+I11</f>
        <v>0</v>
      </c>
      <c r="K11" s="47">
        <f t="shared" si="2"/>
        <v>0</v>
      </c>
      <c r="L11" s="47">
        <f t="shared" si="1"/>
        <v>636505</v>
      </c>
      <c r="M11" s="94" t="s">
        <v>1111</v>
      </c>
    </row>
    <row r="12" spans="1:13" ht="27" customHeight="1">
      <c r="A12" s="107">
        <v>41609</v>
      </c>
      <c r="B12" s="46">
        <v>1586</v>
      </c>
      <c r="C12" s="46">
        <v>459940</v>
      </c>
      <c r="D12" s="46">
        <f t="shared" si="3"/>
        <v>3778</v>
      </c>
      <c r="E12" s="46">
        <f t="shared" si="4"/>
        <v>1096445</v>
      </c>
      <c r="F12" s="46"/>
      <c r="G12" s="47">
        <f t="shared" si="0"/>
        <v>1096445</v>
      </c>
      <c r="H12" s="47"/>
      <c r="I12" s="47">
        <v>0</v>
      </c>
      <c r="J12" s="47">
        <f>J11+I12</f>
        <v>0</v>
      </c>
      <c r="K12" s="47">
        <f t="shared" si="2"/>
        <v>0</v>
      </c>
      <c r="L12" s="47">
        <f t="shared" si="1"/>
        <v>1096445</v>
      </c>
      <c r="M12" s="94"/>
    </row>
    <row r="13" spans="1:13" ht="27" customHeight="1">
      <c r="A13" s="107" t="s">
        <v>1064</v>
      </c>
      <c r="B13" s="46"/>
      <c r="C13" s="46">
        <v>3165</v>
      </c>
      <c r="D13" s="46">
        <f t="shared" si="3"/>
        <v>3778</v>
      </c>
      <c r="E13" s="46">
        <f t="shared" si="4"/>
        <v>1099610</v>
      </c>
      <c r="F13" s="46"/>
      <c r="G13" s="47">
        <f t="shared" si="0"/>
        <v>1099610</v>
      </c>
      <c r="H13" s="47"/>
      <c r="I13" s="47"/>
      <c r="J13" s="47"/>
      <c r="K13" s="47">
        <f t="shared" si="2"/>
        <v>0</v>
      </c>
      <c r="L13" s="47">
        <f t="shared" si="1"/>
        <v>1099610</v>
      </c>
      <c r="M13" s="94"/>
    </row>
    <row r="14" spans="1:13" ht="27" customHeight="1">
      <c r="A14" s="107" t="s">
        <v>1066</v>
      </c>
      <c r="B14" s="46"/>
      <c r="C14" s="46">
        <v>276920</v>
      </c>
      <c r="D14" s="46">
        <f t="shared" si="3"/>
        <v>3778</v>
      </c>
      <c r="E14" s="46">
        <f t="shared" si="4"/>
        <v>1376530</v>
      </c>
      <c r="F14" s="46"/>
      <c r="G14" s="47">
        <f t="shared" si="0"/>
        <v>1376530</v>
      </c>
      <c r="H14" s="47"/>
      <c r="I14" s="47"/>
      <c r="J14" s="47"/>
      <c r="K14" s="47">
        <f t="shared" si="2"/>
        <v>0</v>
      </c>
      <c r="L14" s="47">
        <f t="shared" si="1"/>
        <v>1376530</v>
      </c>
      <c r="M14" s="94"/>
    </row>
    <row r="15" spans="1:13" ht="27" customHeight="1">
      <c r="A15" s="107">
        <v>41640</v>
      </c>
      <c r="B15" s="46">
        <v>1275.5</v>
      </c>
      <c r="C15" s="46">
        <v>369895</v>
      </c>
      <c r="D15" s="46">
        <f t="shared" si="3"/>
        <v>5053.5</v>
      </c>
      <c r="E15" s="46">
        <f t="shared" si="4"/>
        <v>1746425</v>
      </c>
      <c r="F15" s="46"/>
      <c r="G15" s="47">
        <f t="shared" si="0"/>
        <v>1746425</v>
      </c>
      <c r="H15" s="47"/>
      <c r="I15" s="47">
        <v>0</v>
      </c>
      <c r="J15" s="47">
        <f>J12+I15</f>
        <v>0</v>
      </c>
      <c r="K15" s="47">
        <f t="shared" si="2"/>
        <v>0</v>
      </c>
      <c r="L15" s="47">
        <f t="shared" si="1"/>
        <v>1746425</v>
      </c>
      <c r="M15" s="94"/>
    </row>
    <row r="16" spans="1:13" ht="27" customHeight="1">
      <c r="A16" s="107">
        <v>41671</v>
      </c>
      <c r="B16" s="46">
        <v>601.5</v>
      </c>
      <c r="C16" s="46">
        <v>174435</v>
      </c>
      <c r="D16" s="46">
        <f t="shared" si="3"/>
        <v>5655</v>
      </c>
      <c r="E16" s="46">
        <f t="shared" si="4"/>
        <v>1920860</v>
      </c>
      <c r="F16" s="46"/>
      <c r="G16" s="47">
        <f t="shared" si="0"/>
        <v>1920860</v>
      </c>
      <c r="H16" s="47"/>
      <c r="I16" s="47"/>
      <c r="J16" s="47"/>
      <c r="K16" s="47">
        <f t="shared" si="2"/>
        <v>0</v>
      </c>
      <c r="L16" s="47">
        <f t="shared" si="1"/>
        <v>1920860</v>
      </c>
      <c r="M16" s="94"/>
    </row>
    <row r="17" spans="1:255" ht="27" customHeight="1">
      <c r="A17" s="107">
        <v>41699</v>
      </c>
      <c r="B17" s="46">
        <v>1623</v>
      </c>
      <c r="C17" s="46">
        <v>471440</v>
      </c>
      <c r="D17" s="46">
        <f t="shared" si="3"/>
        <v>7278</v>
      </c>
      <c r="E17" s="46">
        <f t="shared" si="4"/>
        <v>2392300</v>
      </c>
      <c r="F17" s="46"/>
      <c r="G17" s="47">
        <f t="shared" si="0"/>
        <v>2392300</v>
      </c>
      <c r="H17" s="47"/>
      <c r="I17" s="47"/>
      <c r="J17" s="47"/>
      <c r="K17" s="47">
        <f t="shared" si="2"/>
        <v>0</v>
      </c>
      <c r="L17" s="47">
        <f t="shared" si="1"/>
        <v>2392300</v>
      </c>
      <c r="M17" s="94"/>
    </row>
    <row r="18" spans="1:255" ht="27" customHeight="1">
      <c r="A18" s="107" t="s">
        <v>1068</v>
      </c>
      <c r="B18" s="46"/>
      <c r="C18" s="1287">
        <v>280235</v>
      </c>
      <c r="D18" s="46">
        <f t="shared" si="3"/>
        <v>7278</v>
      </c>
      <c r="E18" s="46">
        <f t="shared" si="4"/>
        <v>2672535</v>
      </c>
      <c r="F18" s="46"/>
      <c r="G18" s="47">
        <f t="shared" si="0"/>
        <v>2672535</v>
      </c>
      <c r="H18" s="47"/>
      <c r="I18" s="47"/>
      <c r="J18" s="47"/>
      <c r="K18" s="47"/>
      <c r="L18" s="47">
        <f t="shared" si="1"/>
        <v>2672535</v>
      </c>
      <c r="M18" s="94"/>
    </row>
    <row r="19" spans="1:255" ht="27" customHeight="1">
      <c r="A19" s="1268">
        <v>41730</v>
      </c>
      <c r="B19" s="180">
        <v>679.5</v>
      </c>
      <c r="C19" s="180">
        <v>197147.5</v>
      </c>
      <c r="D19" s="1106">
        <f t="shared" si="3"/>
        <v>7957.5</v>
      </c>
      <c r="E19" s="1106">
        <f t="shared" si="4"/>
        <v>2869682.5</v>
      </c>
      <c r="F19" s="180"/>
      <c r="G19" s="181">
        <f t="shared" si="0"/>
        <v>2869682.5</v>
      </c>
      <c r="H19" s="181"/>
      <c r="I19" s="181"/>
      <c r="J19" s="181"/>
      <c r="K19" s="181">
        <f>K17+H19-I19</f>
        <v>0</v>
      </c>
      <c r="L19" s="181">
        <f t="shared" si="1"/>
        <v>2869682.5</v>
      </c>
      <c r="M19" s="1275"/>
    </row>
    <row r="20" spans="1:255" ht="27" customHeight="1">
      <c r="A20" s="1270">
        <v>41760</v>
      </c>
      <c r="B20" s="180">
        <v>116</v>
      </c>
      <c r="C20" s="180">
        <v>29760</v>
      </c>
      <c r="D20" s="1106">
        <f t="shared" si="3"/>
        <v>8073.5</v>
      </c>
      <c r="E20" s="1106">
        <f t="shared" si="4"/>
        <v>2899442.5</v>
      </c>
      <c r="F20" s="180"/>
      <c r="G20" s="181">
        <f t="shared" si="0"/>
        <v>2899442.5</v>
      </c>
      <c r="H20" s="181"/>
      <c r="I20" s="181"/>
      <c r="J20" s="181"/>
      <c r="K20" s="181">
        <f t="shared" ref="K20:K37" si="5">K19+H20-I20</f>
        <v>0</v>
      </c>
      <c r="L20" s="181">
        <f t="shared" si="1"/>
        <v>2899442.5</v>
      </c>
      <c r="M20" s="1275"/>
    </row>
    <row r="21" spans="1:255" ht="27" customHeight="1">
      <c r="A21" s="1270">
        <v>41791</v>
      </c>
      <c r="B21" s="180">
        <v>704</v>
      </c>
      <c r="C21" s="181">
        <v>192130</v>
      </c>
      <c r="D21" s="1106">
        <f t="shared" si="3"/>
        <v>8777.5</v>
      </c>
      <c r="E21" s="1106">
        <f t="shared" si="4"/>
        <v>3091572.5</v>
      </c>
      <c r="F21" s="180"/>
      <c r="G21" s="181">
        <f t="shared" si="0"/>
        <v>3091572.5</v>
      </c>
      <c r="H21" s="181"/>
      <c r="I21" s="181"/>
      <c r="J21" s="181"/>
      <c r="K21" s="181">
        <f t="shared" si="5"/>
        <v>0</v>
      </c>
      <c r="L21" s="181">
        <f t="shared" si="1"/>
        <v>3091572.5</v>
      </c>
      <c r="M21" s="1275"/>
    </row>
    <row r="22" spans="1:255" ht="27" customHeight="1">
      <c r="A22" s="1270" t="s">
        <v>1112</v>
      </c>
      <c r="B22" s="180"/>
      <c r="C22" s="181">
        <v>117435</v>
      </c>
      <c r="D22" s="1106">
        <f t="shared" si="3"/>
        <v>8777.5</v>
      </c>
      <c r="E22" s="1106">
        <f t="shared" si="4"/>
        <v>3209007.5</v>
      </c>
      <c r="F22" s="180"/>
      <c r="G22" s="181">
        <f t="shared" si="0"/>
        <v>3209007.5</v>
      </c>
      <c r="H22" s="181"/>
      <c r="I22" s="181"/>
      <c r="J22" s="181"/>
      <c r="K22" s="181">
        <f t="shared" si="5"/>
        <v>0</v>
      </c>
      <c r="L22" s="181">
        <f t="shared" si="1"/>
        <v>3209007.5</v>
      </c>
      <c r="M22" s="1275"/>
    </row>
    <row r="23" spans="1:255" ht="27" customHeight="1">
      <c r="A23" s="1270">
        <v>41821</v>
      </c>
      <c r="B23" s="180">
        <v>256</v>
      </c>
      <c r="C23" s="181">
        <v>68070</v>
      </c>
      <c r="D23" s="1106">
        <f t="shared" si="3"/>
        <v>9033.5</v>
      </c>
      <c r="E23" s="1106">
        <f t="shared" si="4"/>
        <v>3277077.5</v>
      </c>
      <c r="F23" s="180"/>
      <c r="G23" s="181">
        <f t="shared" si="0"/>
        <v>3277077.5</v>
      </c>
      <c r="H23" s="181"/>
      <c r="I23" s="181"/>
      <c r="J23" s="181"/>
      <c r="K23" s="181">
        <f t="shared" si="5"/>
        <v>0</v>
      </c>
      <c r="L23" s="181">
        <f t="shared" si="1"/>
        <v>3277077.5</v>
      </c>
      <c r="M23" s="1275"/>
    </row>
    <row r="24" spans="1:255" ht="24.95" customHeight="1">
      <c r="A24" s="1270">
        <v>41852</v>
      </c>
      <c r="B24" s="180">
        <v>19</v>
      </c>
      <c r="C24" s="181">
        <v>5035</v>
      </c>
      <c r="D24" s="1106">
        <f t="shared" si="3"/>
        <v>9052.5</v>
      </c>
      <c r="E24" s="1106">
        <f t="shared" si="4"/>
        <v>3282112.5</v>
      </c>
      <c r="F24" s="180"/>
      <c r="G24" s="181">
        <f t="shared" si="0"/>
        <v>3282112.5</v>
      </c>
      <c r="H24" s="181"/>
      <c r="I24" s="181"/>
      <c r="J24" s="181"/>
      <c r="K24" s="181">
        <f t="shared" si="5"/>
        <v>0</v>
      </c>
      <c r="L24" s="181">
        <f t="shared" si="1"/>
        <v>3282112.5</v>
      </c>
      <c r="M24" s="1275"/>
    </row>
    <row r="25" spans="1:255" ht="24.95" customHeight="1">
      <c r="A25" s="1270">
        <v>41883</v>
      </c>
      <c r="B25" s="340">
        <v>36</v>
      </c>
      <c r="C25" s="457">
        <v>10620</v>
      </c>
      <c r="D25" s="1106">
        <f t="shared" si="3"/>
        <v>9088.5</v>
      </c>
      <c r="E25" s="1106">
        <f t="shared" si="4"/>
        <v>3292732.5</v>
      </c>
      <c r="F25" s="340"/>
      <c r="G25" s="181">
        <f t="shared" si="0"/>
        <v>3292732.5</v>
      </c>
      <c r="H25" s="181"/>
      <c r="I25" s="457"/>
      <c r="J25" s="457"/>
      <c r="K25" s="181">
        <f t="shared" si="5"/>
        <v>0</v>
      </c>
      <c r="L25" s="181">
        <f t="shared" si="1"/>
        <v>3292732.5</v>
      </c>
      <c r="M25" s="1277"/>
    </row>
    <row r="26" spans="1:255" ht="24.95" customHeight="1">
      <c r="A26" s="1270">
        <v>41883</v>
      </c>
      <c r="B26" s="340">
        <v>0</v>
      </c>
      <c r="C26" s="651">
        <v>0</v>
      </c>
      <c r="D26" s="1106">
        <f t="shared" si="3"/>
        <v>9088.5</v>
      </c>
      <c r="E26" s="1106">
        <f t="shared" si="4"/>
        <v>3292732.5</v>
      </c>
      <c r="F26" s="340"/>
      <c r="G26" s="181">
        <f t="shared" si="0"/>
        <v>3292732.5</v>
      </c>
      <c r="H26" s="181"/>
      <c r="I26" s="457"/>
      <c r="J26" s="457"/>
      <c r="K26" s="181">
        <f t="shared" si="5"/>
        <v>0</v>
      </c>
      <c r="L26" s="181">
        <f t="shared" si="1"/>
        <v>3292732.5</v>
      </c>
      <c r="M26" s="1277"/>
    </row>
    <row r="27" spans="1:255" ht="24.95" customHeight="1">
      <c r="A27" s="1270">
        <v>41913</v>
      </c>
      <c r="B27" s="340">
        <v>759</v>
      </c>
      <c r="C27" s="457">
        <v>228935</v>
      </c>
      <c r="D27" s="1106">
        <f t="shared" si="3"/>
        <v>9847.5</v>
      </c>
      <c r="E27" s="1106">
        <f t="shared" si="4"/>
        <v>3521667.5</v>
      </c>
      <c r="F27" s="340"/>
      <c r="G27" s="181">
        <f t="shared" si="0"/>
        <v>3521667.5</v>
      </c>
      <c r="H27" s="181"/>
      <c r="I27" s="457"/>
      <c r="J27" s="457"/>
      <c r="K27" s="181">
        <f t="shared" si="5"/>
        <v>0</v>
      </c>
      <c r="L27" s="181">
        <f t="shared" si="1"/>
        <v>3521667.5</v>
      </c>
      <c r="M27" s="1277"/>
    </row>
    <row r="28" spans="1:255" ht="24.95" customHeight="1">
      <c r="A28" s="1270">
        <v>41944</v>
      </c>
      <c r="B28" s="340">
        <v>3025</v>
      </c>
      <c r="C28" s="457">
        <v>949010</v>
      </c>
      <c r="D28" s="1106">
        <f t="shared" si="3"/>
        <v>12872.5</v>
      </c>
      <c r="E28" s="1106">
        <f t="shared" si="4"/>
        <v>4470677.5</v>
      </c>
      <c r="F28" s="340"/>
      <c r="G28" s="181">
        <f t="shared" si="0"/>
        <v>4470677.5</v>
      </c>
      <c r="H28" s="181"/>
      <c r="I28" s="457"/>
      <c r="J28" s="457"/>
      <c r="K28" s="181">
        <f t="shared" si="5"/>
        <v>0</v>
      </c>
      <c r="L28" s="181">
        <f t="shared" si="1"/>
        <v>4470677.5</v>
      </c>
      <c r="M28" s="1277"/>
    </row>
    <row r="29" spans="1:255" s="1284" customFormat="1" ht="24.95" customHeight="1">
      <c r="A29" s="1288">
        <v>41974</v>
      </c>
      <c r="B29" s="1289">
        <v>6372</v>
      </c>
      <c r="C29" s="1290">
        <v>2119155</v>
      </c>
      <c r="D29" s="1106">
        <f t="shared" si="3"/>
        <v>19244.5</v>
      </c>
      <c r="E29" s="1291">
        <f t="shared" si="4"/>
        <v>6589832.5</v>
      </c>
      <c r="F29" s="1289"/>
      <c r="G29" s="456">
        <v>0</v>
      </c>
      <c r="H29" s="456">
        <f>E28</f>
        <v>4470677.5</v>
      </c>
      <c r="I29" s="1290"/>
      <c r="J29" s="1290"/>
      <c r="K29" s="456">
        <f t="shared" si="5"/>
        <v>4470677.5</v>
      </c>
      <c r="L29" s="456">
        <f t="shared" si="1"/>
        <v>6589832.5</v>
      </c>
      <c r="M29" s="1299"/>
      <c r="N29" s="1300"/>
      <c r="O29" s="1300"/>
      <c r="P29" s="1300"/>
      <c r="Q29" s="1300"/>
      <c r="R29" s="1300"/>
      <c r="S29" s="1300"/>
      <c r="T29" s="1300"/>
      <c r="U29" s="1300"/>
      <c r="V29" s="1300"/>
      <c r="W29" s="1300"/>
      <c r="X29" s="1300"/>
      <c r="Y29" s="1300"/>
      <c r="Z29" s="1300"/>
      <c r="AA29" s="1300"/>
      <c r="AB29" s="1300"/>
      <c r="AC29" s="1300"/>
      <c r="AD29" s="1300"/>
      <c r="AE29" s="1300"/>
      <c r="AF29" s="1300"/>
      <c r="AG29" s="1300"/>
      <c r="AH29" s="1300"/>
      <c r="AI29" s="1300"/>
      <c r="AJ29" s="1300"/>
      <c r="AK29" s="1300"/>
      <c r="AL29" s="1300"/>
      <c r="AM29" s="1300"/>
      <c r="AN29" s="1300"/>
      <c r="AO29" s="1300"/>
      <c r="AP29" s="1300"/>
      <c r="AQ29" s="1300"/>
      <c r="AR29" s="1300"/>
      <c r="AS29" s="1300"/>
      <c r="AT29" s="1300"/>
      <c r="AU29" s="1300"/>
      <c r="AV29" s="1300"/>
      <c r="AW29" s="1300"/>
      <c r="AX29" s="1300"/>
      <c r="AY29" s="1300"/>
      <c r="AZ29" s="1300"/>
      <c r="BA29" s="1300"/>
      <c r="BB29" s="1300"/>
      <c r="BC29" s="1300"/>
      <c r="BD29" s="1300"/>
      <c r="BE29" s="1300"/>
      <c r="BF29" s="1300"/>
      <c r="BG29" s="1300"/>
      <c r="BH29" s="1300"/>
      <c r="BI29" s="1300"/>
      <c r="BJ29" s="1300"/>
      <c r="BK29" s="1300"/>
      <c r="BL29" s="1300"/>
      <c r="BM29" s="1300"/>
      <c r="BN29" s="1300"/>
      <c r="BO29" s="1300"/>
      <c r="BP29" s="1300"/>
      <c r="BQ29" s="1300"/>
      <c r="BR29" s="1300"/>
      <c r="BS29" s="1300"/>
      <c r="BT29" s="1300"/>
      <c r="BU29" s="1300"/>
      <c r="BV29" s="1300"/>
      <c r="BW29" s="1300"/>
      <c r="BX29" s="1300"/>
      <c r="BY29" s="1300"/>
      <c r="BZ29" s="1300"/>
      <c r="CA29" s="1300"/>
      <c r="CB29" s="1300"/>
      <c r="CC29" s="1300"/>
      <c r="CD29" s="1300"/>
      <c r="CE29" s="1300"/>
      <c r="CF29" s="1300"/>
      <c r="CG29" s="1300"/>
      <c r="CH29" s="1300"/>
      <c r="CI29" s="1300"/>
      <c r="CJ29" s="1300"/>
      <c r="CK29" s="1300"/>
      <c r="CL29" s="1300"/>
      <c r="CM29" s="1300"/>
      <c r="CN29" s="1300"/>
      <c r="CO29" s="1300"/>
      <c r="CP29" s="1300"/>
      <c r="CQ29" s="1300"/>
      <c r="CR29" s="1300"/>
      <c r="CS29" s="1300"/>
      <c r="CT29" s="1300"/>
      <c r="CU29" s="1300"/>
      <c r="CV29" s="1300"/>
      <c r="CW29" s="1300"/>
      <c r="CX29" s="1300"/>
      <c r="CY29" s="1300"/>
      <c r="CZ29" s="1300"/>
      <c r="DA29" s="1300"/>
      <c r="DB29" s="1300"/>
      <c r="DC29" s="1300"/>
      <c r="DD29" s="1300"/>
      <c r="DE29" s="1300"/>
      <c r="DF29" s="1300"/>
      <c r="DG29" s="1300"/>
      <c r="DH29" s="1300"/>
      <c r="DI29" s="1300"/>
      <c r="DJ29" s="1300"/>
      <c r="DK29" s="1300"/>
      <c r="DL29" s="1300"/>
      <c r="DM29" s="1300"/>
      <c r="DN29" s="1300"/>
      <c r="DO29" s="1300"/>
      <c r="DP29" s="1300"/>
      <c r="DQ29" s="1300"/>
      <c r="DR29" s="1300"/>
      <c r="DS29" s="1300"/>
      <c r="DT29" s="1300"/>
      <c r="DU29" s="1300"/>
      <c r="DV29" s="1300"/>
      <c r="DW29" s="1300"/>
      <c r="DX29" s="1300"/>
      <c r="DY29" s="1300"/>
      <c r="DZ29" s="1300"/>
      <c r="EA29" s="1300"/>
      <c r="EB29" s="1300"/>
      <c r="EC29" s="1300"/>
      <c r="ED29" s="1300"/>
      <c r="EE29" s="1300"/>
      <c r="EF29" s="1300"/>
      <c r="EG29" s="1300"/>
      <c r="EH29" s="1300"/>
      <c r="EI29" s="1300"/>
      <c r="EJ29" s="1300"/>
      <c r="EK29" s="1300"/>
      <c r="EL29" s="1300"/>
      <c r="EM29" s="1300"/>
      <c r="EN29" s="1300"/>
      <c r="EO29" s="1300"/>
      <c r="EP29" s="1300"/>
      <c r="EQ29" s="1300"/>
      <c r="ER29" s="1300"/>
      <c r="ES29" s="1300"/>
      <c r="ET29" s="1300"/>
      <c r="EU29" s="1300"/>
      <c r="EV29" s="1300"/>
      <c r="EW29" s="1300"/>
      <c r="EX29" s="1300"/>
      <c r="EY29" s="1300"/>
      <c r="EZ29" s="1300"/>
      <c r="FA29" s="1300"/>
      <c r="FB29" s="1300"/>
      <c r="FC29" s="1300"/>
      <c r="FD29" s="1300"/>
      <c r="FE29" s="1300"/>
      <c r="FF29" s="1300"/>
      <c r="FG29" s="1300"/>
      <c r="FH29" s="1300"/>
      <c r="FI29" s="1300"/>
      <c r="FJ29" s="1300"/>
      <c r="FK29" s="1300"/>
      <c r="FL29" s="1300"/>
      <c r="FM29" s="1300"/>
      <c r="FN29" s="1300"/>
      <c r="FO29" s="1300"/>
      <c r="FP29" s="1300"/>
      <c r="FQ29" s="1300"/>
      <c r="FR29" s="1300"/>
      <c r="FS29" s="1300"/>
      <c r="FT29" s="1300"/>
      <c r="FU29" s="1300"/>
      <c r="FV29" s="1300"/>
      <c r="FW29" s="1300"/>
      <c r="FX29" s="1300"/>
      <c r="FY29" s="1300"/>
      <c r="FZ29" s="1300"/>
      <c r="GA29" s="1300"/>
      <c r="GB29" s="1300"/>
      <c r="GC29" s="1300"/>
      <c r="GD29" s="1300"/>
      <c r="GE29" s="1300"/>
      <c r="GF29" s="1300"/>
      <c r="GG29" s="1300"/>
      <c r="GH29" s="1300"/>
      <c r="GI29" s="1300"/>
      <c r="GJ29" s="1300"/>
      <c r="GK29" s="1300"/>
      <c r="GL29" s="1300"/>
      <c r="GM29" s="1300"/>
      <c r="GN29" s="1300"/>
      <c r="GO29" s="1300"/>
      <c r="GP29" s="1300"/>
      <c r="GQ29" s="1300"/>
      <c r="GR29" s="1300"/>
      <c r="GS29" s="1300"/>
      <c r="GT29" s="1300"/>
      <c r="GU29" s="1300"/>
      <c r="GV29" s="1300"/>
      <c r="GW29" s="1300"/>
      <c r="GX29" s="1300"/>
      <c r="GY29" s="1300"/>
      <c r="GZ29" s="1300"/>
      <c r="HA29" s="1300"/>
      <c r="HB29" s="1300"/>
      <c r="HC29" s="1300"/>
      <c r="HD29" s="1300"/>
      <c r="HE29" s="1300"/>
      <c r="HF29" s="1300"/>
      <c r="HG29" s="1300"/>
      <c r="HH29" s="1300"/>
      <c r="HI29" s="1300"/>
      <c r="HJ29" s="1300"/>
      <c r="HK29" s="1300"/>
      <c r="HL29" s="1300"/>
      <c r="HM29" s="1300"/>
      <c r="HN29" s="1300"/>
      <c r="HO29" s="1300"/>
      <c r="HP29" s="1300"/>
      <c r="HQ29" s="1300"/>
      <c r="HR29" s="1300"/>
      <c r="HS29" s="1300"/>
      <c r="HT29" s="1300"/>
      <c r="HU29" s="1300"/>
      <c r="HV29" s="1300"/>
      <c r="HW29" s="1300"/>
      <c r="HX29" s="1300"/>
      <c r="HY29" s="1300"/>
      <c r="HZ29" s="1300"/>
      <c r="IA29" s="1300"/>
      <c r="IB29" s="1300"/>
      <c r="IC29" s="1300"/>
      <c r="ID29" s="1300"/>
      <c r="IE29" s="1300"/>
      <c r="IF29" s="1300"/>
      <c r="IG29" s="1300"/>
      <c r="IH29" s="1300"/>
      <c r="II29" s="1300"/>
      <c r="IJ29" s="1300"/>
      <c r="IK29" s="1300"/>
      <c r="IL29" s="1300"/>
      <c r="IM29" s="1300"/>
      <c r="IN29" s="1300"/>
      <c r="IO29" s="1300"/>
      <c r="IP29" s="1300"/>
      <c r="IQ29" s="1300"/>
      <c r="IR29" s="1300"/>
      <c r="IS29" s="1300"/>
      <c r="IT29" s="1300"/>
      <c r="IU29" s="1300"/>
    </row>
    <row r="30" spans="1:255" ht="24.95" customHeight="1">
      <c r="A30" s="1292">
        <v>42005</v>
      </c>
      <c r="B30" s="340">
        <v>3162</v>
      </c>
      <c r="C30" s="457">
        <v>1079744</v>
      </c>
      <c r="D30" s="1106">
        <f t="shared" si="3"/>
        <v>22406.5</v>
      </c>
      <c r="E30" s="1106">
        <f t="shared" si="4"/>
        <v>7669576.5</v>
      </c>
      <c r="F30" s="340"/>
      <c r="G30" s="181">
        <v>0</v>
      </c>
      <c r="H30" s="457">
        <f t="shared" ref="H30:H36" si="6">C29</f>
        <v>2119155</v>
      </c>
      <c r="I30" s="457"/>
      <c r="J30" s="457"/>
      <c r="K30" s="181">
        <f t="shared" si="5"/>
        <v>6589832.5</v>
      </c>
      <c r="L30" s="181">
        <f t="shared" si="1"/>
        <v>7669576.5</v>
      </c>
      <c r="M30" s="1277"/>
    </row>
    <row r="31" spans="1:255" ht="24.95" customHeight="1">
      <c r="A31" s="1292">
        <v>42037</v>
      </c>
      <c r="B31" s="340">
        <v>889</v>
      </c>
      <c r="C31" s="457">
        <v>305710</v>
      </c>
      <c r="D31" s="1106">
        <f t="shared" si="3"/>
        <v>23295.5</v>
      </c>
      <c r="E31" s="1106">
        <f t="shared" si="4"/>
        <v>7975286.5</v>
      </c>
      <c r="F31" s="340"/>
      <c r="G31" s="181">
        <v>0</v>
      </c>
      <c r="H31" s="457">
        <f t="shared" si="6"/>
        <v>1079744</v>
      </c>
      <c r="I31" s="457">
        <v>1600000</v>
      </c>
      <c r="J31" s="457">
        <f t="shared" ref="J31:J60" si="7">J30+I31</f>
        <v>1600000</v>
      </c>
      <c r="K31" s="181">
        <f t="shared" si="5"/>
        <v>6069576.5</v>
      </c>
      <c r="L31" s="181">
        <f t="shared" ref="L31:L60" si="8">E31-J31</f>
        <v>6375286.5</v>
      </c>
      <c r="M31" s="1277" t="s">
        <v>1113</v>
      </c>
      <c r="O31" s="1301">
        <v>42040</v>
      </c>
      <c r="P31" s="1302">
        <v>1600000</v>
      </c>
    </row>
    <row r="32" spans="1:255" ht="24.95" customHeight="1">
      <c r="A32" s="1292">
        <v>42069</v>
      </c>
      <c r="B32" s="1293">
        <v>1450</v>
      </c>
      <c r="C32" s="1293">
        <v>476599</v>
      </c>
      <c r="D32" s="1106">
        <f t="shared" si="3"/>
        <v>24745.5</v>
      </c>
      <c r="E32" s="1106">
        <f t="shared" si="4"/>
        <v>8451885.5</v>
      </c>
      <c r="F32" s="340"/>
      <c r="G32" s="181">
        <v>0</v>
      </c>
      <c r="H32" s="181">
        <f t="shared" si="6"/>
        <v>305710</v>
      </c>
      <c r="I32" s="457"/>
      <c r="J32" s="457">
        <f t="shared" si="7"/>
        <v>1600000</v>
      </c>
      <c r="K32" s="181">
        <f t="shared" si="5"/>
        <v>6375286.5</v>
      </c>
      <c r="L32" s="181">
        <f t="shared" si="8"/>
        <v>6851885.5</v>
      </c>
      <c r="M32" s="1277"/>
      <c r="O32" s="1301">
        <v>42118</v>
      </c>
      <c r="P32" s="1302">
        <v>500000</v>
      </c>
    </row>
    <row r="33" spans="1:16" ht="24.95" customHeight="1">
      <c r="A33" s="1292">
        <v>42100</v>
      </c>
      <c r="B33" s="180">
        <v>2486.5</v>
      </c>
      <c r="C33" s="181">
        <v>780542.5</v>
      </c>
      <c r="D33" s="1106">
        <f t="shared" si="3"/>
        <v>27232</v>
      </c>
      <c r="E33" s="1106">
        <f t="shared" si="4"/>
        <v>9232428</v>
      </c>
      <c r="F33" s="180"/>
      <c r="G33" s="181"/>
      <c r="H33" s="181">
        <f t="shared" si="6"/>
        <v>476599</v>
      </c>
      <c r="I33" s="181">
        <v>500000</v>
      </c>
      <c r="J33" s="457">
        <f t="shared" si="7"/>
        <v>2100000</v>
      </c>
      <c r="K33" s="181">
        <f t="shared" si="5"/>
        <v>6351885.5</v>
      </c>
      <c r="L33" s="181">
        <f t="shared" si="8"/>
        <v>7132428</v>
      </c>
      <c r="M33" s="1277" t="s">
        <v>1114</v>
      </c>
      <c r="O33" s="1303">
        <v>42165</v>
      </c>
      <c r="P33" s="1304">
        <v>1000000</v>
      </c>
    </row>
    <row r="34" spans="1:16" ht="24.95" customHeight="1">
      <c r="A34" s="1272">
        <v>42125</v>
      </c>
      <c r="B34" s="180">
        <v>2012.5</v>
      </c>
      <c r="C34" s="181">
        <v>608764.5</v>
      </c>
      <c r="D34" s="1106">
        <f t="shared" si="3"/>
        <v>29244.5</v>
      </c>
      <c r="E34" s="1106">
        <f t="shared" si="4"/>
        <v>9841192.5</v>
      </c>
      <c r="F34" s="180"/>
      <c r="G34" s="181"/>
      <c r="H34" s="181">
        <f t="shared" si="6"/>
        <v>780542.5</v>
      </c>
      <c r="I34" s="181"/>
      <c r="J34" s="457">
        <f t="shared" si="7"/>
        <v>2100000</v>
      </c>
      <c r="K34" s="181">
        <f t="shared" si="5"/>
        <v>7132428</v>
      </c>
      <c r="L34" s="181">
        <f t="shared" si="8"/>
        <v>7741192.5</v>
      </c>
      <c r="M34" s="1305"/>
      <c r="O34" s="1306">
        <v>42277</v>
      </c>
      <c r="P34" s="1307">
        <v>1000000</v>
      </c>
    </row>
    <row r="35" spans="1:16" ht="30" customHeight="1">
      <c r="A35" s="1272">
        <v>42156</v>
      </c>
      <c r="B35" s="180">
        <v>961</v>
      </c>
      <c r="C35" s="181">
        <v>284075</v>
      </c>
      <c r="D35" s="1106">
        <f t="shared" si="3"/>
        <v>30205.5</v>
      </c>
      <c r="E35" s="1106">
        <f t="shared" si="4"/>
        <v>10125267.5</v>
      </c>
      <c r="F35" s="180"/>
      <c r="G35" s="181"/>
      <c r="H35" s="181">
        <f t="shared" si="6"/>
        <v>608764.5</v>
      </c>
      <c r="I35" s="181">
        <v>1000000</v>
      </c>
      <c r="J35" s="457">
        <f t="shared" si="7"/>
        <v>3100000</v>
      </c>
      <c r="K35" s="181">
        <f t="shared" si="5"/>
        <v>6741192.5</v>
      </c>
      <c r="L35" s="181">
        <f t="shared" si="8"/>
        <v>7025267.5</v>
      </c>
      <c r="M35" s="1305" t="s">
        <v>1115</v>
      </c>
      <c r="O35" s="1306">
        <v>42277</v>
      </c>
      <c r="P35" s="1307">
        <v>1000000</v>
      </c>
    </row>
    <row r="36" spans="1:16" ht="24.95" customHeight="1">
      <c r="A36" s="1272" t="s">
        <v>785</v>
      </c>
      <c r="B36" s="180"/>
      <c r="C36" s="1294">
        <v>16980</v>
      </c>
      <c r="D36" s="1106">
        <f t="shared" si="3"/>
        <v>30205.5</v>
      </c>
      <c r="E36" s="1106">
        <f t="shared" si="4"/>
        <v>10142247.5</v>
      </c>
      <c r="F36" s="180"/>
      <c r="G36" s="181"/>
      <c r="H36" s="181">
        <f t="shared" si="6"/>
        <v>284075</v>
      </c>
      <c r="I36" s="181"/>
      <c r="J36" s="457">
        <f t="shared" si="7"/>
        <v>3100000</v>
      </c>
      <c r="K36" s="181">
        <f t="shared" si="5"/>
        <v>7025267.5</v>
      </c>
      <c r="L36" s="181">
        <f t="shared" si="8"/>
        <v>7042247.5</v>
      </c>
      <c r="M36" s="1220"/>
      <c r="O36" s="1306">
        <v>42320</v>
      </c>
      <c r="P36" s="1307">
        <v>800000</v>
      </c>
    </row>
    <row r="37" spans="1:16" ht="24.95" customHeight="1">
      <c r="A37" s="1272" t="s">
        <v>786</v>
      </c>
      <c r="B37" s="251"/>
      <c r="C37" s="1295">
        <v>348352</v>
      </c>
      <c r="D37" s="1106">
        <f t="shared" si="3"/>
        <v>30205.5</v>
      </c>
      <c r="E37" s="1106">
        <f t="shared" si="4"/>
        <v>10490599.5</v>
      </c>
      <c r="F37" s="180"/>
      <c r="G37" s="181"/>
      <c r="H37" s="181"/>
      <c r="I37" s="181">
        <v>1000000</v>
      </c>
      <c r="J37" s="457">
        <f t="shared" si="7"/>
        <v>4100000</v>
      </c>
      <c r="K37" s="181">
        <f t="shared" si="5"/>
        <v>6025267.5</v>
      </c>
      <c r="L37" s="181">
        <f t="shared" si="8"/>
        <v>6390599.5</v>
      </c>
      <c r="M37" s="1220" t="s">
        <v>1116</v>
      </c>
      <c r="O37" s="1308">
        <v>42723</v>
      </c>
      <c r="P37" s="1309">
        <v>2134630</v>
      </c>
    </row>
    <row r="38" spans="1:16" ht="24.95" customHeight="1">
      <c r="A38" s="1272" t="s">
        <v>787</v>
      </c>
      <c r="B38" s="251"/>
      <c r="C38" s="1295">
        <v>45657</v>
      </c>
      <c r="D38" s="1106">
        <f t="shared" si="3"/>
        <v>30205.5</v>
      </c>
      <c r="E38" s="1106">
        <f t="shared" si="4"/>
        <v>10536256.5</v>
      </c>
      <c r="F38" s="180"/>
      <c r="G38" s="181"/>
      <c r="H38" s="181"/>
      <c r="I38" s="181"/>
      <c r="J38" s="457">
        <f t="shared" si="7"/>
        <v>4100000</v>
      </c>
      <c r="K38" s="181">
        <f t="shared" ref="K38:K61" si="9">K37+H38-I38</f>
        <v>6025267.5</v>
      </c>
      <c r="L38" s="181">
        <f t="shared" si="8"/>
        <v>6436256.5</v>
      </c>
      <c r="M38" s="1220"/>
      <c r="O38" s="1310">
        <v>42521</v>
      </c>
      <c r="P38" s="1311">
        <v>1300000</v>
      </c>
    </row>
    <row r="39" spans="1:16" ht="24.95" customHeight="1">
      <c r="A39" s="1272" t="s">
        <v>1117</v>
      </c>
      <c r="B39" s="251"/>
      <c r="C39" s="1295">
        <v>357050</v>
      </c>
      <c r="D39" s="1106">
        <f t="shared" si="3"/>
        <v>30205.5</v>
      </c>
      <c r="E39" s="1106">
        <f t="shared" si="4"/>
        <v>10893306.5</v>
      </c>
      <c r="F39" s="180"/>
      <c r="G39" s="181"/>
      <c r="H39" s="181"/>
      <c r="I39" s="181"/>
      <c r="J39" s="457">
        <f t="shared" si="7"/>
        <v>4100000</v>
      </c>
      <c r="K39" s="181">
        <f t="shared" si="9"/>
        <v>6025267.5</v>
      </c>
      <c r="L39" s="181">
        <f t="shared" si="8"/>
        <v>6793306.5</v>
      </c>
      <c r="M39" s="1220" t="s">
        <v>1118</v>
      </c>
    </row>
    <row r="40" spans="1:16" ht="30" customHeight="1">
      <c r="A40" s="1272">
        <v>42278</v>
      </c>
      <c r="B40" s="180">
        <v>1530.5</v>
      </c>
      <c r="C40" s="181">
        <v>495020</v>
      </c>
      <c r="D40" s="1106">
        <f t="shared" si="3"/>
        <v>31736</v>
      </c>
      <c r="E40" s="1106">
        <f t="shared" si="4"/>
        <v>11388326.5</v>
      </c>
      <c r="F40" s="180"/>
      <c r="G40" s="181"/>
      <c r="H40" s="181"/>
      <c r="I40" s="181">
        <v>1000000</v>
      </c>
      <c r="J40" s="457">
        <f t="shared" si="7"/>
        <v>5100000</v>
      </c>
      <c r="K40" s="181">
        <f t="shared" si="9"/>
        <v>5025267.5</v>
      </c>
      <c r="L40" s="181">
        <f t="shared" si="8"/>
        <v>6288326.5</v>
      </c>
      <c r="M40" s="1220" t="s">
        <v>1119</v>
      </c>
    </row>
    <row r="41" spans="1:16" ht="30" customHeight="1">
      <c r="A41" s="1296">
        <v>42309</v>
      </c>
      <c r="B41" s="340">
        <v>2709</v>
      </c>
      <c r="C41" s="457">
        <v>839610</v>
      </c>
      <c r="D41" s="1106">
        <f t="shared" si="3"/>
        <v>34445</v>
      </c>
      <c r="E41" s="1106">
        <f t="shared" si="4"/>
        <v>12227936.5</v>
      </c>
      <c r="F41" s="180"/>
      <c r="G41" s="181"/>
      <c r="H41" s="181">
        <f>C36+C37+C40+C38+C39</f>
        <v>1263059</v>
      </c>
      <c r="I41" s="181">
        <v>800000</v>
      </c>
      <c r="J41" s="457">
        <f t="shared" si="7"/>
        <v>5900000</v>
      </c>
      <c r="K41" s="181">
        <f t="shared" si="9"/>
        <v>5488326.5</v>
      </c>
      <c r="L41" s="181">
        <f t="shared" si="8"/>
        <v>6327936.5</v>
      </c>
      <c r="M41" s="1312" t="s">
        <v>1120</v>
      </c>
    </row>
    <row r="42" spans="1:16" ht="30" customHeight="1">
      <c r="A42" s="1296">
        <v>42339</v>
      </c>
      <c r="B42" s="340">
        <v>2495</v>
      </c>
      <c r="C42" s="457">
        <v>763255</v>
      </c>
      <c r="D42" s="1106">
        <f t="shared" si="3"/>
        <v>36940</v>
      </c>
      <c r="E42" s="1106">
        <f t="shared" si="4"/>
        <v>12991191.5</v>
      </c>
      <c r="F42" s="180"/>
      <c r="G42" s="181"/>
      <c r="H42" s="181">
        <f>C41</f>
        <v>839610</v>
      </c>
      <c r="I42" s="181">
        <f>839610+495020+800000</f>
        <v>2134630</v>
      </c>
      <c r="J42" s="457">
        <f t="shared" si="7"/>
        <v>8034630</v>
      </c>
      <c r="K42" s="181">
        <f t="shared" si="9"/>
        <v>4193306.5</v>
      </c>
      <c r="L42" s="181">
        <f t="shared" si="8"/>
        <v>4956561.5</v>
      </c>
      <c r="M42" s="1312" t="s">
        <v>1121</v>
      </c>
    </row>
    <row r="43" spans="1:16" ht="30" customHeight="1">
      <c r="A43" s="1296">
        <v>42370</v>
      </c>
      <c r="B43" s="340">
        <v>1700</v>
      </c>
      <c r="C43" s="457">
        <v>519365</v>
      </c>
      <c r="D43" s="1106">
        <f t="shared" si="3"/>
        <v>38640</v>
      </c>
      <c r="E43" s="1106">
        <f t="shared" si="4"/>
        <v>13510556.5</v>
      </c>
      <c r="F43" s="180"/>
      <c r="G43" s="181"/>
      <c r="H43" s="181">
        <f t="shared" ref="H43:H60" si="10">C42</f>
        <v>763255</v>
      </c>
      <c r="I43" s="181"/>
      <c r="J43" s="457">
        <f t="shared" si="7"/>
        <v>8034630</v>
      </c>
      <c r="K43" s="181">
        <f t="shared" si="9"/>
        <v>4956561.5</v>
      </c>
      <c r="L43" s="181">
        <f t="shared" si="8"/>
        <v>5475926.5</v>
      </c>
      <c r="M43" s="1220" t="s">
        <v>1122</v>
      </c>
    </row>
    <row r="44" spans="1:16" ht="24" customHeight="1">
      <c r="A44" s="1296">
        <v>42401</v>
      </c>
      <c r="B44" s="340">
        <v>0</v>
      </c>
      <c r="C44" s="457">
        <v>0</v>
      </c>
      <c r="D44" s="1106">
        <f t="shared" si="3"/>
        <v>38640</v>
      </c>
      <c r="E44" s="1106">
        <f t="shared" si="4"/>
        <v>13510556.5</v>
      </c>
      <c r="F44" s="180"/>
      <c r="G44" s="181"/>
      <c r="H44" s="181">
        <f t="shared" si="10"/>
        <v>519365</v>
      </c>
      <c r="I44" s="181"/>
      <c r="J44" s="457">
        <f t="shared" si="7"/>
        <v>8034630</v>
      </c>
      <c r="K44" s="181">
        <f t="shared" si="9"/>
        <v>5475926.5</v>
      </c>
      <c r="L44" s="181">
        <f t="shared" si="8"/>
        <v>5475926.5</v>
      </c>
      <c r="M44" s="1220" t="s">
        <v>1123</v>
      </c>
    </row>
    <row r="45" spans="1:16" ht="24.95" customHeight="1">
      <c r="A45" s="1296">
        <v>42430</v>
      </c>
      <c r="B45" s="1099">
        <v>0</v>
      </c>
      <c r="C45" s="457">
        <v>0</v>
      </c>
      <c r="D45" s="1106">
        <f t="shared" si="3"/>
        <v>38640</v>
      </c>
      <c r="E45" s="1106">
        <f t="shared" si="4"/>
        <v>13510556.5</v>
      </c>
      <c r="F45" s="180"/>
      <c r="G45" s="181"/>
      <c r="H45" s="181">
        <f t="shared" si="10"/>
        <v>0</v>
      </c>
      <c r="I45" s="181">
        <v>1300000</v>
      </c>
      <c r="J45" s="457">
        <f t="shared" si="7"/>
        <v>9334630</v>
      </c>
      <c r="K45" s="181">
        <f t="shared" si="9"/>
        <v>4175926.5</v>
      </c>
      <c r="L45" s="181">
        <f t="shared" si="8"/>
        <v>4175926.5</v>
      </c>
      <c r="M45" s="1220"/>
    </row>
    <row r="46" spans="1:16" ht="24.95" customHeight="1">
      <c r="A46" s="1296">
        <v>42522</v>
      </c>
      <c r="B46" s="180">
        <v>34.5</v>
      </c>
      <c r="C46" s="181">
        <v>10522.5</v>
      </c>
      <c r="D46" s="1106">
        <f t="shared" si="3"/>
        <v>38674.5</v>
      </c>
      <c r="E46" s="1106">
        <f t="shared" si="4"/>
        <v>13521079</v>
      </c>
      <c r="F46" s="180"/>
      <c r="G46" s="181"/>
      <c r="H46" s="181">
        <f t="shared" si="10"/>
        <v>0</v>
      </c>
      <c r="I46" s="181"/>
      <c r="J46" s="457">
        <f t="shared" si="7"/>
        <v>9334630</v>
      </c>
      <c r="K46" s="181">
        <f t="shared" si="9"/>
        <v>4175926.5</v>
      </c>
      <c r="L46" s="181">
        <f t="shared" si="8"/>
        <v>4186449</v>
      </c>
      <c r="M46" s="1220" t="s">
        <v>1124</v>
      </c>
    </row>
    <row r="47" spans="1:16" ht="24.95" customHeight="1">
      <c r="A47" s="1296" t="s">
        <v>1125</v>
      </c>
      <c r="B47" s="180"/>
      <c r="C47" s="181">
        <v>300000</v>
      </c>
      <c r="D47" s="1106">
        <f t="shared" si="3"/>
        <v>38674.5</v>
      </c>
      <c r="E47" s="1106">
        <f t="shared" si="4"/>
        <v>13821079</v>
      </c>
      <c r="F47" s="180"/>
      <c r="G47" s="181"/>
      <c r="H47" s="181">
        <f t="shared" si="10"/>
        <v>10522.5</v>
      </c>
      <c r="I47" s="181"/>
      <c r="J47" s="457">
        <f t="shared" si="7"/>
        <v>9334630</v>
      </c>
      <c r="K47" s="181">
        <f t="shared" si="9"/>
        <v>4186449</v>
      </c>
      <c r="L47" s="181">
        <f t="shared" si="8"/>
        <v>4486449</v>
      </c>
      <c r="M47" s="1220"/>
    </row>
    <row r="48" spans="1:16" ht="24.95" customHeight="1">
      <c r="A48" s="1272">
        <v>42552</v>
      </c>
      <c r="B48" s="180">
        <v>157</v>
      </c>
      <c r="C48" s="181">
        <f>47872.5+1027.5</f>
        <v>48900</v>
      </c>
      <c r="D48" s="1106">
        <f t="shared" si="3"/>
        <v>38831.5</v>
      </c>
      <c r="E48" s="1106">
        <f t="shared" si="4"/>
        <v>13869979</v>
      </c>
      <c r="F48" s="180"/>
      <c r="G48" s="181"/>
      <c r="H48" s="181">
        <f t="shared" si="10"/>
        <v>300000</v>
      </c>
      <c r="I48" s="181">
        <v>600000</v>
      </c>
      <c r="J48" s="457">
        <f t="shared" si="7"/>
        <v>9934630</v>
      </c>
      <c r="K48" s="181">
        <f t="shared" si="9"/>
        <v>3886449</v>
      </c>
      <c r="L48" s="181">
        <f t="shared" si="8"/>
        <v>3935349</v>
      </c>
      <c r="M48" s="1220" t="s">
        <v>1126</v>
      </c>
    </row>
    <row r="49" spans="1:13" ht="24.95" customHeight="1">
      <c r="A49" s="1272">
        <v>42583</v>
      </c>
      <c r="B49" s="180">
        <v>248.5</v>
      </c>
      <c r="C49" s="181">
        <v>78835</v>
      </c>
      <c r="D49" s="1106">
        <f t="shared" si="3"/>
        <v>39080</v>
      </c>
      <c r="E49" s="1106">
        <f t="shared" si="4"/>
        <v>13948814</v>
      </c>
      <c r="F49" s="180"/>
      <c r="G49" s="181"/>
      <c r="H49" s="181">
        <f t="shared" si="10"/>
        <v>48900</v>
      </c>
      <c r="I49" s="181">
        <f>699511+300000</f>
        <v>999511</v>
      </c>
      <c r="J49" s="457">
        <f t="shared" si="7"/>
        <v>10934141</v>
      </c>
      <c r="K49" s="181">
        <f t="shared" si="9"/>
        <v>2935838</v>
      </c>
      <c r="L49" s="181">
        <f t="shared" si="8"/>
        <v>3014673</v>
      </c>
      <c r="M49" s="1220" t="s">
        <v>1127</v>
      </c>
    </row>
    <row r="50" spans="1:13" ht="24.95" customHeight="1">
      <c r="A50" s="1272">
        <v>42614</v>
      </c>
      <c r="B50" s="180">
        <v>300</v>
      </c>
      <c r="C50" s="181">
        <v>100420</v>
      </c>
      <c r="D50" s="1106">
        <f t="shared" si="3"/>
        <v>39380</v>
      </c>
      <c r="E50" s="1106">
        <f t="shared" si="4"/>
        <v>14049234</v>
      </c>
      <c r="F50" s="180"/>
      <c r="G50" s="181"/>
      <c r="H50" s="181">
        <f t="shared" si="10"/>
        <v>78835</v>
      </c>
      <c r="I50" s="181"/>
      <c r="J50" s="457">
        <f t="shared" si="7"/>
        <v>10934141</v>
      </c>
      <c r="K50" s="181">
        <f t="shared" si="9"/>
        <v>3014673</v>
      </c>
      <c r="L50" s="181">
        <f t="shared" si="8"/>
        <v>3115093</v>
      </c>
      <c r="M50" s="1220" t="s">
        <v>1128</v>
      </c>
    </row>
    <row r="51" spans="1:13" ht="24.95" customHeight="1">
      <c r="A51" s="1272">
        <v>42644</v>
      </c>
      <c r="B51" s="180">
        <v>134</v>
      </c>
      <c r="C51" s="181">
        <v>45560</v>
      </c>
      <c r="D51" s="1106">
        <f t="shared" si="3"/>
        <v>39514</v>
      </c>
      <c r="E51" s="1106">
        <f t="shared" si="4"/>
        <v>14094794</v>
      </c>
      <c r="F51" s="180"/>
      <c r="G51" s="181"/>
      <c r="H51" s="181">
        <f t="shared" si="10"/>
        <v>100420</v>
      </c>
      <c r="I51" s="181">
        <v>114597</v>
      </c>
      <c r="J51" s="457">
        <f t="shared" si="7"/>
        <v>11048738</v>
      </c>
      <c r="K51" s="181">
        <f t="shared" si="9"/>
        <v>3000496</v>
      </c>
      <c r="L51" s="181">
        <f t="shared" si="8"/>
        <v>3046056</v>
      </c>
      <c r="M51" s="1220" t="s">
        <v>1129</v>
      </c>
    </row>
    <row r="52" spans="1:13" ht="24.95" customHeight="1">
      <c r="A52" s="1272">
        <v>42675</v>
      </c>
      <c r="B52" s="180">
        <v>268.5</v>
      </c>
      <c r="C52" s="181">
        <v>91185</v>
      </c>
      <c r="D52" s="1106">
        <f t="shared" si="3"/>
        <v>39782.5</v>
      </c>
      <c r="E52" s="1106">
        <f t="shared" si="4"/>
        <v>14185979</v>
      </c>
      <c r="F52" s="180"/>
      <c r="G52" s="181"/>
      <c r="H52" s="181">
        <f t="shared" si="10"/>
        <v>45560</v>
      </c>
      <c r="I52" s="181">
        <v>150000</v>
      </c>
      <c r="J52" s="457">
        <f t="shared" si="7"/>
        <v>11198738</v>
      </c>
      <c r="K52" s="181">
        <f t="shared" si="9"/>
        <v>2896056</v>
      </c>
      <c r="L52" s="181">
        <f t="shared" si="8"/>
        <v>2987241</v>
      </c>
      <c r="M52" s="1220" t="s">
        <v>1130</v>
      </c>
    </row>
    <row r="53" spans="1:13" ht="24.95" customHeight="1">
      <c r="A53" s="1272">
        <v>42705</v>
      </c>
      <c r="B53" s="180">
        <v>20.5</v>
      </c>
      <c r="C53" s="181">
        <v>6892.5</v>
      </c>
      <c r="D53" s="1106">
        <f t="shared" si="3"/>
        <v>39803</v>
      </c>
      <c r="E53" s="1106">
        <f t="shared" si="4"/>
        <v>14192871.5</v>
      </c>
      <c r="F53" s="180"/>
      <c r="G53" s="181"/>
      <c r="H53" s="181">
        <f t="shared" si="10"/>
        <v>91185</v>
      </c>
      <c r="I53" s="181">
        <v>200000</v>
      </c>
      <c r="J53" s="457">
        <f t="shared" si="7"/>
        <v>11398738</v>
      </c>
      <c r="K53" s="181">
        <f t="shared" si="9"/>
        <v>2787241</v>
      </c>
      <c r="L53" s="181">
        <f t="shared" si="8"/>
        <v>2794133.5</v>
      </c>
      <c r="M53" s="1220"/>
    </row>
    <row r="54" spans="1:13" ht="24.95" customHeight="1">
      <c r="A54" s="1272">
        <v>42736</v>
      </c>
      <c r="B54" s="180">
        <v>100</v>
      </c>
      <c r="C54" s="181">
        <v>33090</v>
      </c>
      <c r="D54" s="1106">
        <f t="shared" si="3"/>
        <v>39903</v>
      </c>
      <c r="E54" s="1106">
        <f t="shared" si="4"/>
        <v>14225961.5</v>
      </c>
      <c r="F54" s="180"/>
      <c r="G54" s="181"/>
      <c r="H54" s="181">
        <f t="shared" si="10"/>
        <v>6892.5</v>
      </c>
      <c r="I54" s="181">
        <v>500000</v>
      </c>
      <c r="J54" s="457">
        <f t="shared" si="7"/>
        <v>11898738</v>
      </c>
      <c r="K54" s="181">
        <f t="shared" si="9"/>
        <v>2294133.5</v>
      </c>
      <c r="L54" s="181">
        <f t="shared" si="8"/>
        <v>2327223.5</v>
      </c>
      <c r="M54" s="1220" t="s">
        <v>1131</v>
      </c>
    </row>
    <row r="55" spans="1:13" ht="24.95" customHeight="1">
      <c r="A55" s="1272">
        <v>42767</v>
      </c>
      <c r="B55" s="180">
        <v>4</v>
      </c>
      <c r="C55" s="181">
        <v>1400</v>
      </c>
      <c r="D55" s="1106">
        <f t="shared" si="3"/>
        <v>39907</v>
      </c>
      <c r="E55" s="1106">
        <f t="shared" si="4"/>
        <v>14227361.5</v>
      </c>
      <c r="F55" s="180"/>
      <c r="G55" s="181"/>
      <c r="H55" s="181">
        <f t="shared" si="10"/>
        <v>33090</v>
      </c>
      <c r="I55" s="181"/>
      <c r="J55" s="457">
        <f t="shared" si="7"/>
        <v>11898738</v>
      </c>
      <c r="K55" s="181">
        <f t="shared" si="9"/>
        <v>2327223.5</v>
      </c>
      <c r="L55" s="181">
        <f t="shared" si="8"/>
        <v>2328623.5</v>
      </c>
      <c r="M55" s="1220"/>
    </row>
    <row r="56" spans="1:13" ht="24.95" customHeight="1">
      <c r="A56" s="1272">
        <v>42795</v>
      </c>
      <c r="B56" s="180">
        <v>4.5</v>
      </c>
      <c r="C56" s="181">
        <v>1440</v>
      </c>
      <c r="D56" s="1106">
        <f t="shared" si="3"/>
        <v>39911.5</v>
      </c>
      <c r="E56" s="1106">
        <f t="shared" si="4"/>
        <v>14228801.5</v>
      </c>
      <c r="F56" s="180"/>
      <c r="G56" s="181"/>
      <c r="H56" s="181">
        <f t="shared" si="10"/>
        <v>1400</v>
      </c>
      <c r="I56" s="181"/>
      <c r="J56" s="457">
        <f t="shared" si="7"/>
        <v>11898738</v>
      </c>
      <c r="K56" s="181">
        <f t="shared" si="9"/>
        <v>2328623.5</v>
      </c>
      <c r="L56" s="181">
        <f t="shared" si="8"/>
        <v>2330063.5</v>
      </c>
      <c r="M56" s="1220"/>
    </row>
    <row r="57" spans="1:13" ht="24.95" customHeight="1">
      <c r="A57" s="1272">
        <v>42826</v>
      </c>
      <c r="B57" s="180">
        <v>0</v>
      </c>
      <c r="C57" s="615">
        <v>0</v>
      </c>
      <c r="D57" s="1106">
        <f t="shared" si="3"/>
        <v>39911.5</v>
      </c>
      <c r="E57" s="1106">
        <f t="shared" si="4"/>
        <v>14228801.5</v>
      </c>
      <c r="F57" s="180"/>
      <c r="G57" s="181"/>
      <c r="H57" s="181">
        <f t="shared" si="10"/>
        <v>1440</v>
      </c>
      <c r="I57" s="181">
        <v>100000</v>
      </c>
      <c r="J57" s="457">
        <f t="shared" si="7"/>
        <v>11998738</v>
      </c>
      <c r="K57" s="181">
        <f t="shared" si="9"/>
        <v>2230063.5</v>
      </c>
      <c r="L57" s="181">
        <f t="shared" si="8"/>
        <v>2230063.5</v>
      </c>
      <c r="M57" s="1220" t="s">
        <v>1132</v>
      </c>
    </row>
    <row r="58" spans="1:13" ht="24.95" customHeight="1">
      <c r="A58" s="1272">
        <v>42856</v>
      </c>
      <c r="B58" s="180">
        <v>0</v>
      </c>
      <c r="C58" s="615">
        <v>0</v>
      </c>
      <c r="D58" s="1106">
        <f t="shared" si="3"/>
        <v>39911.5</v>
      </c>
      <c r="E58" s="1106">
        <f t="shared" si="4"/>
        <v>14228801.5</v>
      </c>
      <c r="F58" s="180"/>
      <c r="G58" s="181"/>
      <c r="H58" s="181">
        <f t="shared" si="10"/>
        <v>0</v>
      </c>
      <c r="I58" s="181">
        <v>200000</v>
      </c>
      <c r="J58" s="457">
        <f t="shared" si="7"/>
        <v>12198738</v>
      </c>
      <c r="K58" s="181">
        <f t="shared" si="9"/>
        <v>2030063.5</v>
      </c>
      <c r="L58" s="181">
        <f t="shared" si="8"/>
        <v>2030063.5</v>
      </c>
      <c r="M58" s="1220" t="s">
        <v>1133</v>
      </c>
    </row>
    <row r="59" spans="1:13" ht="24.95" customHeight="1">
      <c r="A59" s="1272">
        <v>42887</v>
      </c>
      <c r="B59" s="180">
        <v>0</v>
      </c>
      <c r="C59" s="615">
        <v>0</v>
      </c>
      <c r="D59" s="1106">
        <f t="shared" si="3"/>
        <v>39911.5</v>
      </c>
      <c r="E59" s="1106">
        <f t="shared" si="4"/>
        <v>14228801.5</v>
      </c>
      <c r="F59" s="180"/>
      <c r="G59" s="181"/>
      <c r="H59" s="181">
        <f t="shared" si="10"/>
        <v>0</v>
      </c>
      <c r="I59" s="181"/>
      <c r="J59" s="457">
        <f t="shared" si="7"/>
        <v>12198738</v>
      </c>
      <c r="K59" s="181">
        <f t="shared" si="9"/>
        <v>2030063.5</v>
      </c>
      <c r="L59" s="181">
        <f t="shared" si="8"/>
        <v>2030063.5</v>
      </c>
      <c r="M59" s="1220" t="s">
        <v>1134</v>
      </c>
    </row>
    <row r="60" spans="1:13" ht="24.95" customHeight="1">
      <c r="A60" s="1272">
        <v>42917</v>
      </c>
      <c r="B60" s="180"/>
      <c r="C60" s="615"/>
      <c r="D60" s="1106">
        <f t="shared" si="3"/>
        <v>39911.5</v>
      </c>
      <c r="E60" s="1106">
        <f t="shared" si="4"/>
        <v>14228801.5</v>
      </c>
      <c r="F60" s="180"/>
      <c r="G60" s="181"/>
      <c r="H60" s="181">
        <f t="shared" si="10"/>
        <v>0</v>
      </c>
      <c r="I60" s="181">
        <v>500000</v>
      </c>
      <c r="J60" s="457">
        <f t="shared" si="7"/>
        <v>12698738</v>
      </c>
      <c r="K60" s="181">
        <f t="shared" si="9"/>
        <v>1530063.5</v>
      </c>
      <c r="L60" s="181">
        <f t="shared" si="8"/>
        <v>1530063.5</v>
      </c>
      <c r="M60" s="1220"/>
    </row>
    <row r="61" spans="1:13" ht="24.95" customHeight="1">
      <c r="A61" s="1272"/>
      <c r="B61" s="180"/>
      <c r="C61" s="615"/>
      <c r="D61" s="180"/>
      <c r="E61" s="180"/>
      <c r="F61" s="180"/>
      <c r="G61" s="181"/>
      <c r="H61" s="181"/>
      <c r="I61" s="181"/>
      <c r="J61" s="181"/>
      <c r="K61" s="181">
        <f t="shared" si="9"/>
        <v>1530063.5</v>
      </c>
      <c r="L61" s="181"/>
      <c r="M61" s="1220"/>
    </row>
    <row r="62" spans="1:13" ht="24.95" customHeight="1">
      <c r="A62" s="1272"/>
      <c r="B62" s="180"/>
      <c r="C62" s="615"/>
      <c r="D62" s="180"/>
      <c r="E62" s="180"/>
      <c r="F62" s="180"/>
      <c r="G62" s="181"/>
      <c r="H62" s="181"/>
      <c r="I62" s="181"/>
      <c r="J62" s="181"/>
      <c r="K62" s="181"/>
      <c r="L62" s="181"/>
      <c r="M62" s="1220"/>
    </row>
    <row r="63" spans="1:13" ht="24.95" customHeight="1">
      <c r="A63" s="1272"/>
      <c r="B63" s="180"/>
      <c r="C63" s="615"/>
      <c r="D63" s="180"/>
      <c r="E63" s="180"/>
      <c r="F63" s="180"/>
      <c r="G63" s="181"/>
      <c r="H63" s="181"/>
      <c r="I63" s="181"/>
      <c r="J63" s="181"/>
      <c r="K63" s="181"/>
      <c r="L63" s="181"/>
      <c r="M63" s="1220"/>
    </row>
  </sheetData>
  <mergeCells count="17">
    <mergeCell ref="B6:E6"/>
    <mergeCell ref="F6:J6"/>
    <mergeCell ref="B7:E7"/>
    <mergeCell ref="K5:L6"/>
    <mergeCell ref="B3:C3"/>
    <mergeCell ref="B4:G4"/>
    <mergeCell ref="H4:J4"/>
    <mergeCell ref="K4:L4"/>
    <mergeCell ref="B5:E5"/>
    <mergeCell ref="F5:J5"/>
    <mergeCell ref="C1:D1"/>
    <mergeCell ref="E1:G1"/>
    <mergeCell ref="I1:K1"/>
    <mergeCell ref="L1:M1"/>
    <mergeCell ref="B2:C2"/>
    <mergeCell ref="E2:G2"/>
    <mergeCell ref="H2:I2"/>
  </mergeCells>
  <phoneticPr fontId="84" type="noConversion"/>
  <pageMargins left="0.75" right="0.75" top="1" bottom="1" header="0.51" footer="0.51"/>
  <pageSetup paperSize="9" orientation="portrait" verticalDpi="200"/>
  <headerFooter scaleWithDoc="0" alignWithMargins="0"/>
  <legacy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81"/>
  <sheetViews>
    <sheetView topLeftCell="A34" zoomScaleSheetLayoutView="100" workbookViewId="0">
      <selection activeCell="F41" sqref="F41"/>
    </sheetView>
  </sheetViews>
  <sheetFormatPr defaultColWidth="9" defaultRowHeight="14.25"/>
  <cols>
    <col min="1" max="1" width="17.625" customWidth="1"/>
    <col min="2" max="2" width="17.375" customWidth="1"/>
    <col min="3" max="3" width="14" customWidth="1"/>
    <col min="4" max="4" width="12.125" customWidth="1"/>
    <col min="5" max="5" width="14.125" customWidth="1"/>
    <col min="6" max="6" width="12.625" customWidth="1"/>
    <col min="7" max="7" width="14.5" customWidth="1"/>
    <col min="8" max="8" width="15.25" customWidth="1"/>
    <col min="9" max="9" width="11.875" customWidth="1"/>
    <col min="10" max="10" width="15" customWidth="1"/>
    <col min="11" max="11" width="15.5" customWidth="1"/>
    <col min="12" max="12" width="13.75" customWidth="1"/>
    <col min="13" max="13" width="25.625" customWidth="1"/>
  </cols>
  <sheetData>
    <row r="1" spans="1:13" ht="63" customHeight="1">
      <c r="A1" s="1032" t="s">
        <v>556</v>
      </c>
      <c r="B1" s="1216">
        <v>41694</v>
      </c>
      <c r="C1" s="1644" t="s">
        <v>1135</v>
      </c>
      <c r="D1" s="1644"/>
      <c r="E1" s="1775" t="s">
        <v>1136</v>
      </c>
      <c r="F1" s="1775"/>
      <c r="G1" s="1775"/>
      <c r="H1" s="531" t="s">
        <v>237</v>
      </c>
      <c r="I1" s="1777" t="s">
        <v>1137</v>
      </c>
      <c r="J1" s="1777"/>
      <c r="K1" s="1777"/>
      <c r="L1" s="1777" t="s">
        <v>1138</v>
      </c>
      <c r="M1" s="1801"/>
    </row>
    <row r="2" spans="1:13" ht="36" customHeight="1">
      <c r="A2" s="39" t="s">
        <v>240</v>
      </c>
      <c r="B2" s="1637" t="s">
        <v>1139</v>
      </c>
      <c r="C2" s="1637"/>
      <c r="D2" s="41" t="s">
        <v>242</v>
      </c>
      <c r="E2" s="1637" t="s">
        <v>1140</v>
      </c>
      <c r="F2" s="1637"/>
      <c r="G2" s="1637"/>
      <c r="H2" s="1664"/>
      <c r="I2" s="1664"/>
      <c r="J2" s="41" t="s">
        <v>243</v>
      </c>
      <c r="K2" s="41"/>
      <c r="L2" s="103" t="s">
        <v>245</v>
      </c>
      <c r="M2" s="104" t="s">
        <v>1141</v>
      </c>
    </row>
    <row r="3" spans="1:13" ht="39.950000000000003" customHeight="1">
      <c r="A3" s="39" t="s">
        <v>247</v>
      </c>
      <c r="B3" s="1637" t="s">
        <v>1142</v>
      </c>
      <c r="C3" s="1637"/>
      <c r="D3" s="41" t="s">
        <v>249</v>
      </c>
      <c r="E3" s="59" t="s">
        <v>323</v>
      </c>
      <c r="F3" s="41" t="s">
        <v>251</v>
      </c>
      <c r="G3" s="41" t="s">
        <v>1143</v>
      </c>
      <c r="H3" s="41" t="s">
        <v>252</v>
      </c>
      <c r="I3" s="41"/>
      <c r="J3" s="91" t="s">
        <v>253</v>
      </c>
      <c r="K3" s="15"/>
      <c r="L3" s="15" t="s">
        <v>255</v>
      </c>
      <c r="M3" s="92" t="s">
        <v>1144</v>
      </c>
    </row>
    <row r="4" spans="1:13" ht="75" customHeight="1">
      <c r="A4" s="39" t="s">
        <v>260</v>
      </c>
      <c r="B4" s="1810" t="s">
        <v>1145</v>
      </c>
      <c r="C4" s="1762"/>
      <c r="D4" s="1762"/>
      <c r="E4" s="1762"/>
      <c r="F4" s="1762"/>
      <c r="G4" s="1762"/>
      <c r="H4" s="1762" t="s">
        <v>1146</v>
      </c>
      <c r="I4" s="1762"/>
      <c r="J4" s="1762"/>
      <c r="K4" s="1762"/>
      <c r="L4" s="1762"/>
      <c r="M4" s="104"/>
    </row>
    <row r="5" spans="1:13" ht="57" customHeight="1">
      <c r="A5" s="39" t="s">
        <v>1147</v>
      </c>
      <c r="B5" s="1802" t="s">
        <v>1148</v>
      </c>
      <c r="C5" s="1802"/>
      <c r="D5" s="1802"/>
      <c r="E5" s="1802"/>
      <c r="F5" s="1648" t="s">
        <v>1149</v>
      </c>
      <c r="G5" s="1648"/>
      <c r="H5" s="1648"/>
      <c r="I5" s="1665"/>
      <c r="J5" s="1665"/>
      <c r="K5" s="1665"/>
      <c r="L5" s="1665"/>
      <c r="M5" s="104"/>
    </row>
    <row r="6" spans="1:13" ht="30.75">
      <c r="A6" s="19" t="s">
        <v>266</v>
      </c>
      <c r="B6" s="20" t="s">
        <v>1150</v>
      </c>
      <c r="C6" s="20" t="s">
        <v>268</v>
      </c>
      <c r="D6" s="20" t="s">
        <v>269</v>
      </c>
      <c r="E6" s="20" t="s">
        <v>270</v>
      </c>
      <c r="F6" s="20" t="s">
        <v>271</v>
      </c>
      <c r="G6" s="21" t="s">
        <v>272</v>
      </c>
      <c r="H6" s="22" t="s">
        <v>273</v>
      </c>
      <c r="I6" s="20" t="s">
        <v>274</v>
      </c>
      <c r="J6" s="70" t="s">
        <v>275</v>
      </c>
      <c r="K6" s="70" t="s">
        <v>276</v>
      </c>
      <c r="L6" s="20" t="s">
        <v>277</v>
      </c>
      <c r="M6" s="71" t="s">
        <v>278</v>
      </c>
    </row>
    <row r="7" spans="1:13" ht="27" customHeight="1">
      <c r="A7" s="107">
        <v>41640</v>
      </c>
      <c r="B7" s="46">
        <f>303</f>
        <v>303</v>
      </c>
      <c r="C7" s="46">
        <f>95671</f>
        <v>95671</v>
      </c>
      <c r="D7" s="46">
        <f>B7</f>
        <v>303</v>
      </c>
      <c r="E7" s="46">
        <f>C7</f>
        <v>95671</v>
      </c>
      <c r="F7" s="46"/>
      <c r="G7" s="47">
        <f>C7</f>
        <v>95671</v>
      </c>
      <c r="H7" s="47"/>
      <c r="I7" s="47"/>
      <c r="J7" s="47"/>
      <c r="K7" s="47"/>
      <c r="L7" s="47">
        <f t="shared" ref="L7:L43" si="0">E7-J7</f>
        <v>95671</v>
      </c>
      <c r="M7" s="94"/>
    </row>
    <row r="8" spans="1:13" ht="27" customHeight="1">
      <c r="A8" s="107">
        <v>41671</v>
      </c>
      <c r="B8" s="46">
        <v>1422</v>
      </c>
      <c r="C8" s="46">
        <v>454761</v>
      </c>
      <c r="D8" s="46">
        <f t="shared" ref="D8:D43" si="1">D7+B8</f>
        <v>1725</v>
      </c>
      <c r="E8" s="46">
        <f t="shared" ref="E8:E43" si="2">E7+C8</f>
        <v>550432</v>
      </c>
      <c r="F8" s="46"/>
      <c r="G8" s="47">
        <f t="shared" ref="G8:G13" si="3">G7+C8</f>
        <v>550432</v>
      </c>
      <c r="H8" s="47"/>
      <c r="I8" s="47"/>
      <c r="J8" s="47"/>
      <c r="K8" s="47">
        <f t="shared" ref="K8:K44" si="4">K7+H8-I8</f>
        <v>0</v>
      </c>
      <c r="L8" s="47">
        <f t="shared" si="0"/>
        <v>550432</v>
      </c>
      <c r="M8" s="94"/>
    </row>
    <row r="9" spans="1:13" ht="27" customHeight="1">
      <c r="A9" s="107">
        <v>41699</v>
      </c>
      <c r="B9" s="46">
        <v>2046.5</v>
      </c>
      <c r="C9" s="46">
        <v>630823</v>
      </c>
      <c r="D9" s="46">
        <f t="shared" si="1"/>
        <v>3771.5</v>
      </c>
      <c r="E9" s="46">
        <f t="shared" si="2"/>
        <v>1181255</v>
      </c>
      <c r="F9" s="46"/>
      <c r="G9" s="47">
        <f t="shared" si="3"/>
        <v>1181255</v>
      </c>
      <c r="H9" s="47"/>
      <c r="I9" s="47"/>
      <c r="J9" s="47"/>
      <c r="K9" s="47">
        <f t="shared" si="4"/>
        <v>0</v>
      </c>
      <c r="L9" s="47">
        <f t="shared" si="0"/>
        <v>1181255</v>
      </c>
      <c r="M9" s="94"/>
    </row>
    <row r="10" spans="1:13" ht="27" customHeight="1">
      <c r="A10" s="1268">
        <v>41730</v>
      </c>
      <c r="B10" s="180">
        <v>9227</v>
      </c>
      <c r="C10" s="180">
        <v>3052598</v>
      </c>
      <c r="D10" s="180">
        <f t="shared" si="1"/>
        <v>12998.5</v>
      </c>
      <c r="E10" s="180">
        <f t="shared" si="2"/>
        <v>4233853</v>
      </c>
      <c r="F10" s="180"/>
      <c r="G10" s="181">
        <f t="shared" si="3"/>
        <v>4233853</v>
      </c>
      <c r="H10" s="181"/>
      <c r="I10" s="181"/>
      <c r="J10" s="181"/>
      <c r="K10" s="181">
        <f t="shared" si="4"/>
        <v>0</v>
      </c>
      <c r="L10" s="181">
        <f t="shared" si="0"/>
        <v>4233853</v>
      </c>
      <c r="M10" s="1275"/>
    </row>
    <row r="11" spans="1:13" ht="27" customHeight="1">
      <c r="A11" s="1269">
        <v>41760</v>
      </c>
      <c r="B11" s="180">
        <v>4995</v>
      </c>
      <c r="C11" s="180">
        <v>1653278</v>
      </c>
      <c r="D11" s="180">
        <f t="shared" si="1"/>
        <v>17993.5</v>
      </c>
      <c r="E11" s="180">
        <f t="shared" si="2"/>
        <v>5887131</v>
      </c>
      <c r="F11" s="180"/>
      <c r="G11" s="181">
        <f t="shared" si="3"/>
        <v>5887131</v>
      </c>
      <c r="H11" s="181"/>
      <c r="I11" s="181"/>
      <c r="J11" s="181"/>
      <c r="K11" s="181">
        <f t="shared" si="4"/>
        <v>0</v>
      </c>
      <c r="L11" s="181">
        <f t="shared" si="0"/>
        <v>5887131</v>
      </c>
      <c r="M11" s="1276"/>
    </row>
    <row r="12" spans="1:13" ht="27" customHeight="1">
      <c r="A12" s="1270">
        <v>41791</v>
      </c>
      <c r="B12" s="180">
        <f>48+7101</f>
        <v>7149</v>
      </c>
      <c r="C12" s="180">
        <f>15696+2361528</f>
        <v>2377224</v>
      </c>
      <c r="D12" s="180">
        <f t="shared" si="1"/>
        <v>25142.5</v>
      </c>
      <c r="E12" s="180">
        <f t="shared" si="2"/>
        <v>8264355</v>
      </c>
      <c r="F12" s="180"/>
      <c r="G12" s="181">
        <f t="shared" si="3"/>
        <v>8264355</v>
      </c>
      <c r="H12" s="181"/>
      <c r="I12" s="181"/>
      <c r="J12" s="181"/>
      <c r="K12" s="181">
        <f t="shared" si="4"/>
        <v>0</v>
      </c>
      <c r="L12" s="181">
        <f t="shared" si="0"/>
        <v>8264355</v>
      </c>
      <c r="M12" s="1275"/>
    </row>
    <row r="13" spans="1:13" ht="27" customHeight="1">
      <c r="A13" s="1270">
        <v>41821</v>
      </c>
      <c r="B13" s="180">
        <v>15254.5</v>
      </c>
      <c r="C13" s="180">
        <v>5118455</v>
      </c>
      <c r="D13" s="180">
        <f t="shared" si="1"/>
        <v>40397</v>
      </c>
      <c r="E13" s="180">
        <f t="shared" si="2"/>
        <v>13382810</v>
      </c>
      <c r="F13" s="180"/>
      <c r="G13" s="181">
        <f t="shared" si="3"/>
        <v>13382810</v>
      </c>
      <c r="H13" s="181"/>
      <c r="I13" s="181"/>
      <c r="J13" s="181"/>
      <c r="K13" s="181">
        <f t="shared" si="4"/>
        <v>0</v>
      </c>
      <c r="L13" s="181">
        <f t="shared" si="0"/>
        <v>13382810</v>
      </c>
      <c r="M13" s="1275"/>
    </row>
    <row r="14" spans="1:13" ht="27" customHeight="1">
      <c r="A14" s="1268">
        <v>41852</v>
      </c>
      <c r="B14" s="180">
        <v>9638.5</v>
      </c>
      <c r="C14" s="180">
        <v>3298595</v>
      </c>
      <c r="D14" s="180">
        <f t="shared" si="1"/>
        <v>50035.5</v>
      </c>
      <c r="E14" s="180">
        <f t="shared" si="2"/>
        <v>16681405</v>
      </c>
      <c r="F14" s="180"/>
      <c r="G14" s="181">
        <f>E14*0.2</f>
        <v>3336281</v>
      </c>
      <c r="H14" s="181"/>
      <c r="I14" s="181"/>
      <c r="J14" s="181"/>
      <c r="K14" s="181">
        <f t="shared" si="4"/>
        <v>0</v>
      </c>
      <c r="L14" s="181">
        <f t="shared" si="0"/>
        <v>16681405</v>
      </c>
      <c r="M14" s="1277"/>
    </row>
    <row r="15" spans="1:13" ht="27" customHeight="1">
      <c r="A15" s="1270">
        <v>41883</v>
      </c>
      <c r="B15" s="180">
        <v>10345.200000000001</v>
      </c>
      <c r="C15" s="180">
        <v>3463672.4</v>
      </c>
      <c r="D15" s="180">
        <f t="shared" si="1"/>
        <v>60380.7</v>
      </c>
      <c r="E15" s="180">
        <f t="shared" si="2"/>
        <v>20145077.399999999</v>
      </c>
      <c r="F15" s="180"/>
      <c r="G15" s="181">
        <f>E15*0.2</f>
        <v>4029015.48</v>
      </c>
      <c r="H15" s="181">
        <f>E15*0.8</f>
        <v>16116061.92</v>
      </c>
      <c r="I15" s="181">
        <f>2000000+2000000</f>
        <v>4000000</v>
      </c>
      <c r="J15" s="181">
        <f t="shared" ref="J15:J43" si="5">J14+I15</f>
        <v>4000000</v>
      </c>
      <c r="K15" s="181">
        <f t="shared" si="4"/>
        <v>12116061.92</v>
      </c>
      <c r="L15" s="181">
        <f t="shared" si="0"/>
        <v>16145077.399999999</v>
      </c>
      <c r="M15" s="1277" t="s">
        <v>1151</v>
      </c>
    </row>
    <row r="16" spans="1:13" ht="23.1" customHeight="1">
      <c r="A16" s="1268">
        <v>41913</v>
      </c>
      <c r="B16" s="180">
        <v>7281</v>
      </c>
      <c r="C16" s="180">
        <v>2481548</v>
      </c>
      <c r="D16" s="180">
        <f t="shared" si="1"/>
        <v>67661.7</v>
      </c>
      <c r="E16" s="180">
        <f t="shared" si="2"/>
        <v>22626625.399999999</v>
      </c>
      <c r="F16" s="180"/>
      <c r="G16" s="181">
        <f>E16*0.2</f>
        <v>4525325.08</v>
      </c>
      <c r="H16" s="181">
        <v>0</v>
      </c>
      <c r="I16" s="181">
        <v>3000000</v>
      </c>
      <c r="J16" s="181">
        <f t="shared" si="5"/>
        <v>7000000</v>
      </c>
      <c r="K16" s="181">
        <f t="shared" si="4"/>
        <v>9116061.9199999999</v>
      </c>
      <c r="L16" s="181">
        <f t="shared" si="0"/>
        <v>15626625.399999999</v>
      </c>
      <c r="M16" s="1277" t="s">
        <v>1152</v>
      </c>
    </row>
    <row r="17" spans="1:13" ht="24.95" customHeight="1">
      <c r="A17" s="1270">
        <v>41944</v>
      </c>
      <c r="B17" s="180">
        <v>5798.5</v>
      </c>
      <c r="C17" s="180">
        <v>2001149.5</v>
      </c>
      <c r="D17" s="180">
        <f t="shared" si="1"/>
        <v>73460.2</v>
      </c>
      <c r="E17" s="180">
        <f t="shared" si="2"/>
        <v>24627774.899999999</v>
      </c>
      <c r="F17" s="180"/>
      <c r="G17" s="181">
        <f>E17*0.2</f>
        <v>4925554.9799999995</v>
      </c>
      <c r="H17" s="181">
        <v>0</v>
      </c>
      <c r="I17" s="181">
        <f>3000000+1500000</f>
        <v>4500000</v>
      </c>
      <c r="J17" s="181">
        <f t="shared" si="5"/>
        <v>11500000</v>
      </c>
      <c r="K17" s="181">
        <f t="shared" si="4"/>
        <v>4616061.92</v>
      </c>
      <c r="L17" s="181">
        <f t="shared" si="0"/>
        <v>13127774.899999999</v>
      </c>
      <c r="M17" s="1277" t="s">
        <v>1153</v>
      </c>
    </row>
    <row r="18" spans="1:13" ht="28.5">
      <c r="A18" s="1268">
        <v>41974</v>
      </c>
      <c r="B18" s="180">
        <v>3189</v>
      </c>
      <c r="C18" s="180">
        <v>1091601</v>
      </c>
      <c r="D18" s="180">
        <f t="shared" si="1"/>
        <v>76649.2</v>
      </c>
      <c r="E18" s="180">
        <f t="shared" si="2"/>
        <v>25719375.899999999</v>
      </c>
      <c r="F18" s="180"/>
      <c r="G18" s="181">
        <f t="shared" ref="G18:G24" si="6">E17*0.2+C18</f>
        <v>6017155.9799999995</v>
      </c>
      <c r="H18" s="181">
        <f>C16*0.8</f>
        <v>1985238.4000000001</v>
      </c>
      <c r="I18" s="181">
        <v>1000000</v>
      </c>
      <c r="J18" s="1278">
        <f t="shared" si="5"/>
        <v>12500000</v>
      </c>
      <c r="K18" s="181">
        <f t="shared" si="4"/>
        <v>5601300.3200000003</v>
      </c>
      <c r="L18" s="181">
        <f t="shared" si="0"/>
        <v>13219375.899999999</v>
      </c>
      <c r="M18" s="1279" t="s">
        <v>1154</v>
      </c>
    </row>
    <row r="19" spans="1:13" ht="27" customHeight="1">
      <c r="A19" s="1271">
        <v>42005</v>
      </c>
      <c r="B19" s="251">
        <f>34+3865.5</f>
        <v>3899.5</v>
      </c>
      <c r="C19" s="251">
        <f>12208+1331247</f>
        <v>1343455</v>
      </c>
      <c r="D19" s="251">
        <f t="shared" si="1"/>
        <v>80548.7</v>
      </c>
      <c r="E19" s="251">
        <f t="shared" si="2"/>
        <v>27062830.899999999</v>
      </c>
      <c r="F19" s="251"/>
      <c r="G19" s="252">
        <f t="shared" si="6"/>
        <v>6487330.1799999997</v>
      </c>
      <c r="H19" s="252">
        <f t="shared" ref="H19:H25" si="7">C17*0.8</f>
        <v>1600919.6</v>
      </c>
      <c r="I19" s="252">
        <f>4000000+213024+1580000</f>
        <v>5793024</v>
      </c>
      <c r="J19" s="252">
        <f t="shared" si="5"/>
        <v>18293024</v>
      </c>
      <c r="K19" s="252">
        <f t="shared" si="4"/>
        <v>1409195.92</v>
      </c>
      <c r="L19" s="252">
        <f t="shared" si="0"/>
        <v>8769806.8999999985</v>
      </c>
      <c r="M19" s="1280" t="s">
        <v>1155</v>
      </c>
    </row>
    <row r="20" spans="1:13" s="216" customFormat="1" ht="27.95" customHeight="1">
      <c r="A20" s="1270">
        <v>42036</v>
      </c>
      <c r="B20" s="181">
        <v>2823</v>
      </c>
      <c r="C20" s="181">
        <v>963838</v>
      </c>
      <c r="D20" s="251">
        <f t="shared" si="1"/>
        <v>83371.7</v>
      </c>
      <c r="E20" s="251">
        <f t="shared" si="2"/>
        <v>28026668.899999999</v>
      </c>
      <c r="F20" s="180"/>
      <c r="G20" s="252">
        <f t="shared" si="6"/>
        <v>6376404.1799999997</v>
      </c>
      <c r="H20" s="252">
        <f t="shared" si="7"/>
        <v>873280.8</v>
      </c>
      <c r="I20" s="181">
        <v>400000</v>
      </c>
      <c r="J20" s="252">
        <f t="shared" si="5"/>
        <v>18693024</v>
      </c>
      <c r="K20" s="252">
        <f t="shared" si="4"/>
        <v>1882476.7199999997</v>
      </c>
      <c r="L20" s="181">
        <f t="shared" si="0"/>
        <v>9333644.8999999985</v>
      </c>
      <c r="M20" s="323" t="s">
        <v>1156</v>
      </c>
    </row>
    <row r="21" spans="1:13" s="216" customFormat="1" ht="27.95" customHeight="1">
      <c r="A21" s="1270">
        <v>42064</v>
      </c>
      <c r="B21" s="181">
        <v>1665</v>
      </c>
      <c r="C21" s="181">
        <v>556424</v>
      </c>
      <c r="D21" s="251">
        <f t="shared" si="1"/>
        <v>85036.7</v>
      </c>
      <c r="E21" s="251">
        <f t="shared" si="2"/>
        <v>28583092.899999999</v>
      </c>
      <c r="F21" s="180"/>
      <c r="G21" s="252">
        <f t="shared" si="6"/>
        <v>6161757.7800000003</v>
      </c>
      <c r="H21" s="252">
        <f t="shared" si="7"/>
        <v>1074764</v>
      </c>
      <c r="I21" s="181"/>
      <c r="J21" s="252">
        <f t="shared" si="5"/>
        <v>18693024</v>
      </c>
      <c r="K21" s="252">
        <f t="shared" si="4"/>
        <v>2957240.7199999997</v>
      </c>
      <c r="L21" s="181">
        <f t="shared" si="0"/>
        <v>9890068.8999999985</v>
      </c>
      <c r="M21" s="323"/>
    </row>
    <row r="22" spans="1:13" s="1094" customFormat="1" ht="26.1" customHeight="1">
      <c r="A22" s="1272">
        <v>42095</v>
      </c>
      <c r="B22" s="181">
        <v>2971.5</v>
      </c>
      <c r="C22" s="181">
        <v>971382.5</v>
      </c>
      <c r="D22" s="251">
        <f t="shared" si="1"/>
        <v>88008.2</v>
      </c>
      <c r="E22" s="251">
        <f t="shared" si="2"/>
        <v>29554475.399999999</v>
      </c>
      <c r="F22" s="180"/>
      <c r="G22" s="252">
        <f t="shared" si="6"/>
        <v>6688001.0800000001</v>
      </c>
      <c r="H22" s="252">
        <f t="shared" si="7"/>
        <v>771070.4</v>
      </c>
      <c r="I22" s="181">
        <f>200000+300000</f>
        <v>500000</v>
      </c>
      <c r="J22" s="252">
        <f t="shared" si="5"/>
        <v>19193024</v>
      </c>
      <c r="K22" s="252">
        <f t="shared" si="4"/>
        <v>3228311.1199999996</v>
      </c>
      <c r="L22" s="181">
        <f t="shared" si="0"/>
        <v>10361451.399999999</v>
      </c>
      <c r="M22" s="323" t="s">
        <v>1157</v>
      </c>
    </row>
    <row r="23" spans="1:13" s="1094" customFormat="1" ht="27.95" customHeight="1">
      <c r="A23" s="1272">
        <v>42125</v>
      </c>
      <c r="B23" s="181">
        <v>1526</v>
      </c>
      <c r="C23" s="181">
        <v>498698</v>
      </c>
      <c r="D23" s="251">
        <f t="shared" si="1"/>
        <v>89534.2</v>
      </c>
      <c r="E23" s="251">
        <f t="shared" si="2"/>
        <v>30053173.399999999</v>
      </c>
      <c r="F23" s="180"/>
      <c r="G23" s="252">
        <f t="shared" si="6"/>
        <v>6409593.0800000001</v>
      </c>
      <c r="H23" s="252">
        <f t="shared" si="7"/>
        <v>445139.20000000001</v>
      </c>
      <c r="I23" s="181">
        <f>3068742+171258</f>
        <v>3240000</v>
      </c>
      <c r="J23" s="252">
        <f t="shared" si="5"/>
        <v>22433024</v>
      </c>
      <c r="K23" s="252">
        <f t="shared" si="4"/>
        <v>433450.31999999983</v>
      </c>
      <c r="L23" s="181">
        <f t="shared" si="0"/>
        <v>7620149.3999999985</v>
      </c>
      <c r="M23" s="323" t="s">
        <v>1158</v>
      </c>
    </row>
    <row r="24" spans="1:13" s="1094" customFormat="1" ht="27.95" customHeight="1">
      <c r="A24" s="1272">
        <v>42156</v>
      </c>
      <c r="B24" s="181">
        <v>2295.5</v>
      </c>
      <c r="C24" s="181">
        <v>796034.5</v>
      </c>
      <c r="D24" s="251">
        <f t="shared" si="1"/>
        <v>91829.7</v>
      </c>
      <c r="E24" s="251">
        <f t="shared" si="2"/>
        <v>30849207.899999999</v>
      </c>
      <c r="F24" s="180"/>
      <c r="G24" s="252">
        <f t="shared" si="6"/>
        <v>6806669.1799999997</v>
      </c>
      <c r="H24" s="252">
        <f t="shared" si="7"/>
        <v>777106</v>
      </c>
      <c r="I24" s="181">
        <v>415000</v>
      </c>
      <c r="J24" s="252">
        <f t="shared" si="5"/>
        <v>22848024</v>
      </c>
      <c r="K24" s="252">
        <f t="shared" si="4"/>
        <v>795556.31999999983</v>
      </c>
      <c r="L24" s="181">
        <f t="shared" si="0"/>
        <v>8001183.8999999985</v>
      </c>
      <c r="M24" s="323" t="s">
        <v>1159</v>
      </c>
    </row>
    <row r="25" spans="1:13" s="1094" customFormat="1" ht="27.95" customHeight="1">
      <c r="A25" s="1273" t="s">
        <v>1160</v>
      </c>
      <c r="B25" s="181"/>
      <c r="C25" s="181">
        <v>33300</v>
      </c>
      <c r="D25" s="251">
        <f t="shared" si="1"/>
        <v>91829.7</v>
      </c>
      <c r="E25" s="251">
        <f t="shared" si="2"/>
        <v>30882507.899999999</v>
      </c>
      <c r="F25" s="180"/>
      <c r="G25" s="252"/>
      <c r="H25" s="252">
        <f t="shared" si="7"/>
        <v>398958.4</v>
      </c>
      <c r="I25" s="181"/>
      <c r="J25" s="252">
        <f t="shared" si="5"/>
        <v>22848024</v>
      </c>
      <c r="K25" s="252">
        <f t="shared" si="4"/>
        <v>1194514.7199999997</v>
      </c>
      <c r="L25" s="181">
        <f t="shared" si="0"/>
        <v>8034483.8999999985</v>
      </c>
      <c r="M25" s="323"/>
    </row>
    <row r="26" spans="1:13" s="1094" customFormat="1" ht="26.1" customHeight="1">
      <c r="A26" s="1272" t="s">
        <v>1161</v>
      </c>
      <c r="B26" s="181"/>
      <c r="C26" s="181">
        <v>59430</v>
      </c>
      <c r="D26" s="251">
        <f t="shared" si="1"/>
        <v>91829.7</v>
      </c>
      <c r="E26" s="251">
        <f t="shared" si="2"/>
        <v>30941937.899999999</v>
      </c>
      <c r="F26" s="180"/>
      <c r="G26" s="252"/>
      <c r="H26" s="252"/>
      <c r="I26" s="181"/>
      <c r="J26" s="252">
        <f t="shared" si="5"/>
        <v>22848024</v>
      </c>
      <c r="K26" s="252">
        <f t="shared" si="4"/>
        <v>1194514.7199999997</v>
      </c>
      <c r="L26" s="181">
        <f t="shared" si="0"/>
        <v>8093913.8999999985</v>
      </c>
      <c r="M26" s="323"/>
    </row>
    <row r="27" spans="1:13" s="1094" customFormat="1" ht="27.95" customHeight="1">
      <c r="A27" s="1272" t="s">
        <v>1162</v>
      </c>
      <c r="B27" s="181"/>
      <c r="C27" s="181">
        <v>30520</v>
      </c>
      <c r="D27" s="251">
        <f t="shared" si="1"/>
        <v>91829.7</v>
      </c>
      <c r="E27" s="251">
        <f t="shared" si="2"/>
        <v>30972457.899999999</v>
      </c>
      <c r="F27" s="180"/>
      <c r="G27" s="252"/>
      <c r="H27" s="252"/>
      <c r="I27" s="181"/>
      <c r="J27" s="252">
        <f t="shared" si="5"/>
        <v>22848024</v>
      </c>
      <c r="K27" s="252">
        <f t="shared" si="4"/>
        <v>1194514.7199999997</v>
      </c>
      <c r="L27" s="181">
        <f t="shared" si="0"/>
        <v>8124433.8999999985</v>
      </c>
      <c r="M27" s="323"/>
    </row>
    <row r="28" spans="1:13" s="1094" customFormat="1" ht="27.95" customHeight="1">
      <c r="A28" s="1272">
        <v>42186</v>
      </c>
      <c r="B28" s="181">
        <v>2395</v>
      </c>
      <c r="C28" s="181">
        <v>810807</v>
      </c>
      <c r="D28" s="251">
        <f t="shared" si="1"/>
        <v>94224.7</v>
      </c>
      <c r="E28" s="251">
        <f t="shared" si="2"/>
        <v>31783264.899999999</v>
      </c>
      <c r="F28" s="180"/>
      <c r="G28" s="252">
        <f>E24*0.2+C28</f>
        <v>6980648.5800000001</v>
      </c>
      <c r="H28" s="252"/>
      <c r="I28" s="181"/>
      <c r="J28" s="252">
        <f t="shared" si="5"/>
        <v>22848024</v>
      </c>
      <c r="K28" s="252">
        <f t="shared" si="4"/>
        <v>1194514.7199999997</v>
      </c>
      <c r="L28" s="181">
        <f t="shared" si="0"/>
        <v>8935240.8999999985</v>
      </c>
      <c r="M28" s="1281"/>
    </row>
    <row r="29" spans="1:13" s="1094" customFormat="1" ht="27.95" customHeight="1">
      <c r="A29" s="1272">
        <v>42217</v>
      </c>
      <c r="B29" s="181">
        <v>1036.5</v>
      </c>
      <c r="C29" s="181">
        <v>355813</v>
      </c>
      <c r="D29" s="251">
        <f t="shared" si="1"/>
        <v>95261.2</v>
      </c>
      <c r="E29" s="251">
        <f t="shared" si="2"/>
        <v>32139077.899999999</v>
      </c>
      <c r="F29" s="180"/>
      <c r="G29" s="181">
        <f>((E24*0.2)+(C28*0.2)*5/6)+C29</f>
        <v>6660789.0800000001</v>
      </c>
      <c r="H29" s="252">
        <f>C24*0.8+C25+C26+C27</f>
        <v>760077.60000000009</v>
      </c>
      <c r="I29" s="181">
        <v>780000</v>
      </c>
      <c r="J29" s="252">
        <f t="shared" si="5"/>
        <v>23628024</v>
      </c>
      <c r="K29" s="252">
        <f t="shared" si="4"/>
        <v>1174592.3199999998</v>
      </c>
      <c r="L29" s="181">
        <f t="shared" si="0"/>
        <v>8511053.8999999985</v>
      </c>
      <c r="M29" s="1282"/>
    </row>
    <row r="30" spans="1:13" s="1094" customFormat="1" ht="27.95" customHeight="1">
      <c r="A30" s="1274">
        <v>42248</v>
      </c>
      <c r="B30" s="181">
        <f>896+60</f>
        <v>956</v>
      </c>
      <c r="C30" s="181">
        <f>304735+20220</f>
        <v>324955</v>
      </c>
      <c r="D30" s="251">
        <f t="shared" si="1"/>
        <v>96217.2</v>
      </c>
      <c r="E30" s="251">
        <f t="shared" si="2"/>
        <v>32464032.899999999</v>
      </c>
      <c r="F30" s="180"/>
      <c r="G30" s="181">
        <f>((E24*0.2)+(C28*0.2)*4/6)+C30</f>
        <v>6602904.1799999997</v>
      </c>
      <c r="H30" s="252">
        <f>C28+E24*0.2*1/6</f>
        <v>1839113.9300000002</v>
      </c>
      <c r="I30" s="181">
        <v>1000000</v>
      </c>
      <c r="J30" s="252">
        <f t="shared" si="5"/>
        <v>24628024</v>
      </c>
      <c r="K30" s="252">
        <f t="shared" si="4"/>
        <v>2013706.25</v>
      </c>
      <c r="L30" s="181">
        <f t="shared" si="0"/>
        <v>7836008.8999999985</v>
      </c>
      <c r="M30" s="1282" t="s">
        <v>1163</v>
      </c>
    </row>
    <row r="31" spans="1:13" s="1094" customFormat="1" ht="27.95" customHeight="1">
      <c r="A31" s="1272">
        <v>42278</v>
      </c>
      <c r="B31" s="181">
        <v>1617.5</v>
      </c>
      <c r="C31" s="181">
        <v>568349</v>
      </c>
      <c r="D31" s="251">
        <f t="shared" si="1"/>
        <v>97834.7</v>
      </c>
      <c r="E31" s="251">
        <f t="shared" si="2"/>
        <v>33032381.899999999</v>
      </c>
      <c r="F31" s="180"/>
      <c r="G31" s="181">
        <f>((E24*0.2)+(C28*0.2)*3/6)+C31</f>
        <v>6819271.2800000003</v>
      </c>
      <c r="H31" s="252">
        <f>C29+E24*0.2*1/6</f>
        <v>1384119.9300000002</v>
      </c>
      <c r="I31" s="181"/>
      <c r="J31" s="252">
        <f t="shared" si="5"/>
        <v>24628024</v>
      </c>
      <c r="K31" s="252">
        <f t="shared" si="4"/>
        <v>3397826.18</v>
      </c>
      <c r="L31" s="181">
        <f t="shared" si="0"/>
        <v>8404357.8999999985</v>
      </c>
      <c r="M31" s="1282" t="s">
        <v>1164</v>
      </c>
    </row>
    <row r="32" spans="1:13" s="1094" customFormat="1" ht="27.95" customHeight="1">
      <c r="A32" s="1272">
        <v>42309</v>
      </c>
      <c r="B32" s="181">
        <v>557</v>
      </c>
      <c r="C32" s="181">
        <v>187586.5</v>
      </c>
      <c r="D32" s="251">
        <f t="shared" si="1"/>
        <v>98391.7</v>
      </c>
      <c r="E32" s="251">
        <f t="shared" si="2"/>
        <v>33219968.399999999</v>
      </c>
      <c r="F32" s="180"/>
      <c r="G32" s="181">
        <f>((E24*0.2)+(C28*0.2)*2/6)+C32</f>
        <v>6411481.8799999999</v>
      </c>
      <c r="H32" s="252">
        <f>C30+E24*0.2*1/6</f>
        <v>1353261.9300000002</v>
      </c>
      <c r="I32" s="181"/>
      <c r="J32" s="252">
        <f t="shared" si="5"/>
        <v>24628024</v>
      </c>
      <c r="K32" s="252">
        <f t="shared" si="4"/>
        <v>4751088.1100000003</v>
      </c>
      <c r="L32" s="181">
        <f t="shared" si="0"/>
        <v>8591944.3999999985</v>
      </c>
      <c r="M32" s="1282" t="s">
        <v>1165</v>
      </c>
    </row>
    <row r="33" spans="1:13" s="1094" customFormat="1" ht="27.95" customHeight="1">
      <c r="A33" s="1272">
        <v>42339</v>
      </c>
      <c r="B33" s="181">
        <v>566.5</v>
      </c>
      <c r="C33" s="181">
        <v>192196</v>
      </c>
      <c r="D33" s="251">
        <f t="shared" si="1"/>
        <v>98958.2</v>
      </c>
      <c r="E33" s="251">
        <f t="shared" si="2"/>
        <v>33412164.399999999</v>
      </c>
      <c r="F33" s="180"/>
      <c r="G33" s="181">
        <f>((E24*0.2)+(C28*0.2)*1/6)+C33</f>
        <v>6389064.4800000004</v>
      </c>
      <c r="H33" s="252">
        <f>C31+E24*0.2*1/6</f>
        <v>1596655.9300000002</v>
      </c>
      <c r="I33" s="181">
        <v>1000000</v>
      </c>
      <c r="J33" s="252">
        <f t="shared" si="5"/>
        <v>25628024</v>
      </c>
      <c r="K33" s="252">
        <f t="shared" si="4"/>
        <v>5347744.040000001</v>
      </c>
      <c r="L33" s="181">
        <f t="shared" si="0"/>
        <v>7784140.3999999985</v>
      </c>
      <c r="M33" s="1282"/>
    </row>
    <row r="34" spans="1:13" s="1094" customFormat="1" ht="27.95" customHeight="1">
      <c r="A34" s="1272">
        <v>42370</v>
      </c>
      <c r="B34" s="181">
        <v>243.5</v>
      </c>
      <c r="C34" s="181">
        <v>82207.5</v>
      </c>
      <c r="D34" s="251">
        <f t="shared" si="1"/>
        <v>99201.7</v>
      </c>
      <c r="E34" s="251">
        <f t="shared" si="2"/>
        <v>33494371.899999999</v>
      </c>
      <c r="F34" s="180"/>
      <c r="G34" s="181">
        <f>C34</f>
        <v>82207.5</v>
      </c>
      <c r="H34" s="252">
        <f>C32+E24*0.2*1/6</f>
        <v>1215893.4300000002</v>
      </c>
      <c r="I34" s="181"/>
      <c r="J34" s="252">
        <f t="shared" si="5"/>
        <v>25628024</v>
      </c>
      <c r="K34" s="252">
        <f t="shared" si="4"/>
        <v>6563637.4700000007</v>
      </c>
      <c r="L34" s="181">
        <f t="shared" si="0"/>
        <v>7866347.8999999985</v>
      </c>
      <c r="M34" s="1282"/>
    </row>
    <row r="35" spans="1:13" s="1094" customFormat="1" ht="27.95" customHeight="1">
      <c r="A35" s="1272">
        <v>42430</v>
      </c>
      <c r="B35" s="181">
        <v>233.5</v>
      </c>
      <c r="C35" s="181">
        <v>78489.5</v>
      </c>
      <c r="D35" s="251">
        <f t="shared" si="1"/>
        <v>99435.199999999997</v>
      </c>
      <c r="E35" s="251">
        <f t="shared" si="2"/>
        <v>33572861.399999999</v>
      </c>
      <c r="F35" s="180"/>
      <c r="G35" s="181">
        <f t="shared" ref="G35:G43" si="8">C35</f>
        <v>78489.5</v>
      </c>
      <c r="H35" s="252">
        <f>C33+E24*0.2*1/6</f>
        <v>1220502.9300000002</v>
      </c>
      <c r="I35" s="181"/>
      <c r="J35" s="252">
        <f t="shared" si="5"/>
        <v>25628024</v>
      </c>
      <c r="K35" s="252">
        <f t="shared" si="4"/>
        <v>7784140.4000000004</v>
      </c>
      <c r="L35" s="181">
        <f t="shared" si="0"/>
        <v>7944837.3999999985</v>
      </c>
      <c r="M35" s="1282"/>
    </row>
    <row r="36" spans="1:13" s="1094" customFormat="1" ht="27.95" customHeight="1">
      <c r="A36" s="1274">
        <v>42461</v>
      </c>
      <c r="B36" s="284">
        <v>825.5</v>
      </c>
      <c r="C36" s="284">
        <v>276043.5</v>
      </c>
      <c r="D36" s="251">
        <f t="shared" si="1"/>
        <v>100260.7</v>
      </c>
      <c r="E36" s="251">
        <f t="shared" si="2"/>
        <v>33848904.899999999</v>
      </c>
      <c r="F36" s="180"/>
      <c r="G36" s="181">
        <f t="shared" si="8"/>
        <v>276043.5</v>
      </c>
      <c r="H36" s="252">
        <f>C34</f>
        <v>82207.5</v>
      </c>
      <c r="I36" s="181"/>
      <c r="J36" s="252">
        <f t="shared" si="5"/>
        <v>25628024</v>
      </c>
      <c r="K36" s="252">
        <f t="shared" si="4"/>
        <v>7866347.9000000004</v>
      </c>
      <c r="L36" s="181">
        <f t="shared" si="0"/>
        <v>8220880.8999999985</v>
      </c>
      <c r="M36" s="1282"/>
    </row>
    <row r="37" spans="1:13" s="1094" customFormat="1" ht="27.95" customHeight="1">
      <c r="A37" s="1274">
        <v>42491</v>
      </c>
      <c r="B37" s="284">
        <v>549.5</v>
      </c>
      <c r="C37" s="284">
        <v>180619.5</v>
      </c>
      <c r="D37" s="251">
        <f t="shared" si="1"/>
        <v>100810.2</v>
      </c>
      <c r="E37" s="251">
        <f t="shared" si="2"/>
        <v>34029524.399999999</v>
      </c>
      <c r="F37" s="180"/>
      <c r="G37" s="181">
        <f t="shared" si="8"/>
        <v>180619.5</v>
      </c>
      <c r="H37" s="252">
        <f t="shared" ref="H37:H44" si="9">C35</f>
        <v>78489.5</v>
      </c>
      <c r="I37" s="181"/>
      <c r="J37" s="252">
        <f t="shared" si="5"/>
        <v>25628024</v>
      </c>
      <c r="K37" s="252">
        <f t="shared" si="4"/>
        <v>7944837.4000000004</v>
      </c>
      <c r="L37" s="181">
        <f t="shared" si="0"/>
        <v>8401500.3999999985</v>
      </c>
      <c r="M37" s="1282"/>
    </row>
    <row r="38" spans="1:13" s="1094" customFormat="1" ht="27.95" customHeight="1">
      <c r="A38" s="1274">
        <v>42522</v>
      </c>
      <c r="B38" s="284">
        <v>1282</v>
      </c>
      <c r="C38" s="284">
        <v>423806.5</v>
      </c>
      <c r="D38" s="251">
        <f t="shared" si="1"/>
        <v>102092.2</v>
      </c>
      <c r="E38" s="251">
        <f t="shared" si="2"/>
        <v>34453330.899999999</v>
      </c>
      <c r="F38" s="180"/>
      <c r="G38" s="181">
        <f t="shared" si="8"/>
        <v>423806.5</v>
      </c>
      <c r="H38" s="252">
        <f t="shared" si="9"/>
        <v>276043.5</v>
      </c>
      <c r="I38" s="181"/>
      <c r="J38" s="252">
        <f t="shared" si="5"/>
        <v>25628024</v>
      </c>
      <c r="K38" s="252">
        <f t="shared" si="4"/>
        <v>8220880.9000000004</v>
      </c>
      <c r="L38" s="181">
        <f t="shared" si="0"/>
        <v>8825306.8999999985</v>
      </c>
      <c r="M38" s="1282"/>
    </row>
    <row r="39" spans="1:13" s="1094" customFormat="1" ht="27.95" customHeight="1">
      <c r="A39" s="1274">
        <v>42552</v>
      </c>
      <c r="B39" s="284">
        <v>144.5</v>
      </c>
      <c r="C39" s="284">
        <v>49111.5</v>
      </c>
      <c r="D39" s="251">
        <f t="shared" si="1"/>
        <v>102236.7</v>
      </c>
      <c r="E39" s="251">
        <f t="shared" si="2"/>
        <v>34502442.399999999</v>
      </c>
      <c r="F39" s="180"/>
      <c r="G39" s="181">
        <f t="shared" si="8"/>
        <v>49111.5</v>
      </c>
      <c r="H39" s="252">
        <f t="shared" si="9"/>
        <v>180619.5</v>
      </c>
      <c r="I39" s="181">
        <v>1450000</v>
      </c>
      <c r="J39" s="252">
        <f t="shared" si="5"/>
        <v>27078024</v>
      </c>
      <c r="K39" s="252">
        <f t="shared" si="4"/>
        <v>6951500.4000000004</v>
      </c>
      <c r="L39" s="181">
        <f t="shared" si="0"/>
        <v>7424418.3999999985</v>
      </c>
      <c r="M39" s="1282" t="s">
        <v>1166</v>
      </c>
    </row>
    <row r="40" spans="1:13" s="1094" customFormat="1" ht="27.95" customHeight="1">
      <c r="A40" s="1274">
        <v>42583</v>
      </c>
      <c r="B40" s="284">
        <v>1053</v>
      </c>
      <c r="C40" s="284">
        <v>375861</v>
      </c>
      <c r="D40" s="251">
        <f t="shared" si="1"/>
        <v>103289.7</v>
      </c>
      <c r="E40" s="251">
        <f t="shared" si="2"/>
        <v>34878303.399999999</v>
      </c>
      <c r="F40" s="180"/>
      <c r="G40" s="181">
        <f t="shared" si="8"/>
        <v>375861</v>
      </c>
      <c r="H40" s="252">
        <f t="shared" si="9"/>
        <v>423806.5</v>
      </c>
      <c r="I40" s="181"/>
      <c r="J40" s="252">
        <f t="shared" si="5"/>
        <v>27078024</v>
      </c>
      <c r="K40" s="252">
        <f t="shared" si="4"/>
        <v>7375306.9000000004</v>
      </c>
      <c r="L40" s="181">
        <f t="shared" si="0"/>
        <v>7800279.3999999985</v>
      </c>
      <c r="M40" s="1282"/>
    </row>
    <row r="41" spans="1:13" s="1094" customFormat="1" ht="27.95" customHeight="1">
      <c r="A41" s="1274">
        <v>42614</v>
      </c>
      <c r="B41" s="284">
        <v>249</v>
      </c>
      <c r="C41" s="284">
        <v>88893</v>
      </c>
      <c r="D41" s="251">
        <f t="shared" si="1"/>
        <v>103538.7</v>
      </c>
      <c r="E41" s="251">
        <f t="shared" si="2"/>
        <v>34967196.399999999</v>
      </c>
      <c r="F41" s="180"/>
      <c r="G41" s="181">
        <f t="shared" si="8"/>
        <v>88893</v>
      </c>
      <c r="H41" s="252">
        <f t="shared" si="9"/>
        <v>49111.5</v>
      </c>
      <c r="I41" s="181"/>
      <c r="J41" s="252">
        <f t="shared" si="5"/>
        <v>27078024</v>
      </c>
      <c r="K41" s="252">
        <f t="shared" si="4"/>
        <v>7424418.4000000004</v>
      </c>
      <c r="L41" s="181">
        <f t="shared" si="0"/>
        <v>7889172.3999999985</v>
      </c>
      <c r="M41" s="1282"/>
    </row>
    <row r="42" spans="1:13" s="1094" customFormat="1" ht="27.95" customHeight="1">
      <c r="A42" s="1274">
        <v>42644</v>
      </c>
      <c r="B42" s="284">
        <v>949.5</v>
      </c>
      <c r="C42" s="284">
        <v>339046.5</v>
      </c>
      <c r="D42" s="251">
        <f t="shared" si="1"/>
        <v>104488.2</v>
      </c>
      <c r="E42" s="251">
        <f t="shared" si="2"/>
        <v>35306242.899999999</v>
      </c>
      <c r="F42" s="180"/>
      <c r="G42" s="181">
        <f t="shared" si="8"/>
        <v>339046.5</v>
      </c>
      <c r="H42" s="252">
        <f t="shared" si="9"/>
        <v>375861</v>
      </c>
      <c r="I42" s="181"/>
      <c r="J42" s="252">
        <f t="shared" si="5"/>
        <v>27078024</v>
      </c>
      <c r="K42" s="252">
        <f t="shared" si="4"/>
        <v>7800279.4000000004</v>
      </c>
      <c r="L42" s="181">
        <f t="shared" si="0"/>
        <v>8228218.8999999985</v>
      </c>
      <c r="M42" s="1282"/>
    </row>
    <row r="43" spans="1:13" s="1094" customFormat="1" ht="27.95" customHeight="1">
      <c r="A43" s="1272">
        <v>42736</v>
      </c>
      <c r="B43" s="181">
        <v>0</v>
      </c>
      <c r="C43" s="181">
        <v>0</v>
      </c>
      <c r="D43" s="251">
        <f t="shared" si="1"/>
        <v>104488.2</v>
      </c>
      <c r="E43" s="251">
        <f t="shared" si="2"/>
        <v>35306242.899999999</v>
      </c>
      <c r="F43" s="180"/>
      <c r="G43" s="181">
        <f t="shared" si="8"/>
        <v>0</v>
      </c>
      <c r="H43" s="252">
        <f t="shared" si="9"/>
        <v>88893</v>
      </c>
      <c r="I43" s="181">
        <v>2034969</v>
      </c>
      <c r="J43" s="252">
        <f t="shared" si="5"/>
        <v>29112993</v>
      </c>
      <c r="K43" s="252">
        <f t="shared" si="4"/>
        <v>5854203.4000000004</v>
      </c>
      <c r="L43" s="181">
        <f t="shared" si="0"/>
        <v>6193249.8999999985</v>
      </c>
      <c r="M43" s="1282" t="s">
        <v>1167</v>
      </c>
    </row>
    <row r="44" spans="1:13" s="1094" customFormat="1" ht="27.95" customHeight="1">
      <c r="A44" s="1272"/>
      <c r="B44" s="181"/>
      <c r="C44" s="181"/>
      <c r="D44" s="180"/>
      <c r="E44" s="180"/>
      <c r="F44" s="180"/>
      <c r="G44" s="181"/>
      <c r="H44" s="252">
        <f t="shared" si="9"/>
        <v>339046.5</v>
      </c>
      <c r="I44" s="181"/>
      <c r="J44" s="181"/>
      <c r="K44" s="252">
        <f t="shared" si="4"/>
        <v>6193249.9000000004</v>
      </c>
      <c r="L44" s="181"/>
      <c r="M44" s="1282" t="s">
        <v>1168</v>
      </c>
    </row>
    <row r="45" spans="1:13" s="1094" customFormat="1" ht="27.95" customHeight="1">
      <c r="A45" s="1272"/>
      <c r="B45" s="181"/>
      <c r="C45" s="181"/>
      <c r="D45" s="180"/>
      <c r="E45" s="180"/>
      <c r="F45" s="180"/>
      <c r="G45" s="181"/>
      <c r="H45" s="555"/>
      <c r="I45" s="181"/>
      <c r="J45" s="181"/>
      <c r="K45" s="181"/>
      <c r="L45" s="181"/>
      <c r="M45" s="1282"/>
    </row>
    <row r="46" spans="1:13" s="1094" customFormat="1" ht="27.95" customHeight="1">
      <c r="A46" s="1272"/>
      <c r="B46" s="181"/>
      <c r="C46" s="181"/>
      <c r="D46" s="180"/>
      <c r="E46" s="180"/>
      <c r="F46" s="180"/>
      <c r="G46" s="181"/>
      <c r="H46" s="555"/>
      <c r="I46" s="181"/>
      <c r="J46" s="181"/>
      <c r="K46" s="181"/>
      <c r="L46" s="181"/>
      <c r="M46" s="1282"/>
    </row>
    <row r="47" spans="1:13" s="1094" customFormat="1" ht="27.95" customHeight="1">
      <c r="A47" s="1272"/>
      <c r="B47" s="181"/>
      <c r="C47" s="181"/>
      <c r="D47" s="180"/>
      <c r="E47" s="180"/>
      <c r="F47" s="180"/>
      <c r="G47" s="181"/>
      <c r="H47" s="555"/>
      <c r="I47" s="181"/>
      <c r="J47" s="181"/>
      <c r="K47" s="181"/>
      <c r="L47" s="181"/>
      <c r="M47" s="1282"/>
    </row>
    <row r="48" spans="1:13" s="1094" customFormat="1" ht="27.95" customHeight="1">
      <c r="A48" s="1272"/>
      <c r="B48" s="181"/>
      <c r="C48" s="181"/>
      <c r="D48" s="180"/>
      <c r="E48" s="180"/>
      <c r="F48" s="180"/>
      <c r="G48" s="181"/>
      <c r="H48" s="555"/>
      <c r="I48" s="181"/>
      <c r="J48" s="181"/>
      <c r="K48" s="181"/>
      <c r="L48" s="181"/>
      <c r="M48" s="1282"/>
    </row>
    <row r="49" spans="1:13" s="1094" customFormat="1" ht="27.95" customHeight="1">
      <c r="A49" s="1272"/>
      <c r="B49" s="181"/>
      <c r="C49" s="181"/>
      <c r="D49" s="180"/>
      <c r="E49" s="180"/>
      <c r="F49" s="180"/>
      <c r="G49" s="181"/>
      <c r="H49" s="555"/>
      <c r="I49" s="181"/>
      <c r="J49" s="181"/>
      <c r="K49" s="181"/>
      <c r="L49" s="181"/>
      <c r="M49" s="1282"/>
    </row>
    <row r="50" spans="1:13" s="1094" customFormat="1" ht="27.95" customHeight="1">
      <c r="A50" s="1272"/>
      <c r="B50" s="181"/>
      <c r="C50" s="181"/>
      <c r="D50" s="180"/>
      <c r="E50" s="180"/>
      <c r="F50" s="180"/>
      <c r="G50" s="181"/>
      <c r="H50" s="555"/>
      <c r="I50" s="181"/>
      <c r="J50" s="181"/>
      <c r="K50" s="181"/>
      <c r="L50" s="181"/>
      <c r="M50" s="1282"/>
    </row>
    <row r="51" spans="1:13" s="1094" customFormat="1" ht="27.95" customHeight="1">
      <c r="A51" s="1272"/>
      <c r="B51" s="181"/>
      <c r="C51" s="181"/>
      <c r="D51" s="180"/>
      <c r="E51" s="180"/>
      <c r="F51" s="180"/>
      <c r="G51" s="181"/>
      <c r="H51" s="181"/>
      <c r="I51" s="181"/>
      <c r="J51" s="181"/>
      <c r="K51" s="181"/>
      <c r="L51" s="181"/>
      <c r="M51" s="1282"/>
    </row>
    <row r="67" spans="5:11">
      <c r="E67" t="s">
        <v>179</v>
      </c>
      <c r="G67" s="1093"/>
      <c r="H67" s="1093"/>
      <c r="I67" s="1093"/>
      <c r="J67" s="1093"/>
      <c r="K67" s="1093"/>
    </row>
    <row r="68" spans="5:11">
      <c r="G68" s="1093"/>
      <c r="H68" s="1093"/>
      <c r="I68" s="1093"/>
      <c r="J68" s="1093"/>
      <c r="K68" s="1093"/>
    </row>
    <row r="69" spans="5:11" ht="18.75">
      <c r="G69" s="1093"/>
      <c r="H69" s="1283"/>
      <c r="I69" s="1093"/>
      <c r="J69" s="1093"/>
      <c r="K69" s="1093"/>
    </row>
    <row r="70" spans="5:11" ht="18.75">
      <c r="G70" s="1093"/>
      <c r="H70" s="1283"/>
      <c r="I70" s="1093"/>
      <c r="J70" s="1093"/>
      <c r="K70" s="1093"/>
    </row>
    <row r="71" spans="5:11" ht="18.75">
      <c r="G71" s="1093"/>
      <c r="H71" s="1283"/>
      <c r="I71" s="1093"/>
      <c r="J71" s="1093"/>
      <c r="K71" s="1093"/>
    </row>
    <row r="72" spans="5:11" ht="18.75">
      <c r="G72" s="1093"/>
      <c r="H72" s="1283"/>
      <c r="I72" s="1093"/>
      <c r="J72" s="1093"/>
      <c r="K72" s="1093"/>
    </row>
    <row r="73" spans="5:11" ht="18.75">
      <c r="G73" s="1093"/>
      <c r="H73" s="1283"/>
      <c r="I73" s="1093"/>
      <c r="J73" s="1093"/>
      <c r="K73" s="1093"/>
    </row>
    <row r="74" spans="5:11" ht="18.75">
      <c r="G74" s="1093"/>
      <c r="H74" s="1283"/>
      <c r="I74" s="1093"/>
      <c r="J74" s="1093"/>
      <c r="K74" s="1093"/>
    </row>
    <row r="75" spans="5:11" ht="18.75">
      <c r="G75" s="1093"/>
      <c r="H75" s="1283"/>
      <c r="I75" s="1093"/>
      <c r="J75" s="1093"/>
      <c r="K75" s="1093"/>
    </row>
    <row r="76" spans="5:11" ht="18.75">
      <c r="G76" s="1093"/>
      <c r="H76" s="1283"/>
      <c r="I76" s="1093"/>
      <c r="J76" s="1093"/>
      <c r="K76" s="1093"/>
    </row>
    <row r="77" spans="5:11" ht="18.75">
      <c r="G77" s="1093"/>
      <c r="H77" s="1283"/>
      <c r="I77" s="1093"/>
      <c r="J77" s="1093"/>
      <c r="K77" s="1093"/>
    </row>
    <row r="78" spans="5:11" ht="18.75">
      <c r="G78" s="1093"/>
      <c r="H78" s="1283"/>
      <c r="I78" s="1093"/>
      <c r="J78" s="1093"/>
      <c r="K78" s="1093"/>
    </row>
    <row r="79" spans="5:11" ht="18.75">
      <c r="G79" s="1093"/>
      <c r="H79" s="1283"/>
      <c r="I79" s="1093"/>
      <c r="J79" s="1093"/>
      <c r="K79" s="1093"/>
    </row>
    <row r="80" spans="5:11">
      <c r="G80" s="1093"/>
      <c r="H80" s="1093"/>
      <c r="I80" s="1093"/>
      <c r="J80" s="1093"/>
      <c r="K80" s="1093"/>
    </row>
    <row r="81" spans="7:11">
      <c r="G81" s="1093"/>
      <c r="H81" s="1093"/>
      <c r="I81" s="1093"/>
      <c r="J81" s="1093"/>
      <c r="K81" s="1093"/>
    </row>
  </sheetData>
  <mergeCells count="14">
    <mergeCell ref="B3:C3"/>
    <mergeCell ref="B4:G4"/>
    <mergeCell ref="H4:J4"/>
    <mergeCell ref="K4:L4"/>
    <mergeCell ref="B5:E5"/>
    <mergeCell ref="F5:H5"/>
    <mergeCell ref="I5:L5"/>
    <mergeCell ref="C1:D1"/>
    <mergeCell ref="E1:G1"/>
    <mergeCell ref="I1:K1"/>
    <mergeCell ref="L1:M1"/>
    <mergeCell ref="B2:C2"/>
    <mergeCell ref="E2:G2"/>
    <mergeCell ref="H2:I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8"/>
  <sheetViews>
    <sheetView topLeftCell="A46" zoomScaleSheetLayoutView="100" workbookViewId="0">
      <selection activeCell="L51" sqref="L51"/>
    </sheetView>
  </sheetViews>
  <sheetFormatPr defaultColWidth="9" defaultRowHeight="14.25"/>
  <cols>
    <col min="1" max="1" width="15.125" customWidth="1"/>
    <col min="2" max="2" width="11.75" customWidth="1"/>
    <col min="3" max="4" width="12.5" customWidth="1"/>
    <col min="5" max="5" width="14.875" customWidth="1"/>
    <col min="6" max="6" width="12" customWidth="1"/>
    <col min="7" max="7" width="14.125" customWidth="1"/>
    <col min="8" max="8" width="14.5" customWidth="1"/>
    <col min="9" max="9" width="13.75" customWidth="1"/>
    <col min="10" max="10" width="13.375" customWidth="1"/>
    <col min="11" max="11" width="15.5" customWidth="1"/>
    <col min="12" max="12" width="15.25" customWidth="1"/>
    <col min="13" max="13" width="34.625" customWidth="1"/>
    <col min="14" max="14" width="11.5" bestFit="1" customWidth="1"/>
  </cols>
  <sheetData>
    <row r="1" spans="1:16" ht="171" customHeight="1">
      <c r="A1" s="1032" t="s">
        <v>556</v>
      </c>
      <c r="B1" s="1216" t="s">
        <v>1169</v>
      </c>
      <c r="C1" s="1811" t="s">
        <v>1170</v>
      </c>
      <c r="D1" s="1811"/>
      <c r="E1" s="1812" t="s">
        <v>1171</v>
      </c>
      <c r="F1" s="1812"/>
      <c r="G1" s="1812"/>
      <c r="H1" s="531" t="s">
        <v>237</v>
      </c>
      <c r="I1" s="1813" t="s">
        <v>1172</v>
      </c>
      <c r="J1" s="1814"/>
      <c r="K1" s="1814"/>
      <c r="L1" s="1815" t="s">
        <v>1173</v>
      </c>
      <c r="M1" s="1816"/>
    </row>
    <row r="2" spans="1:16" ht="35.1" customHeight="1">
      <c r="A2" s="39" t="s">
        <v>240</v>
      </c>
      <c r="B2" s="1637" t="s">
        <v>1139</v>
      </c>
      <c r="C2" s="1637"/>
      <c r="D2" s="41" t="s">
        <v>242</v>
      </c>
      <c r="E2" s="1637"/>
      <c r="F2" s="1637"/>
      <c r="G2" s="1637"/>
      <c r="H2" s="1664" t="s">
        <v>1174</v>
      </c>
      <c r="I2" s="1664"/>
      <c r="J2" s="41" t="s">
        <v>243</v>
      </c>
      <c r="K2" s="41" t="s">
        <v>1175</v>
      </c>
      <c r="L2" s="103" t="s">
        <v>245</v>
      </c>
      <c r="M2" s="104" t="s">
        <v>1176</v>
      </c>
    </row>
    <row r="3" spans="1:16" ht="32.1" customHeight="1">
      <c r="A3" s="39" t="s">
        <v>247</v>
      </c>
      <c r="B3" s="1637" t="s">
        <v>31</v>
      </c>
      <c r="C3" s="1637"/>
      <c r="D3" s="41" t="s">
        <v>249</v>
      </c>
      <c r="E3" s="59"/>
      <c r="F3" s="1218" t="s">
        <v>1177</v>
      </c>
      <c r="G3" s="41"/>
      <c r="H3" s="41" t="s">
        <v>252</v>
      </c>
      <c r="I3" s="41"/>
      <c r="J3" s="91" t="s">
        <v>253</v>
      </c>
      <c r="K3" s="944"/>
      <c r="L3" s="944" t="s">
        <v>255</v>
      </c>
      <c r="M3" s="1191" t="s">
        <v>1178</v>
      </c>
      <c r="N3" s="1221"/>
      <c r="O3" s="1221"/>
      <c r="P3" s="1221"/>
    </row>
    <row r="4" spans="1:16" ht="78" customHeight="1">
      <c r="A4" s="39" t="s">
        <v>260</v>
      </c>
      <c r="B4" s="1670" t="s">
        <v>1179</v>
      </c>
      <c r="C4" s="1679"/>
      <c r="D4" s="1680"/>
      <c r="E4" s="1762" t="s">
        <v>1180</v>
      </c>
      <c r="F4" s="1762"/>
      <c r="G4" s="1762"/>
      <c r="H4" s="1649" t="s">
        <v>1181</v>
      </c>
      <c r="I4" s="1650"/>
      <c r="J4" s="1650"/>
      <c r="K4" s="1817" t="s">
        <v>1182</v>
      </c>
      <c r="L4" s="1818"/>
      <c r="M4" s="1819"/>
      <c r="O4" s="1221"/>
    </row>
    <row r="5" spans="1:16" ht="57" customHeight="1">
      <c r="A5" s="39" t="s">
        <v>1022</v>
      </c>
      <c r="B5" s="1633" t="s">
        <v>1183</v>
      </c>
      <c r="C5" s="1633"/>
      <c r="D5" s="1633"/>
      <c r="E5" s="1633"/>
      <c r="F5" s="1648" t="s">
        <v>1184</v>
      </c>
      <c r="G5" s="1648"/>
      <c r="H5" s="1648"/>
      <c r="I5" s="1820"/>
      <c r="J5" s="1821"/>
      <c r="K5" s="1773"/>
      <c r="L5" s="1774"/>
      <c r="M5" s="1082"/>
      <c r="N5" s="1221"/>
      <c r="O5" s="1221"/>
      <c r="P5" s="1221"/>
    </row>
    <row r="6" spans="1:16"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6" ht="27" customHeight="1">
      <c r="A7" s="309">
        <v>41821</v>
      </c>
      <c r="B7" s="181">
        <v>1343</v>
      </c>
      <c r="C7" s="181">
        <v>501579</v>
      </c>
      <c r="D7" s="181">
        <f>B7</f>
        <v>1343</v>
      </c>
      <c r="E7" s="181">
        <f>C7</f>
        <v>501579</v>
      </c>
      <c r="F7" s="181"/>
      <c r="G7" s="181">
        <f>C7</f>
        <v>501579</v>
      </c>
      <c r="H7" s="181"/>
      <c r="I7" s="181"/>
      <c r="J7" s="181"/>
      <c r="K7" s="181"/>
      <c r="L7" s="181">
        <f>E7-J7</f>
        <v>501579</v>
      </c>
      <c r="M7" s="266"/>
    </row>
    <row r="8" spans="1:16" ht="30.95" customHeight="1">
      <c r="A8" s="309">
        <v>41852</v>
      </c>
      <c r="B8" s="181">
        <v>3684.5</v>
      </c>
      <c r="C8" s="181">
        <v>1392965</v>
      </c>
      <c r="D8" s="181">
        <f t="shared" ref="D8:D16" si="0">D7+B8</f>
        <v>5027.5</v>
      </c>
      <c r="E8" s="181">
        <f>E7+C8</f>
        <v>1894544</v>
      </c>
      <c r="F8" s="181"/>
      <c r="G8" s="181">
        <f>C8+C7*0.2</f>
        <v>1493280.8</v>
      </c>
      <c r="H8" s="181"/>
      <c r="I8" s="181"/>
      <c r="J8" s="181"/>
      <c r="K8" s="181"/>
      <c r="L8" s="181">
        <f t="shared" ref="L8:L51" si="1">E8-J8</f>
        <v>1894544</v>
      </c>
      <c r="M8" s="266"/>
    </row>
    <row r="9" spans="1:16" ht="30" customHeight="1">
      <c r="A9" s="309">
        <v>41883</v>
      </c>
      <c r="B9" s="181">
        <v>307</v>
      </c>
      <c r="C9" s="181">
        <v>104126</v>
      </c>
      <c r="D9" s="181">
        <f t="shared" si="0"/>
        <v>5334.5</v>
      </c>
      <c r="E9" s="181">
        <f t="shared" ref="E9:E16" si="2">E8+C9</f>
        <v>1998670</v>
      </c>
      <c r="F9" s="181"/>
      <c r="G9" s="181">
        <f>C9+(C8+C7)*0.2</f>
        <v>483034.80000000005</v>
      </c>
      <c r="H9" s="294">
        <f>C7*0.8</f>
        <v>401263.2</v>
      </c>
      <c r="I9" s="181"/>
      <c r="J9" s="181"/>
      <c r="K9" s="294">
        <f>K8+H9-I9</f>
        <v>401263.2</v>
      </c>
      <c r="L9" s="181">
        <f t="shared" si="1"/>
        <v>1998670</v>
      </c>
      <c r="M9" s="266"/>
    </row>
    <row r="10" spans="1:16" ht="33.950000000000003" customHeight="1">
      <c r="A10" s="324" t="s">
        <v>1185</v>
      </c>
      <c r="B10" s="457"/>
      <c r="C10" s="456">
        <v>-127113.34</v>
      </c>
      <c r="D10" s="181">
        <f t="shared" si="0"/>
        <v>5334.5</v>
      </c>
      <c r="E10" s="181">
        <f t="shared" si="2"/>
        <v>1871556.66</v>
      </c>
      <c r="F10" s="181"/>
      <c r="G10" s="181">
        <f>C10+(C9+C8+C7)*0.2</f>
        <v>272620.66000000003</v>
      </c>
      <c r="H10" s="294">
        <f t="shared" ref="H10:H42" si="3">C8*0.8</f>
        <v>1114372</v>
      </c>
      <c r="I10" s="457"/>
      <c r="J10" s="457"/>
      <c r="K10" s="294">
        <f t="shared" ref="K10:K52" si="4">K9+H10-I10</f>
        <v>1515635.2</v>
      </c>
      <c r="L10" s="181">
        <f t="shared" si="1"/>
        <v>1871556.66</v>
      </c>
      <c r="M10" s="1092"/>
    </row>
    <row r="11" spans="1:16" ht="30" customHeight="1">
      <c r="A11" s="309">
        <v>41913</v>
      </c>
      <c r="B11" s="457">
        <v>458</v>
      </c>
      <c r="C11" s="181">
        <v>126009</v>
      </c>
      <c r="D11" s="181">
        <f t="shared" si="0"/>
        <v>5792.5</v>
      </c>
      <c r="E11" s="181">
        <f t="shared" si="2"/>
        <v>1997565.66</v>
      </c>
      <c r="F11" s="181"/>
      <c r="G11" s="181">
        <f>C11+(C10+C9+C8+C7)*0.2</f>
        <v>500320.33199999999</v>
      </c>
      <c r="H11" s="294">
        <f t="shared" si="3"/>
        <v>83300.800000000003</v>
      </c>
      <c r="I11" s="457"/>
      <c r="J11" s="457"/>
      <c r="K11" s="294">
        <f t="shared" si="4"/>
        <v>1598936</v>
      </c>
      <c r="L11" s="181">
        <f t="shared" si="1"/>
        <v>1997565.66</v>
      </c>
      <c r="M11" s="1265" t="s">
        <v>1186</v>
      </c>
    </row>
    <row r="12" spans="1:16" ht="30" customHeight="1">
      <c r="A12" s="309">
        <v>41944</v>
      </c>
      <c r="B12" s="457">
        <v>186</v>
      </c>
      <c r="C12" s="181">
        <v>51008</v>
      </c>
      <c r="D12" s="181">
        <f t="shared" si="0"/>
        <v>5978.5</v>
      </c>
      <c r="E12" s="181">
        <f t="shared" si="2"/>
        <v>2048573.66</v>
      </c>
      <c r="F12" s="181"/>
      <c r="G12" s="181">
        <f>C12+(C11+C10+C9+C8+C7)*0.2</f>
        <v>450521.13199999998</v>
      </c>
      <c r="H12" s="294">
        <f t="shared" si="3"/>
        <v>-101690.67200000001</v>
      </c>
      <c r="I12" s="457"/>
      <c r="J12" s="457"/>
      <c r="K12" s="294">
        <f t="shared" si="4"/>
        <v>1497245.328</v>
      </c>
      <c r="L12" s="181">
        <f t="shared" si="1"/>
        <v>2048573.66</v>
      </c>
      <c r="M12" s="1092"/>
    </row>
    <row r="13" spans="1:16" ht="30" customHeight="1">
      <c r="A13" s="309">
        <v>41974</v>
      </c>
      <c r="B13" s="457">
        <v>9249</v>
      </c>
      <c r="C13" s="181">
        <v>3178674</v>
      </c>
      <c r="D13" s="181">
        <f t="shared" si="0"/>
        <v>15227.5</v>
      </c>
      <c r="E13" s="181">
        <f t="shared" si="2"/>
        <v>5227247.66</v>
      </c>
      <c r="F13" s="181"/>
      <c r="G13" s="181">
        <f>C13+(C12+C11+C10+C9+C8+C7)*0.2</f>
        <v>3588388.7319999998</v>
      </c>
      <c r="H13" s="294">
        <f t="shared" si="3"/>
        <v>100807.20000000001</v>
      </c>
      <c r="I13" s="457"/>
      <c r="J13" s="457"/>
      <c r="K13" s="294">
        <f t="shared" si="4"/>
        <v>1598052.5279999999</v>
      </c>
      <c r="L13" s="181">
        <f t="shared" si="1"/>
        <v>5227247.66</v>
      </c>
      <c r="M13" s="1092"/>
    </row>
    <row r="14" spans="1:16" ht="30" customHeight="1">
      <c r="A14" s="1261">
        <v>42005</v>
      </c>
      <c r="B14" s="1262">
        <v>726</v>
      </c>
      <c r="C14" s="304">
        <v>251409</v>
      </c>
      <c r="D14" s="181">
        <f t="shared" si="0"/>
        <v>15953.5</v>
      </c>
      <c r="E14" s="181">
        <f t="shared" si="2"/>
        <v>5478656.6600000001</v>
      </c>
      <c r="F14" s="181"/>
      <c r="G14" s="181">
        <f>C14+(C13+C12+C11+C10+C9+C8+C7)*0.2</f>
        <v>1296858.5320000001</v>
      </c>
      <c r="H14" s="294">
        <f t="shared" si="3"/>
        <v>40806.400000000001</v>
      </c>
      <c r="I14" s="457">
        <v>1515635</v>
      </c>
      <c r="J14" s="457">
        <f>J13+I14</f>
        <v>1515635</v>
      </c>
      <c r="K14" s="294">
        <f t="shared" si="4"/>
        <v>123223.92799999984</v>
      </c>
      <c r="L14" s="181">
        <f t="shared" si="1"/>
        <v>3963021.66</v>
      </c>
      <c r="M14" s="1092"/>
    </row>
    <row r="15" spans="1:16" ht="30" customHeight="1">
      <c r="A15" s="359">
        <v>42037</v>
      </c>
      <c r="B15" s="457">
        <v>12303.5</v>
      </c>
      <c r="C15" s="181">
        <v>4220986</v>
      </c>
      <c r="D15" s="181">
        <f t="shared" si="0"/>
        <v>28257</v>
      </c>
      <c r="E15" s="181">
        <f t="shared" si="2"/>
        <v>9699642.6600000001</v>
      </c>
      <c r="F15" s="181"/>
      <c r="G15" s="181">
        <f>C15+(C14+C13+C12+C11+C10+C9+C8+C7)*0.2</f>
        <v>5316717.3320000004</v>
      </c>
      <c r="H15" s="294">
        <f t="shared" si="3"/>
        <v>2542939.2000000002</v>
      </c>
      <c r="I15" s="457">
        <v>1000000</v>
      </c>
      <c r="J15" s="457">
        <f t="shared" ref="J15:J51" si="5">J14+I15</f>
        <v>2515635</v>
      </c>
      <c r="K15" s="294">
        <f t="shared" si="4"/>
        <v>1666163.128</v>
      </c>
      <c r="L15" s="181">
        <f t="shared" si="1"/>
        <v>7184007.6600000001</v>
      </c>
      <c r="M15" s="1092" t="s">
        <v>1187</v>
      </c>
    </row>
    <row r="16" spans="1:16" ht="30" customHeight="1">
      <c r="A16" s="359">
        <v>42069</v>
      </c>
      <c r="B16" s="457">
        <v>277</v>
      </c>
      <c r="C16" s="181">
        <v>145912.5</v>
      </c>
      <c r="D16" s="181">
        <f t="shared" si="0"/>
        <v>28534</v>
      </c>
      <c r="E16" s="181">
        <f t="shared" si="2"/>
        <v>9845555.1600000001</v>
      </c>
      <c r="F16" s="181"/>
      <c r="G16" s="181">
        <f>C16+(C15+C14+C13+C12+C11+C10+C9+C8+C7)*0.2</f>
        <v>2085841.0320000001</v>
      </c>
      <c r="H16" s="294">
        <f t="shared" si="3"/>
        <v>201127.2</v>
      </c>
      <c r="I16" s="457"/>
      <c r="J16" s="457">
        <f t="shared" si="5"/>
        <v>2515635</v>
      </c>
      <c r="K16" s="294">
        <f t="shared" si="4"/>
        <v>1867290.328</v>
      </c>
      <c r="L16" s="181">
        <f t="shared" si="1"/>
        <v>7329920.1600000001</v>
      </c>
      <c r="M16" s="1092"/>
    </row>
    <row r="17" spans="1:13" ht="30" customHeight="1">
      <c r="A17" s="359" t="s">
        <v>1188</v>
      </c>
      <c r="B17" s="457"/>
      <c r="C17" s="181">
        <v>60590</v>
      </c>
      <c r="D17" s="181">
        <f t="shared" ref="D17:D51" si="6">D16+B17</f>
        <v>28534</v>
      </c>
      <c r="E17" s="181">
        <f t="shared" ref="E17:E51" si="7">E16+C17</f>
        <v>9906145.1600000001</v>
      </c>
      <c r="F17" s="181"/>
      <c r="G17" s="181">
        <f>C17+(C16+C15+C14+C13+C12+C11+C10+C9+C8+C7)*0.2</f>
        <v>2029701.0320000001</v>
      </c>
      <c r="H17" s="294">
        <f t="shared" si="3"/>
        <v>3376788.8000000003</v>
      </c>
      <c r="I17" s="457"/>
      <c r="J17" s="457">
        <f t="shared" si="5"/>
        <v>2515635</v>
      </c>
      <c r="K17" s="294">
        <f t="shared" si="4"/>
        <v>5244079.1280000005</v>
      </c>
      <c r="L17" s="181">
        <f t="shared" si="1"/>
        <v>7390510.1600000001</v>
      </c>
      <c r="M17" s="484"/>
    </row>
    <row r="18" spans="1:13" ht="30" customHeight="1">
      <c r="A18" s="359">
        <v>42100</v>
      </c>
      <c r="B18" s="181">
        <v>2752.5</v>
      </c>
      <c r="C18" s="181">
        <v>1009047.5</v>
      </c>
      <c r="D18" s="181">
        <f t="shared" si="6"/>
        <v>31286.5</v>
      </c>
      <c r="E18" s="181">
        <f t="shared" si="7"/>
        <v>10915192.66</v>
      </c>
      <c r="F18" s="181"/>
      <c r="G18" s="181">
        <f>C18+(C17+C16+C15+C14+C13+C12+C11+C10+C9+C8+C7)*0.2</f>
        <v>2990276.5320000001</v>
      </c>
      <c r="H18" s="294">
        <f t="shared" si="3"/>
        <v>116730</v>
      </c>
      <c r="I18" s="181"/>
      <c r="J18" s="457">
        <f t="shared" si="5"/>
        <v>2515635</v>
      </c>
      <c r="K18" s="294">
        <f t="shared" si="4"/>
        <v>5360809.1280000005</v>
      </c>
      <c r="L18" s="181">
        <f t="shared" si="1"/>
        <v>8399557.6600000001</v>
      </c>
      <c r="M18" s="487" t="s">
        <v>1189</v>
      </c>
    </row>
    <row r="19" spans="1:13" ht="30" customHeight="1">
      <c r="A19" s="365">
        <v>42125</v>
      </c>
      <c r="B19" s="181">
        <v>4929.8</v>
      </c>
      <c r="C19" s="181">
        <v>1671715.8</v>
      </c>
      <c r="D19" s="181">
        <f t="shared" si="6"/>
        <v>36216.300000000003</v>
      </c>
      <c r="E19" s="181">
        <f t="shared" si="7"/>
        <v>12586908.460000001</v>
      </c>
      <c r="F19" s="181"/>
      <c r="G19" s="181">
        <f>C19+(C18+C17+C16+C15+C14+C13+C12+C11+C10+C9+C8+C7)*0.2</f>
        <v>3854754.3320000004</v>
      </c>
      <c r="H19" s="294">
        <f t="shared" si="3"/>
        <v>48472</v>
      </c>
      <c r="I19" s="181">
        <v>1542939</v>
      </c>
      <c r="J19" s="457">
        <f t="shared" si="5"/>
        <v>4058574</v>
      </c>
      <c r="K19" s="294">
        <f t="shared" si="4"/>
        <v>3866342.1280000005</v>
      </c>
      <c r="L19" s="181">
        <f t="shared" si="1"/>
        <v>8528334.4600000009</v>
      </c>
      <c r="M19" s="181"/>
    </row>
    <row r="20" spans="1:13" ht="30" customHeight="1">
      <c r="A20" s="365">
        <v>42156</v>
      </c>
      <c r="B20" s="181">
        <v>5267</v>
      </c>
      <c r="C20" s="181">
        <v>2025532</v>
      </c>
      <c r="D20" s="181">
        <f t="shared" si="6"/>
        <v>41483.300000000003</v>
      </c>
      <c r="E20" s="181">
        <f t="shared" si="7"/>
        <v>14612440.460000001</v>
      </c>
      <c r="F20" s="181"/>
      <c r="G20" s="181">
        <f>C20+(C19+C18+C17+C16+C15+C14+C13+C12+C11+C10+C9+C8+C7)*0.2</f>
        <v>4542913.6919999998</v>
      </c>
      <c r="H20" s="294">
        <f t="shared" si="3"/>
        <v>807238</v>
      </c>
      <c r="I20" s="181">
        <v>2363399</v>
      </c>
      <c r="J20" s="457">
        <f t="shared" si="5"/>
        <v>6421973</v>
      </c>
      <c r="K20" s="294">
        <f t="shared" si="4"/>
        <v>2310181.1280000005</v>
      </c>
      <c r="L20" s="181">
        <f t="shared" si="1"/>
        <v>8190467.4600000009</v>
      </c>
      <c r="M20" s="487" t="s">
        <v>1190</v>
      </c>
    </row>
    <row r="21" spans="1:13" ht="50.1" customHeight="1">
      <c r="A21" s="405" t="s">
        <v>1191</v>
      </c>
      <c r="B21" s="181"/>
      <c r="C21" s="456">
        <v>-376369.83</v>
      </c>
      <c r="D21" s="181">
        <f t="shared" si="6"/>
        <v>41483.300000000003</v>
      </c>
      <c r="E21" s="181">
        <f t="shared" si="7"/>
        <v>14236070.630000001</v>
      </c>
      <c r="F21" s="181"/>
      <c r="G21" s="181">
        <f>C21+(C20+C19+C18+C17+C16+C15+C14+C13+C12+C11+C10+C9+C8+C7)*0.2</f>
        <v>2546118.2620000001</v>
      </c>
      <c r="H21" s="294">
        <f t="shared" si="3"/>
        <v>1337372.6400000001</v>
      </c>
      <c r="I21" s="181"/>
      <c r="J21" s="457">
        <f t="shared" si="5"/>
        <v>6421973</v>
      </c>
      <c r="K21" s="294">
        <f t="shared" si="4"/>
        <v>3647553.7680000006</v>
      </c>
      <c r="L21" s="181">
        <f t="shared" si="1"/>
        <v>7814097.6300000008</v>
      </c>
      <c r="M21" s="181"/>
    </row>
    <row r="22" spans="1:13" ht="30" customHeight="1">
      <c r="A22" s="365">
        <v>42186</v>
      </c>
      <c r="B22" s="181">
        <v>2826.5</v>
      </c>
      <c r="C22" s="181">
        <v>1122439</v>
      </c>
      <c r="D22" s="181">
        <f t="shared" si="6"/>
        <v>44309.8</v>
      </c>
      <c r="E22" s="181">
        <f t="shared" si="7"/>
        <v>15358509.630000001</v>
      </c>
      <c r="F22" s="181"/>
      <c r="G22" s="181">
        <f>C22+(C21+C20+C19+C18+C17+C16+C15+C14+C13+C12+C11+C10+C9+C8+C7)*0.2</f>
        <v>3969653.1260000002</v>
      </c>
      <c r="H22" s="294">
        <f t="shared" si="3"/>
        <v>1620425.6</v>
      </c>
      <c r="I22" s="181"/>
      <c r="J22" s="457">
        <f t="shared" si="5"/>
        <v>6421973</v>
      </c>
      <c r="K22" s="294">
        <f t="shared" si="4"/>
        <v>5267979.3680000007</v>
      </c>
      <c r="L22" s="181">
        <f t="shared" si="1"/>
        <v>8936536.6300000008</v>
      </c>
      <c r="M22" s="181"/>
    </row>
    <row r="23" spans="1:13" ht="30" customHeight="1">
      <c r="A23" s="365">
        <v>42217</v>
      </c>
      <c r="B23" s="181">
        <v>1482</v>
      </c>
      <c r="C23" s="180">
        <v>699189.5</v>
      </c>
      <c r="D23" s="181">
        <f t="shared" si="6"/>
        <v>45791.8</v>
      </c>
      <c r="E23" s="181">
        <f t="shared" si="7"/>
        <v>16057699.130000001</v>
      </c>
      <c r="F23" s="181"/>
      <c r="G23" s="181">
        <f>C23+(C22+C21+C20+C19+C18+C17+C16+C15+C14+C13+C12+C11+C10+C9+C8+C7)*0.2</f>
        <v>3770891.426</v>
      </c>
      <c r="H23" s="294">
        <f t="shared" si="3"/>
        <v>-301095.864</v>
      </c>
      <c r="I23" s="181"/>
      <c r="J23" s="457">
        <f t="shared" si="5"/>
        <v>6421973</v>
      </c>
      <c r="K23" s="294">
        <f t="shared" si="4"/>
        <v>4966883.5040000007</v>
      </c>
      <c r="L23" s="181">
        <f t="shared" si="1"/>
        <v>9635726.1300000008</v>
      </c>
      <c r="M23" s="181"/>
    </row>
    <row r="24" spans="1:13" ht="30" customHeight="1">
      <c r="A24" s="365">
        <v>42249</v>
      </c>
      <c r="B24" s="181">
        <v>2617</v>
      </c>
      <c r="C24" s="181">
        <v>1125280</v>
      </c>
      <c r="D24" s="181">
        <f t="shared" si="6"/>
        <v>48408.800000000003</v>
      </c>
      <c r="E24" s="181">
        <f t="shared" si="7"/>
        <v>17182979.130000003</v>
      </c>
      <c r="F24" s="181"/>
      <c r="G24" s="181">
        <f>C24+(C23+C22+C21+C20+C19+C18+C17+C16+C15+C14+C13+C12+C11+C10+C9+C8+C7)*0.2</f>
        <v>4336819.8259999994</v>
      </c>
      <c r="H24" s="294">
        <f t="shared" si="3"/>
        <v>897951.20000000007</v>
      </c>
      <c r="I24" s="181">
        <f>2363399</f>
        <v>2363399</v>
      </c>
      <c r="J24" s="457">
        <f t="shared" si="5"/>
        <v>8785372</v>
      </c>
      <c r="K24" s="294">
        <f t="shared" si="4"/>
        <v>3501435.7040000008</v>
      </c>
      <c r="L24" s="181">
        <f t="shared" si="1"/>
        <v>8397607.1300000027</v>
      </c>
      <c r="M24" s="365" t="s">
        <v>1192</v>
      </c>
    </row>
    <row r="25" spans="1:13" ht="30" customHeight="1">
      <c r="A25" s="365">
        <v>42278</v>
      </c>
      <c r="B25" s="181">
        <v>2943</v>
      </c>
      <c r="C25" s="181">
        <v>1271270</v>
      </c>
      <c r="D25" s="181">
        <f t="shared" si="6"/>
        <v>51351.8</v>
      </c>
      <c r="E25" s="181">
        <f t="shared" si="7"/>
        <v>18454249.130000003</v>
      </c>
      <c r="F25" s="181"/>
      <c r="G25" s="181">
        <f>C25+(C24+C23+C22+C21+C20+C19+C18+C17+C16+C15+C14+C13+C12+C11+C10+C9+C8+C7)*0.2</f>
        <v>4707865.8259999994</v>
      </c>
      <c r="H25" s="294">
        <f t="shared" si="3"/>
        <v>559351.6</v>
      </c>
      <c r="I25" s="181">
        <v>1000000</v>
      </c>
      <c r="J25" s="457">
        <f t="shared" si="5"/>
        <v>9785372</v>
      </c>
      <c r="K25" s="294">
        <f t="shared" si="4"/>
        <v>3060787.3040000009</v>
      </c>
      <c r="L25" s="181">
        <f t="shared" si="1"/>
        <v>8668877.1300000027</v>
      </c>
      <c r="M25" s="181"/>
    </row>
    <row r="26" spans="1:13" ht="30" customHeight="1">
      <c r="A26" s="405" t="s">
        <v>787</v>
      </c>
      <c r="B26" s="181"/>
      <c r="C26" s="181">
        <v>-147710</v>
      </c>
      <c r="D26" s="181">
        <f t="shared" si="6"/>
        <v>51351.8</v>
      </c>
      <c r="E26" s="181">
        <f t="shared" si="7"/>
        <v>18306539.130000003</v>
      </c>
      <c r="F26" s="181"/>
      <c r="G26" s="181">
        <f>C26+(C25+C24+C23+C22+C21+C20+C19+C18+C17+C16+C15+C14+C13+C12+C11+C10+C9+C8+C7)*0.2</f>
        <v>3543139.8259999999</v>
      </c>
      <c r="H26" s="294">
        <f t="shared" si="3"/>
        <v>900224</v>
      </c>
      <c r="I26" s="181"/>
      <c r="J26" s="457">
        <f t="shared" si="5"/>
        <v>9785372</v>
      </c>
      <c r="K26" s="294">
        <f t="shared" si="4"/>
        <v>3961011.3040000009</v>
      </c>
      <c r="L26" s="181">
        <f t="shared" si="1"/>
        <v>8521167.1300000027</v>
      </c>
      <c r="M26" s="181"/>
    </row>
    <row r="27" spans="1:13" ht="30" customHeight="1">
      <c r="A27" s="405" t="s">
        <v>789</v>
      </c>
      <c r="B27" s="181"/>
      <c r="C27" s="181">
        <v>-178145.8</v>
      </c>
      <c r="D27" s="181">
        <f t="shared" si="6"/>
        <v>51351.8</v>
      </c>
      <c r="E27" s="181">
        <f t="shared" si="7"/>
        <v>18128393.330000002</v>
      </c>
      <c r="F27" s="181"/>
      <c r="G27" s="181">
        <f>C27+(C26+C25+C24+C23+C22+C21+C20+C19+C18+C17+C16+C15+C14+C13+C12+C11+C10+C9+C8+C7)*0.2</f>
        <v>3483162.0260000001</v>
      </c>
      <c r="H27" s="294">
        <f t="shared" si="3"/>
        <v>1017016</v>
      </c>
      <c r="I27" s="181"/>
      <c r="J27" s="457">
        <f t="shared" si="5"/>
        <v>9785372</v>
      </c>
      <c r="K27" s="294">
        <f t="shared" si="4"/>
        <v>4978027.3040000014</v>
      </c>
      <c r="L27" s="181">
        <f t="shared" si="1"/>
        <v>8343021.3300000019</v>
      </c>
      <c r="M27" s="181"/>
    </row>
    <row r="28" spans="1:13" ht="30" customHeight="1">
      <c r="A28" s="405" t="s">
        <v>1193</v>
      </c>
      <c r="B28" s="181"/>
      <c r="C28" s="181">
        <v>-89958.5</v>
      </c>
      <c r="D28" s="181">
        <f t="shared" si="6"/>
        <v>51351.8</v>
      </c>
      <c r="E28" s="181">
        <f t="shared" si="7"/>
        <v>18038434.830000002</v>
      </c>
      <c r="F28" s="181"/>
      <c r="G28" s="181">
        <f>C28+(C27+C26+C25+C24+C23+C22+C21+C20+C19+C18+C17+C16+C15+C14+C13+C12+C11+C10+C9+C8+C7)*0.2</f>
        <v>3535720.1659999997</v>
      </c>
      <c r="H28" s="294">
        <f t="shared" si="3"/>
        <v>-118168</v>
      </c>
      <c r="I28" s="181"/>
      <c r="J28" s="457">
        <f t="shared" si="5"/>
        <v>9785372</v>
      </c>
      <c r="K28" s="294">
        <f t="shared" si="4"/>
        <v>4859859.3040000014</v>
      </c>
      <c r="L28" s="181">
        <f t="shared" si="1"/>
        <v>8253062.8300000019</v>
      </c>
      <c r="M28" s="181"/>
    </row>
    <row r="29" spans="1:13" ht="30" customHeight="1">
      <c r="A29" s="365">
        <v>42309</v>
      </c>
      <c r="B29" s="181">
        <v>5462.5</v>
      </c>
      <c r="C29" s="181">
        <v>2059030</v>
      </c>
      <c r="D29" s="181">
        <f t="shared" si="6"/>
        <v>56814.3</v>
      </c>
      <c r="E29" s="181">
        <f t="shared" si="7"/>
        <v>20097464.830000002</v>
      </c>
      <c r="F29" s="181"/>
      <c r="G29" s="181">
        <f>C29+(C28+C27+C26+C25+C24+C23+C22+C21+C20+C19+C18+C17+C16+C15+C14+C13+C12+C11+C10+C9+C8+C7)*0.2</f>
        <v>5666716.966</v>
      </c>
      <c r="H29" s="294">
        <f t="shared" si="3"/>
        <v>-142516.63999999998</v>
      </c>
      <c r="I29" s="181"/>
      <c r="J29" s="457">
        <f t="shared" si="5"/>
        <v>9785372</v>
      </c>
      <c r="K29" s="294">
        <f t="shared" si="4"/>
        <v>4717342.6640000017</v>
      </c>
      <c r="L29" s="181">
        <f t="shared" si="1"/>
        <v>10312092.830000002</v>
      </c>
      <c r="M29" s="487" t="s">
        <v>1194</v>
      </c>
    </row>
    <row r="30" spans="1:13" ht="30" customHeight="1">
      <c r="A30" s="365">
        <v>42339</v>
      </c>
      <c r="B30" s="181">
        <v>5994</v>
      </c>
      <c r="C30" s="181">
        <v>2164417.5</v>
      </c>
      <c r="D30" s="181">
        <f t="shared" si="6"/>
        <v>62808.3</v>
      </c>
      <c r="E30" s="181">
        <f t="shared" si="7"/>
        <v>22261882.330000002</v>
      </c>
      <c r="F30" s="181"/>
      <c r="G30" s="181">
        <f t="shared" ref="G30:G41" si="8">E29*0.2+C30</f>
        <v>6183910.466</v>
      </c>
      <c r="H30" s="294">
        <f t="shared" si="3"/>
        <v>-71966.8</v>
      </c>
      <c r="I30" s="181">
        <v>2158430</v>
      </c>
      <c r="J30" s="457">
        <f t="shared" si="5"/>
        <v>11943802</v>
      </c>
      <c r="K30" s="294">
        <f t="shared" si="4"/>
        <v>2486945.8640000019</v>
      </c>
      <c r="L30" s="181">
        <f t="shared" si="1"/>
        <v>10318080.330000002</v>
      </c>
      <c r="M30" s="181"/>
    </row>
    <row r="31" spans="1:13" ht="30" customHeight="1">
      <c r="A31" s="433" t="s">
        <v>1195</v>
      </c>
      <c r="B31" s="181"/>
      <c r="C31" s="181">
        <v>-244060</v>
      </c>
      <c r="D31" s="181">
        <f t="shared" si="6"/>
        <v>62808.3</v>
      </c>
      <c r="E31" s="181">
        <f t="shared" si="7"/>
        <v>22017822.330000002</v>
      </c>
      <c r="F31" s="181"/>
      <c r="G31" s="181">
        <f t="shared" si="8"/>
        <v>4208316.4660000009</v>
      </c>
      <c r="H31" s="294">
        <f t="shared" si="3"/>
        <v>1647224</v>
      </c>
      <c r="I31" s="181"/>
      <c r="J31" s="457">
        <f t="shared" si="5"/>
        <v>11943802</v>
      </c>
      <c r="K31" s="294">
        <f t="shared" si="4"/>
        <v>4134169.8640000019</v>
      </c>
      <c r="L31" s="181">
        <f t="shared" si="1"/>
        <v>10074020.330000002</v>
      </c>
      <c r="M31" s="181" t="s">
        <v>1196</v>
      </c>
    </row>
    <row r="32" spans="1:13" ht="30" customHeight="1">
      <c r="A32" s="365">
        <v>42370</v>
      </c>
      <c r="B32" s="181">
        <v>4833</v>
      </c>
      <c r="C32" s="181">
        <v>1776920</v>
      </c>
      <c r="D32" s="181">
        <f t="shared" si="6"/>
        <v>67641.3</v>
      </c>
      <c r="E32" s="181">
        <f t="shared" si="7"/>
        <v>23794742.330000002</v>
      </c>
      <c r="F32" s="181"/>
      <c r="G32" s="181">
        <f t="shared" si="8"/>
        <v>6180484.4660000009</v>
      </c>
      <c r="H32" s="294">
        <f t="shared" si="3"/>
        <v>1731534</v>
      </c>
      <c r="I32" s="181"/>
      <c r="J32" s="457">
        <f t="shared" si="5"/>
        <v>11943802</v>
      </c>
      <c r="K32" s="294">
        <f t="shared" si="4"/>
        <v>5865703.8640000019</v>
      </c>
      <c r="L32" s="294">
        <f t="shared" si="1"/>
        <v>11850940.330000002</v>
      </c>
      <c r="M32" s="181"/>
    </row>
    <row r="33" spans="1:13" ht="30" customHeight="1">
      <c r="A33" s="365">
        <v>42036</v>
      </c>
      <c r="B33" s="181">
        <v>330.5</v>
      </c>
      <c r="C33" s="181">
        <v>115805</v>
      </c>
      <c r="D33" s="181">
        <f t="shared" si="6"/>
        <v>67971.8</v>
      </c>
      <c r="E33" s="181">
        <f t="shared" si="7"/>
        <v>23910547.330000002</v>
      </c>
      <c r="F33" s="181"/>
      <c r="G33" s="181">
        <f t="shared" si="8"/>
        <v>4874753.4660000009</v>
      </c>
      <c r="H33" s="294">
        <f t="shared" si="3"/>
        <v>-195248</v>
      </c>
      <c r="I33" s="181">
        <v>2712712</v>
      </c>
      <c r="J33" s="457">
        <f t="shared" si="5"/>
        <v>14656514</v>
      </c>
      <c r="K33" s="294">
        <f t="shared" si="4"/>
        <v>2957743.8640000019</v>
      </c>
      <c r="L33" s="294">
        <f t="shared" si="1"/>
        <v>9254033.3300000019</v>
      </c>
      <c r="M33" s="181"/>
    </row>
    <row r="34" spans="1:13" ht="30" customHeight="1">
      <c r="A34" s="365">
        <v>42430</v>
      </c>
      <c r="B34" s="181">
        <v>3610</v>
      </c>
      <c r="C34" s="181">
        <v>1235015</v>
      </c>
      <c r="D34" s="181">
        <f t="shared" si="6"/>
        <v>71581.8</v>
      </c>
      <c r="E34" s="181">
        <f t="shared" si="7"/>
        <v>25145562.330000002</v>
      </c>
      <c r="F34" s="181"/>
      <c r="G34" s="181">
        <f t="shared" si="8"/>
        <v>6017124.4660000009</v>
      </c>
      <c r="H34" s="294">
        <f t="shared" si="3"/>
        <v>1421536</v>
      </c>
      <c r="I34" s="181"/>
      <c r="J34" s="457">
        <f t="shared" si="5"/>
        <v>14656514</v>
      </c>
      <c r="K34" s="294">
        <f t="shared" si="4"/>
        <v>4379279.8640000019</v>
      </c>
      <c r="L34" s="294">
        <f t="shared" si="1"/>
        <v>10489048.330000002</v>
      </c>
      <c r="M34" s="181"/>
    </row>
    <row r="35" spans="1:13" ht="30" customHeight="1">
      <c r="A35" s="365">
        <v>42461</v>
      </c>
      <c r="B35" s="181">
        <v>4908.5</v>
      </c>
      <c r="C35" s="181">
        <v>1609010</v>
      </c>
      <c r="D35" s="181">
        <f t="shared" si="6"/>
        <v>76490.3</v>
      </c>
      <c r="E35" s="181">
        <f t="shared" si="7"/>
        <v>26754572.330000002</v>
      </c>
      <c r="F35" s="181"/>
      <c r="G35" s="181">
        <f t="shared" si="8"/>
        <v>6638122.4660000009</v>
      </c>
      <c r="H35" s="294">
        <f t="shared" si="3"/>
        <v>92644</v>
      </c>
      <c r="I35" s="181"/>
      <c r="J35" s="457">
        <f t="shared" si="5"/>
        <v>14656514</v>
      </c>
      <c r="K35" s="294">
        <f t="shared" si="4"/>
        <v>4471923.8640000019</v>
      </c>
      <c r="L35" s="294">
        <f t="shared" si="1"/>
        <v>12098058.330000002</v>
      </c>
      <c r="M35" s="181"/>
    </row>
    <row r="36" spans="1:13" ht="30" customHeight="1">
      <c r="A36" s="365">
        <v>42491</v>
      </c>
      <c r="B36" s="181">
        <v>4109.5</v>
      </c>
      <c r="C36" s="181">
        <v>1277217.5</v>
      </c>
      <c r="D36" s="181">
        <f t="shared" si="6"/>
        <v>80599.8</v>
      </c>
      <c r="E36" s="181">
        <f t="shared" si="7"/>
        <v>28031789.830000002</v>
      </c>
      <c r="F36" s="181"/>
      <c r="G36" s="181">
        <f t="shared" si="8"/>
        <v>6628131.9660000009</v>
      </c>
      <c r="H36" s="294">
        <f t="shared" si="3"/>
        <v>988012</v>
      </c>
      <c r="I36" s="181">
        <v>500000</v>
      </c>
      <c r="J36" s="457">
        <f t="shared" si="5"/>
        <v>15156514</v>
      </c>
      <c r="K36" s="294">
        <f t="shared" si="4"/>
        <v>4959935.8640000019</v>
      </c>
      <c r="L36" s="294">
        <f t="shared" si="1"/>
        <v>12875275.830000002</v>
      </c>
      <c r="M36" s="181" t="s">
        <v>1197</v>
      </c>
    </row>
    <row r="37" spans="1:13" ht="30" customHeight="1">
      <c r="A37" s="365">
        <v>42522</v>
      </c>
      <c r="B37" s="181">
        <v>4138.5</v>
      </c>
      <c r="C37" s="181">
        <v>1304792.5</v>
      </c>
      <c r="D37" s="181">
        <f t="shared" si="6"/>
        <v>84738.3</v>
      </c>
      <c r="E37" s="181">
        <f t="shared" si="7"/>
        <v>29336582.330000002</v>
      </c>
      <c r="F37" s="181"/>
      <c r="G37" s="181">
        <f t="shared" si="8"/>
        <v>6911150.4660000009</v>
      </c>
      <c r="H37" s="294">
        <f t="shared" si="3"/>
        <v>1287208</v>
      </c>
      <c r="I37" s="181"/>
      <c r="J37" s="457">
        <f t="shared" si="5"/>
        <v>15156514</v>
      </c>
      <c r="K37" s="294">
        <f t="shared" si="4"/>
        <v>6247143.8640000019</v>
      </c>
      <c r="L37" s="294">
        <f t="shared" si="1"/>
        <v>14180068.330000002</v>
      </c>
      <c r="M37" s="181" t="s">
        <v>1198</v>
      </c>
    </row>
    <row r="38" spans="1:13" ht="30" customHeight="1">
      <c r="A38" s="365">
        <v>42552</v>
      </c>
      <c r="B38" s="181">
        <v>4343</v>
      </c>
      <c r="C38" s="181">
        <v>1395927</v>
      </c>
      <c r="D38" s="181">
        <f t="shared" si="6"/>
        <v>89081.3</v>
      </c>
      <c r="E38" s="181">
        <f t="shared" si="7"/>
        <v>30732509.330000002</v>
      </c>
      <c r="F38" s="181"/>
      <c r="G38" s="181">
        <f t="shared" si="8"/>
        <v>7263243.4660000009</v>
      </c>
      <c r="H38" s="294">
        <f t="shared" si="3"/>
        <v>1021774</v>
      </c>
      <c r="I38" s="181">
        <v>2501942</v>
      </c>
      <c r="J38" s="457">
        <f t="shared" si="5"/>
        <v>17658456</v>
      </c>
      <c r="K38" s="294">
        <f t="shared" si="4"/>
        <v>4766975.8640000019</v>
      </c>
      <c r="L38" s="294">
        <f t="shared" si="1"/>
        <v>13074053.330000002</v>
      </c>
      <c r="M38" s="181" t="s">
        <v>1199</v>
      </c>
    </row>
    <row r="39" spans="1:13" ht="30" customHeight="1">
      <c r="A39" s="365">
        <v>42583</v>
      </c>
      <c r="B39" s="181">
        <v>3645.5</v>
      </c>
      <c r="C39" s="181">
        <v>1179531</v>
      </c>
      <c r="D39" s="181">
        <f t="shared" si="6"/>
        <v>92726.8</v>
      </c>
      <c r="E39" s="181">
        <f t="shared" si="7"/>
        <v>31912040.330000002</v>
      </c>
      <c r="F39" s="181"/>
      <c r="G39" s="181">
        <f t="shared" si="8"/>
        <v>7326032.8660000004</v>
      </c>
      <c r="H39" s="294">
        <f t="shared" si="3"/>
        <v>1043834</v>
      </c>
      <c r="I39" s="181">
        <f>1242901.61+2268816</f>
        <v>3511717.6100000003</v>
      </c>
      <c r="J39" s="457">
        <f t="shared" si="5"/>
        <v>21170173.609999999</v>
      </c>
      <c r="K39" s="294">
        <f t="shared" si="4"/>
        <v>2299092.2540000016</v>
      </c>
      <c r="L39" s="294">
        <f t="shared" si="1"/>
        <v>10741866.720000003</v>
      </c>
      <c r="M39" s="181" t="s">
        <v>1200</v>
      </c>
    </row>
    <row r="40" spans="1:13" ht="30" customHeight="1">
      <c r="A40" s="365">
        <v>42614</v>
      </c>
      <c r="B40" s="181">
        <v>1846.5</v>
      </c>
      <c r="C40" s="181">
        <v>614184.5</v>
      </c>
      <c r="D40" s="181">
        <f t="shared" si="6"/>
        <v>94573.3</v>
      </c>
      <c r="E40" s="181">
        <f t="shared" si="7"/>
        <v>32526224.830000002</v>
      </c>
      <c r="F40" s="181"/>
      <c r="G40" s="181">
        <f t="shared" si="8"/>
        <v>6996592.5660000006</v>
      </c>
      <c r="H40" s="294">
        <f t="shared" si="3"/>
        <v>1116741.6000000001</v>
      </c>
      <c r="I40" s="181">
        <v>500000</v>
      </c>
      <c r="J40" s="457">
        <f t="shared" si="5"/>
        <v>21670173.609999999</v>
      </c>
      <c r="K40" s="294">
        <f t="shared" si="4"/>
        <v>2915833.8540000017</v>
      </c>
      <c r="L40" s="294">
        <f t="shared" si="1"/>
        <v>10856051.220000003</v>
      </c>
      <c r="M40" s="181" t="s">
        <v>1201</v>
      </c>
    </row>
    <row r="41" spans="1:13" ht="30" customHeight="1">
      <c r="A41" s="365">
        <v>42644</v>
      </c>
      <c r="B41" s="181">
        <v>1538.5</v>
      </c>
      <c r="C41" s="181">
        <v>512150</v>
      </c>
      <c r="D41" s="181">
        <f t="shared" si="6"/>
        <v>96111.8</v>
      </c>
      <c r="E41" s="181">
        <f t="shared" si="7"/>
        <v>33038374.830000002</v>
      </c>
      <c r="F41" s="181"/>
      <c r="G41" s="181">
        <f t="shared" si="8"/>
        <v>7017394.9660000009</v>
      </c>
      <c r="H41" s="294">
        <f t="shared" si="3"/>
        <v>943624.8</v>
      </c>
      <c r="I41" s="181">
        <v>521774</v>
      </c>
      <c r="J41" s="457">
        <f t="shared" si="5"/>
        <v>22191947.609999999</v>
      </c>
      <c r="K41" s="294">
        <f t="shared" si="4"/>
        <v>3337684.654000002</v>
      </c>
      <c r="L41" s="294">
        <f t="shared" si="1"/>
        <v>10846427.220000003</v>
      </c>
      <c r="M41" s="181" t="s">
        <v>1202</v>
      </c>
    </row>
    <row r="42" spans="1:13" ht="30" customHeight="1">
      <c r="A42" s="365">
        <v>42675</v>
      </c>
      <c r="B42" s="181">
        <v>573</v>
      </c>
      <c r="C42" s="181">
        <v>205541.5</v>
      </c>
      <c r="D42" s="181">
        <f t="shared" si="6"/>
        <v>96684.800000000003</v>
      </c>
      <c r="E42" s="181">
        <f t="shared" si="7"/>
        <v>33243916.330000002</v>
      </c>
      <c r="F42" s="181"/>
      <c r="G42" s="181">
        <f>E40*0.2*5/6+C42</f>
        <v>5626578.9716666676</v>
      </c>
      <c r="H42" s="294">
        <f t="shared" si="3"/>
        <v>491347.60000000003</v>
      </c>
      <c r="I42" s="181">
        <v>1043834</v>
      </c>
      <c r="J42" s="457">
        <f t="shared" si="5"/>
        <v>23235781.609999999</v>
      </c>
      <c r="K42" s="294">
        <f t="shared" si="4"/>
        <v>2785198.2540000021</v>
      </c>
      <c r="L42" s="294">
        <f t="shared" si="1"/>
        <v>10008134.720000003</v>
      </c>
      <c r="M42" s="1266" t="s">
        <v>1203</v>
      </c>
    </row>
    <row r="43" spans="1:13" ht="30" customHeight="1">
      <c r="A43" s="365">
        <v>42705</v>
      </c>
      <c r="B43" s="181">
        <v>516</v>
      </c>
      <c r="C43" s="181">
        <v>193161.5</v>
      </c>
      <c r="D43" s="181">
        <f t="shared" si="6"/>
        <v>97200.8</v>
      </c>
      <c r="E43" s="181">
        <f t="shared" si="7"/>
        <v>33437077.830000002</v>
      </c>
      <c r="F43" s="181"/>
      <c r="G43" s="181">
        <f>E40*0.2*4/6+C43</f>
        <v>4529991.4773333343</v>
      </c>
      <c r="H43" s="294">
        <f>C41+E40*0.2*1/6</f>
        <v>1596357.4943333336</v>
      </c>
      <c r="I43" s="181">
        <f>1116741.6+944007.3</f>
        <v>2060748.9000000001</v>
      </c>
      <c r="J43" s="457">
        <f t="shared" si="5"/>
        <v>25296530.509999998</v>
      </c>
      <c r="K43" s="294">
        <f t="shared" si="4"/>
        <v>2320806.8483333355</v>
      </c>
      <c r="L43" s="294">
        <f t="shared" si="1"/>
        <v>8140547.320000004</v>
      </c>
      <c r="M43" s="487" t="s">
        <v>1204</v>
      </c>
    </row>
    <row r="44" spans="1:13" ht="30" customHeight="1">
      <c r="A44" s="365">
        <v>42736</v>
      </c>
      <c r="B44" s="181">
        <v>5</v>
      </c>
      <c r="C44" s="181">
        <v>1625</v>
      </c>
      <c r="D44" s="181">
        <f t="shared" si="6"/>
        <v>97205.8</v>
      </c>
      <c r="E44" s="181">
        <f t="shared" si="7"/>
        <v>33438702.830000002</v>
      </c>
      <c r="F44" s="181"/>
      <c r="G44" s="181">
        <f>E40*0.2*3/6+C44</f>
        <v>3254247.4830000005</v>
      </c>
      <c r="H44" s="294">
        <f>C42+E40*0.2*1/6</f>
        <v>1289748.9943333336</v>
      </c>
      <c r="I44" s="181">
        <v>899309.6</v>
      </c>
      <c r="J44" s="457">
        <f t="shared" si="5"/>
        <v>26195840.109999999</v>
      </c>
      <c r="K44" s="294">
        <f t="shared" si="4"/>
        <v>2711246.2426666687</v>
      </c>
      <c r="L44" s="294">
        <f t="shared" si="1"/>
        <v>7242862.7200000025</v>
      </c>
      <c r="M44" s="180" t="s">
        <v>1205</v>
      </c>
    </row>
    <row r="45" spans="1:13" ht="30" customHeight="1">
      <c r="A45" s="365">
        <v>42767</v>
      </c>
      <c r="B45" s="181">
        <v>8</v>
      </c>
      <c r="C45" s="181">
        <v>2520</v>
      </c>
      <c r="D45" s="181">
        <f t="shared" si="6"/>
        <v>97213.8</v>
      </c>
      <c r="E45" s="181">
        <f t="shared" si="7"/>
        <v>33441222.830000002</v>
      </c>
      <c r="F45" s="181"/>
      <c r="G45" s="181">
        <f>E40*0.2*2/6+C45</f>
        <v>2170934.9886666671</v>
      </c>
      <c r="H45" s="294">
        <f>C43+E40*0.2*1/6</f>
        <v>1277368.9943333336</v>
      </c>
      <c r="I45" s="181"/>
      <c r="J45" s="457">
        <f t="shared" si="5"/>
        <v>26195840.109999999</v>
      </c>
      <c r="K45" s="294">
        <f t="shared" si="4"/>
        <v>3988615.2370000025</v>
      </c>
      <c r="L45" s="294">
        <f t="shared" si="1"/>
        <v>7245382.7200000025</v>
      </c>
      <c r="M45" s="180" t="s">
        <v>1206</v>
      </c>
    </row>
    <row r="46" spans="1:13" ht="30" customHeight="1">
      <c r="A46" s="365">
        <v>42795</v>
      </c>
      <c r="B46" s="181">
        <v>784</v>
      </c>
      <c r="C46" s="284">
        <v>237855</v>
      </c>
      <c r="D46" s="181">
        <f t="shared" si="6"/>
        <v>97997.8</v>
      </c>
      <c r="E46" s="181">
        <f t="shared" si="7"/>
        <v>33679077.829999998</v>
      </c>
      <c r="F46" s="181"/>
      <c r="G46" s="181">
        <f>E40*0.2*1/6+C46</f>
        <v>1322062.4943333336</v>
      </c>
      <c r="H46" s="294">
        <f>C44+E40*0.2*1/6</f>
        <v>1085832.4943333336</v>
      </c>
      <c r="I46" s="181">
        <f>100000+201809.5</f>
        <v>301809.5</v>
      </c>
      <c r="J46" s="457">
        <f t="shared" si="5"/>
        <v>26497649.609999999</v>
      </c>
      <c r="K46" s="294">
        <f t="shared" si="4"/>
        <v>4772638.2313333359</v>
      </c>
      <c r="L46" s="294">
        <f t="shared" si="1"/>
        <v>7181428.2199999988</v>
      </c>
      <c r="M46" s="181"/>
    </row>
    <row r="47" spans="1:13" ht="30" customHeight="1">
      <c r="A47" s="365">
        <v>42826</v>
      </c>
      <c r="B47" s="181">
        <v>68</v>
      </c>
      <c r="C47" s="181">
        <v>20075</v>
      </c>
      <c r="D47" s="181">
        <f t="shared" si="6"/>
        <v>98065.8</v>
      </c>
      <c r="E47" s="181">
        <f t="shared" si="7"/>
        <v>33699152.829999998</v>
      </c>
      <c r="F47" s="181"/>
      <c r="G47" s="181">
        <v>0</v>
      </c>
      <c r="H47" s="294">
        <f>C45+E40*0.2*1/6</f>
        <v>1086727.4943333336</v>
      </c>
      <c r="I47" s="181"/>
      <c r="J47" s="457">
        <f t="shared" si="5"/>
        <v>26497649.609999999</v>
      </c>
      <c r="K47" s="294">
        <f t="shared" si="4"/>
        <v>5859365.7256666692</v>
      </c>
      <c r="L47" s="294">
        <f t="shared" si="1"/>
        <v>7201503.2199999988</v>
      </c>
      <c r="M47" s="180" t="s">
        <v>1207</v>
      </c>
    </row>
    <row r="48" spans="1:13" ht="30" customHeight="1">
      <c r="A48" s="365">
        <v>42856</v>
      </c>
      <c r="B48" s="181">
        <v>0</v>
      </c>
      <c r="C48" s="181">
        <v>0</v>
      </c>
      <c r="D48" s="181">
        <f t="shared" si="6"/>
        <v>98065.8</v>
      </c>
      <c r="E48" s="181">
        <f t="shared" si="7"/>
        <v>33699152.829999998</v>
      </c>
      <c r="F48" s="181"/>
      <c r="G48" s="181">
        <v>0</v>
      </c>
      <c r="H48" s="294">
        <f>C46+E40*0.2*1/6</f>
        <v>1322062.4943333336</v>
      </c>
      <c r="I48" s="181">
        <f>500000+500000</f>
        <v>1000000</v>
      </c>
      <c r="J48" s="457">
        <f t="shared" si="5"/>
        <v>27497649.609999999</v>
      </c>
      <c r="K48" s="294">
        <f t="shared" si="4"/>
        <v>6181428.2200000025</v>
      </c>
      <c r="L48" s="294">
        <f t="shared" si="1"/>
        <v>6201503.2199999988</v>
      </c>
      <c r="M48" s="180" t="s">
        <v>1208</v>
      </c>
    </row>
    <row r="49" spans="1:13" ht="30" customHeight="1">
      <c r="A49" s="365">
        <v>42887</v>
      </c>
      <c r="B49" s="181">
        <v>46</v>
      </c>
      <c r="C49" s="181">
        <v>12650</v>
      </c>
      <c r="D49" s="181">
        <f t="shared" si="6"/>
        <v>98111.8</v>
      </c>
      <c r="E49" s="181">
        <f t="shared" si="7"/>
        <v>33711802.829999998</v>
      </c>
      <c r="F49" s="181"/>
      <c r="G49" s="181">
        <f>C49</f>
        <v>12650</v>
      </c>
      <c r="H49" s="181">
        <f>C47</f>
        <v>20075</v>
      </c>
      <c r="I49" s="181">
        <v>508492.5</v>
      </c>
      <c r="J49" s="457">
        <f t="shared" si="5"/>
        <v>28006142.109999999</v>
      </c>
      <c r="K49" s="294">
        <f t="shared" si="4"/>
        <v>5693010.7200000025</v>
      </c>
      <c r="L49" s="294">
        <f t="shared" si="1"/>
        <v>5705660.7199999988</v>
      </c>
      <c r="M49" s="181" t="s">
        <v>1209</v>
      </c>
    </row>
    <row r="50" spans="1:13" ht="30" customHeight="1">
      <c r="A50" s="365">
        <v>42917</v>
      </c>
      <c r="B50" s="181">
        <v>43</v>
      </c>
      <c r="C50" s="181">
        <v>13875</v>
      </c>
      <c r="D50" s="181">
        <f t="shared" si="6"/>
        <v>98154.8</v>
      </c>
      <c r="E50" s="181">
        <f t="shared" si="7"/>
        <v>33725677.829999998</v>
      </c>
      <c r="F50" s="181"/>
      <c r="G50" s="181">
        <f>C50</f>
        <v>13875</v>
      </c>
      <c r="H50" s="181">
        <f>C48</f>
        <v>0</v>
      </c>
      <c r="I50" s="181"/>
      <c r="J50" s="457">
        <f t="shared" si="5"/>
        <v>28006142.109999999</v>
      </c>
      <c r="K50" s="294">
        <f t="shared" si="4"/>
        <v>5693010.7200000025</v>
      </c>
      <c r="L50" s="294">
        <f t="shared" si="1"/>
        <v>5719535.7199999988</v>
      </c>
      <c r="M50" s="181" t="s">
        <v>1210</v>
      </c>
    </row>
    <row r="51" spans="1:13" ht="30" customHeight="1">
      <c r="A51" s="365">
        <v>42948</v>
      </c>
      <c r="B51" s="181">
        <v>97</v>
      </c>
      <c r="C51" s="181">
        <v>30555</v>
      </c>
      <c r="D51" s="181">
        <f t="shared" si="6"/>
        <v>98251.8</v>
      </c>
      <c r="E51" s="181">
        <f t="shared" si="7"/>
        <v>33756232.829999998</v>
      </c>
      <c r="F51" s="181"/>
      <c r="G51" s="181">
        <f>C51</f>
        <v>30555</v>
      </c>
      <c r="H51" s="181">
        <f>C49</f>
        <v>12650</v>
      </c>
      <c r="I51" s="181">
        <v>1016991.3</v>
      </c>
      <c r="J51" s="457">
        <f t="shared" si="5"/>
        <v>29023133.41</v>
      </c>
      <c r="K51" s="294">
        <f t="shared" si="4"/>
        <v>4688669.4200000027</v>
      </c>
      <c r="L51" s="294">
        <f t="shared" si="1"/>
        <v>4733099.4199999981</v>
      </c>
      <c r="M51" s="181"/>
    </row>
    <row r="52" spans="1:13" ht="30" customHeight="1">
      <c r="A52" s="365">
        <v>42979</v>
      </c>
      <c r="B52" s="181"/>
      <c r="C52" s="181"/>
      <c r="D52" s="181"/>
      <c r="E52" s="181"/>
      <c r="F52" s="181"/>
      <c r="G52" s="181"/>
      <c r="H52" s="181">
        <f>C50</f>
        <v>13875</v>
      </c>
      <c r="I52" s="181"/>
      <c r="J52" s="181"/>
      <c r="K52" s="294">
        <f t="shared" si="4"/>
        <v>4702544.4200000027</v>
      </c>
      <c r="L52" s="181"/>
      <c r="M52" s="181"/>
    </row>
    <row r="53" spans="1:13" ht="30" customHeight="1">
      <c r="A53" s="365"/>
      <c r="B53" s="181"/>
      <c r="C53" s="181"/>
      <c r="D53" s="181"/>
      <c r="E53" s="181"/>
      <c r="F53" s="181"/>
      <c r="G53" s="181"/>
      <c r="H53" s="181"/>
      <c r="I53" s="181"/>
      <c r="J53" s="181"/>
      <c r="K53" s="294"/>
      <c r="L53" s="181"/>
      <c r="M53" s="181"/>
    </row>
    <row r="54" spans="1:13" ht="30" customHeight="1">
      <c r="A54" s="365"/>
      <c r="B54" s="181"/>
      <c r="C54" s="181"/>
      <c r="D54" s="181"/>
      <c r="E54" s="181"/>
      <c r="F54" s="181"/>
      <c r="G54" s="181"/>
      <c r="H54" s="181"/>
      <c r="I54" s="181"/>
      <c r="J54" s="181"/>
      <c r="K54" s="294"/>
      <c r="L54" s="181"/>
      <c r="M54" s="181"/>
    </row>
    <row r="55" spans="1:13" ht="30" customHeight="1">
      <c r="A55" s="365"/>
      <c r="B55" s="181"/>
      <c r="C55" s="181"/>
      <c r="D55" s="181"/>
      <c r="E55" s="181"/>
      <c r="F55" s="181"/>
      <c r="G55" s="181"/>
      <c r="H55" s="181"/>
      <c r="I55" s="181"/>
      <c r="J55" s="181"/>
      <c r="K55" s="294"/>
      <c r="L55" s="181"/>
      <c r="M55" s="181"/>
    </row>
    <row r="56" spans="1:13" ht="30" customHeight="1">
      <c r="A56" s="365"/>
      <c r="B56" s="181"/>
      <c r="C56" s="181"/>
      <c r="D56" s="181"/>
      <c r="E56" s="181"/>
      <c r="F56" s="181"/>
      <c r="G56" s="181"/>
      <c r="H56" s="181"/>
      <c r="I56" s="181"/>
      <c r="J56" s="181"/>
      <c r="K56" s="181"/>
      <c r="L56" s="181"/>
      <c r="M56" s="181"/>
    </row>
    <row r="63" spans="1:13" ht="15">
      <c r="E63" s="1093"/>
      <c r="F63" s="7"/>
      <c r="G63" s="7"/>
      <c r="H63" s="1263"/>
      <c r="I63" s="1264"/>
      <c r="J63" s="1093"/>
    </row>
    <row r="64" spans="1:13" ht="15">
      <c r="E64" s="1093"/>
      <c r="F64" s="1264"/>
      <c r="G64" s="1264"/>
      <c r="H64" s="1263"/>
      <c r="I64" s="1264"/>
      <c r="J64" s="1093"/>
    </row>
    <row r="65" spans="5:10" ht="15">
      <c r="E65" s="1093"/>
      <c r="F65" s="1093"/>
      <c r="G65" s="1093"/>
      <c r="H65" s="1267"/>
      <c r="I65" s="1093"/>
      <c r="J65" s="1093"/>
    </row>
    <row r="66" spans="5:10">
      <c r="E66" s="1093"/>
      <c r="F66" s="1093"/>
      <c r="G66" s="1093"/>
      <c r="H66" s="1093"/>
      <c r="I66" s="1093"/>
      <c r="J66" s="1093"/>
    </row>
    <row r="67" spans="5:10">
      <c r="E67" s="1093"/>
      <c r="F67" s="1093"/>
      <c r="G67" s="1093"/>
      <c r="H67" s="1093"/>
      <c r="I67" s="1093"/>
      <c r="J67" s="1093"/>
    </row>
    <row r="68" spans="5:10">
      <c r="E68" s="1093"/>
      <c r="F68" s="1093"/>
      <c r="G68" s="1093"/>
      <c r="H68" s="1093"/>
      <c r="I68" s="1093"/>
      <c r="J68" s="1093"/>
    </row>
  </sheetData>
  <mergeCells count="15">
    <mergeCell ref="B3:C3"/>
    <mergeCell ref="B4:D4"/>
    <mergeCell ref="E4:G4"/>
    <mergeCell ref="H4:J4"/>
    <mergeCell ref="K4:M4"/>
    <mergeCell ref="B5:E5"/>
    <mergeCell ref="F5:H5"/>
    <mergeCell ref="I5:L5"/>
    <mergeCell ref="C1:D1"/>
    <mergeCell ref="E1:G1"/>
    <mergeCell ref="I1:K1"/>
    <mergeCell ref="L1:M1"/>
    <mergeCell ref="B2:C2"/>
    <mergeCell ref="E2:G2"/>
    <mergeCell ref="H2:I2"/>
  </mergeCells>
  <phoneticPr fontId="84" type="noConversion"/>
  <pageMargins left="0.75" right="0.75" top="1" bottom="1" header="0.51" footer="0.51"/>
  <pageSetup paperSize="9" orientation="portrait" horizontalDpi="0" verticalDpi="0"/>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topLeftCell="A13" zoomScaleSheetLayoutView="100" workbookViewId="0">
      <selection activeCell="G23" sqref="G23"/>
    </sheetView>
  </sheetViews>
  <sheetFormatPr defaultColWidth="9" defaultRowHeight="14.25"/>
  <cols>
    <col min="1" max="1" width="14.25" customWidth="1"/>
    <col min="2" max="2" width="13.625" customWidth="1"/>
    <col min="3" max="3" width="13.125" customWidth="1"/>
    <col min="4" max="4" width="11.5" customWidth="1"/>
    <col min="5" max="5" width="14.625" customWidth="1"/>
    <col min="6" max="6" width="12.5" customWidth="1"/>
    <col min="7" max="7" width="13.375" customWidth="1"/>
    <col min="8" max="8" width="14.625" customWidth="1"/>
    <col min="9" max="9" width="12.75" customWidth="1"/>
    <col min="10" max="10" width="13.125" customWidth="1"/>
    <col min="11" max="12" width="13.25" customWidth="1"/>
    <col min="13" max="13" width="27.75" customWidth="1"/>
  </cols>
  <sheetData>
    <row r="1" spans="1:13" ht="39" customHeight="1">
      <c r="A1" s="1032" t="s">
        <v>1211</v>
      </c>
      <c r="B1" s="1216"/>
      <c r="C1" s="1811" t="s">
        <v>1212</v>
      </c>
      <c r="D1" s="1811"/>
      <c r="E1" s="1822"/>
      <c r="F1" s="1822"/>
      <c r="G1" s="1822"/>
      <c r="H1" s="531" t="s">
        <v>237</v>
      </c>
      <c r="I1" s="1664" t="s">
        <v>1213</v>
      </c>
      <c r="J1" s="1664"/>
      <c r="K1" s="1823" t="s">
        <v>1214</v>
      </c>
      <c r="L1" s="1823"/>
      <c r="M1" s="1823"/>
    </row>
    <row r="2" spans="1:13" ht="36" customHeight="1">
      <c r="A2" s="39" t="s">
        <v>240</v>
      </c>
      <c r="B2" s="1637" t="s">
        <v>1215</v>
      </c>
      <c r="C2" s="1637"/>
      <c r="D2" s="41" t="s">
        <v>242</v>
      </c>
      <c r="E2" s="1637"/>
      <c r="F2" s="1637"/>
      <c r="G2" s="1637"/>
      <c r="H2" s="1664"/>
      <c r="I2" s="1664"/>
      <c r="J2" s="41" t="s">
        <v>243</v>
      </c>
      <c r="K2" s="41"/>
      <c r="L2" s="103" t="s">
        <v>245</v>
      </c>
      <c r="M2" s="104" t="s">
        <v>1216</v>
      </c>
    </row>
    <row r="3" spans="1:13" ht="33.950000000000003" customHeight="1">
      <c r="A3" s="39" t="s">
        <v>247</v>
      </c>
      <c r="B3" s="1674" t="s">
        <v>1217</v>
      </c>
      <c r="C3" s="1674"/>
      <c r="D3" s="900" t="s">
        <v>249</v>
      </c>
      <c r="E3" s="1241"/>
      <c r="F3" s="1254" t="s">
        <v>1177</v>
      </c>
      <c r="G3" s="900"/>
      <c r="H3" s="41" t="s">
        <v>252</v>
      </c>
      <c r="I3" s="41"/>
      <c r="J3" s="91" t="s">
        <v>253</v>
      </c>
      <c r="K3" s="15" t="s">
        <v>1218</v>
      </c>
      <c r="L3" s="15" t="s">
        <v>255</v>
      </c>
      <c r="M3" s="92" t="s">
        <v>1219</v>
      </c>
    </row>
    <row r="4" spans="1:13" ht="57" customHeight="1">
      <c r="A4" s="1242" t="s">
        <v>260</v>
      </c>
      <c r="B4" s="1664" t="s">
        <v>1220</v>
      </c>
      <c r="C4" s="1664"/>
      <c r="D4" s="1664" t="s">
        <v>1221</v>
      </c>
      <c r="E4" s="1664"/>
      <c r="F4" s="1664"/>
      <c r="G4" s="1664"/>
      <c r="H4" s="1824" t="s">
        <v>1222</v>
      </c>
      <c r="I4" s="1762"/>
      <c r="J4" s="1762"/>
      <c r="K4" s="1649"/>
      <c r="L4" s="1650"/>
      <c r="M4" s="1825"/>
    </row>
    <row r="5" spans="1:13" ht="30" customHeight="1">
      <c r="A5" s="39" t="s">
        <v>1022</v>
      </c>
      <c r="B5" s="1826"/>
      <c r="C5" s="1826"/>
      <c r="D5" s="1826"/>
      <c r="E5" s="1826"/>
      <c r="F5" s="1826"/>
      <c r="G5" s="1826"/>
      <c r="H5" s="1648"/>
      <c r="I5" s="1820"/>
      <c r="J5" s="1821"/>
      <c r="K5" s="1821"/>
      <c r="L5" s="1827"/>
      <c r="M5" s="104"/>
    </row>
    <row r="6" spans="1:13" ht="42.75">
      <c r="A6" s="736" t="s">
        <v>266</v>
      </c>
      <c r="B6" s="382" t="s">
        <v>267</v>
      </c>
      <c r="C6" s="382" t="s">
        <v>268</v>
      </c>
      <c r="D6" s="382" t="s">
        <v>269</v>
      </c>
      <c r="E6" s="382" t="s">
        <v>270</v>
      </c>
      <c r="F6" s="382" t="s">
        <v>271</v>
      </c>
      <c r="G6" s="383" t="s">
        <v>272</v>
      </c>
      <c r="H6" s="614" t="s">
        <v>273</v>
      </c>
      <c r="I6" s="382" t="s">
        <v>274</v>
      </c>
      <c r="J6" s="391" t="s">
        <v>275</v>
      </c>
      <c r="K6" s="391" t="s">
        <v>276</v>
      </c>
      <c r="L6" s="382" t="s">
        <v>277</v>
      </c>
      <c r="M6" s="392" t="s">
        <v>278</v>
      </c>
    </row>
    <row r="7" spans="1:13" ht="30" customHeight="1">
      <c r="A7" s="1255">
        <v>41974</v>
      </c>
      <c r="B7" s="1245">
        <v>11</v>
      </c>
      <c r="C7" s="1245">
        <v>3080</v>
      </c>
      <c r="D7" s="1245">
        <f>B7</f>
        <v>11</v>
      </c>
      <c r="E7" s="1245">
        <f>C7</f>
        <v>3080</v>
      </c>
      <c r="F7" s="1245"/>
      <c r="G7" s="1245"/>
      <c r="H7" s="1245"/>
      <c r="I7" s="1245"/>
      <c r="J7" s="1245"/>
      <c r="K7" s="1245"/>
      <c r="L7" s="1245">
        <f t="shared" ref="L7:L19" si="0">E7-J7</f>
        <v>3080</v>
      </c>
      <c r="M7" s="1245"/>
    </row>
    <row r="8" spans="1:13" ht="30" customHeight="1">
      <c r="A8" s="1255">
        <v>42005</v>
      </c>
      <c r="B8" s="1245">
        <v>82</v>
      </c>
      <c r="C8" s="1245">
        <v>23855</v>
      </c>
      <c r="D8" s="1245">
        <f t="shared" ref="D8:E10" si="1">D7+B8</f>
        <v>93</v>
      </c>
      <c r="E8" s="1245">
        <f t="shared" si="1"/>
        <v>26935</v>
      </c>
      <c r="F8" s="1245"/>
      <c r="G8" s="1245"/>
      <c r="H8" s="1245">
        <f t="shared" ref="H8:H20" si="2">C7</f>
        <v>3080</v>
      </c>
      <c r="I8" s="1257"/>
      <c r="J8" s="1257"/>
      <c r="K8" s="1245">
        <f t="shared" ref="K8:K20" si="3">K7+H8-I8</f>
        <v>3080</v>
      </c>
      <c r="L8" s="1245">
        <f t="shared" si="0"/>
        <v>26935</v>
      </c>
      <c r="M8" s="1245"/>
    </row>
    <row r="9" spans="1:13" ht="30" customHeight="1">
      <c r="A9" s="1255">
        <v>42037</v>
      </c>
      <c r="B9" s="1245">
        <v>290</v>
      </c>
      <c r="C9" s="1245">
        <v>90290</v>
      </c>
      <c r="D9" s="1245">
        <f t="shared" si="1"/>
        <v>383</v>
      </c>
      <c r="E9" s="1245">
        <f t="shared" si="1"/>
        <v>117225</v>
      </c>
      <c r="F9" s="1245"/>
      <c r="G9" s="1245"/>
      <c r="H9" s="1256">
        <f t="shared" si="2"/>
        <v>23855</v>
      </c>
      <c r="I9" s="1245"/>
      <c r="J9" s="1245"/>
      <c r="K9" s="1259">
        <f t="shared" si="3"/>
        <v>26935</v>
      </c>
      <c r="L9" s="1245">
        <f t="shared" si="0"/>
        <v>117225</v>
      </c>
      <c r="M9" s="1245"/>
    </row>
    <row r="10" spans="1:13" ht="30" customHeight="1">
      <c r="A10" s="1255">
        <v>42069</v>
      </c>
      <c r="B10" s="1245">
        <v>382.5</v>
      </c>
      <c r="C10" s="1245">
        <v>115260</v>
      </c>
      <c r="D10" s="1245">
        <f t="shared" si="1"/>
        <v>765.5</v>
      </c>
      <c r="E10" s="1245">
        <f t="shared" si="1"/>
        <v>232485</v>
      </c>
      <c r="F10" s="1245"/>
      <c r="G10" s="1245"/>
      <c r="H10" s="1256">
        <f t="shared" si="2"/>
        <v>90290</v>
      </c>
      <c r="I10" s="1245"/>
      <c r="J10" s="1245"/>
      <c r="K10" s="1259">
        <f t="shared" si="3"/>
        <v>117225</v>
      </c>
      <c r="L10" s="1245">
        <f t="shared" si="0"/>
        <v>232485</v>
      </c>
      <c r="M10" s="1252"/>
    </row>
    <row r="11" spans="1:13" ht="30" customHeight="1">
      <c r="A11" s="1255">
        <v>42100</v>
      </c>
      <c r="B11" s="1245">
        <v>875.5</v>
      </c>
      <c r="C11" s="1245">
        <v>269542.5</v>
      </c>
      <c r="D11" s="1245">
        <f t="shared" ref="D11:D19" si="4">D10+B11</f>
        <v>1641</v>
      </c>
      <c r="E11" s="1245">
        <f t="shared" ref="E11:E19" si="5">E10+C11</f>
        <v>502027.5</v>
      </c>
      <c r="F11" s="1245"/>
      <c r="G11" s="1245"/>
      <c r="H11" s="1256">
        <f t="shared" si="2"/>
        <v>115260</v>
      </c>
      <c r="I11" s="1245"/>
      <c r="J11" s="1245"/>
      <c r="K11" s="1259">
        <f t="shared" si="3"/>
        <v>232485</v>
      </c>
      <c r="L11" s="1245">
        <f t="shared" si="0"/>
        <v>502027.5</v>
      </c>
      <c r="M11" s="1252"/>
    </row>
    <row r="12" spans="1:13" ht="30" customHeight="1">
      <c r="A12" s="1255">
        <v>42130</v>
      </c>
      <c r="B12" s="1257">
        <v>894</v>
      </c>
      <c r="C12" s="1257">
        <v>268085</v>
      </c>
      <c r="D12" s="1245">
        <f t="shared" si="4"/>
        <v>2535</v>
      </c>
      <c r="E12" s="1245">
        <f t="shared" si="5"/>
        <v>770112.5</v>
      </c>
      <c r="F12" s="1257"/>
      <c r="G12" s="1257"/>
      <c r="H12" s="1258">
        <f t="shared" si="2"/>
        <v>269542.5</v>
      </c>
      <c r="I12" s="1257"/>
      <c r="J12" s="1257"/>
      <c r="K12" s="1260">
        <f t="shared" si="3"/>
        <v>502027.5</v>
      </c>
      <c r="L12" s="1245">
        <f t="shared" si="0"/>
        <v>770112.5</v>
      </c>
      <c r="M12" s="1253"/>
    </row>
    <row r="13" spans="1:13" ht="30" customHeight="1">
      <c r="A13" s="1249">
        <v>42156</v>
      </c>
      <c r="B13" s="1245">
        <v>294.5</v>
      </c>
      <c r="C13" s="1245">
        <v>88330</v>
      </c>
      <c r="D13" s="1245">
        <f t="shared" si="4"/>
        <v>2829.5</v>
      </c>
      <c r="E13" s="1245">
        <f t="shared" si="5"/>
        <v>858442.5</v>
      </c>
      <c r="F13" s="1245"/>
      <c r="G13" s="1245"/>
      <c r="H13" s="1258">
        <f t="shared" si="2"/>
        <v>268085</v>
      </c>
      <c r="I13" s="1245"/>
      <c r="J13" s="1245"/>
      <c r="K13" s="1260">
        <f t="shared" si="3"/>
        <v>770112.5</v>
      </c>
      <c r="L13" s="1245">
        <f t="shared" si="0"/>
        <v>858442.5</v>
      </c>
      <c r="M13" s="1252"/>
    </row>
    <row r="14" spans="1:13" ht="30" customHeight="1">
      <c r="A14" s="1249">
        <v>42186</v>
      </c>
      <c r="B14" s="1245">
        <v>38.5</v>
      </c>
      <c r="C14" s="1245">
        <v>11475</v>
      </c>
      <c r="D14" s="1245">
        <f t="shared" si="4"/>
        <v>2868</v>
      </c>
      <c r="E14" s="1245">
        <f t="shared" si="5"/>
        <v>869917.5</v>
      </c>
      <c r="F14" s="1245"/>
      <c r="G14" s="1245"/>
      <c r="H14" s="1258">
        <f t="shared" si="2"/>
        <v>88330</v>
      </c>
      <c r="I14" s="1245"/>
      <c r="J14" s="1245"/>
      <c r="K14" s="1260">
        <f t="shared" si="3"/>
        <v>858442.5</v>
      </c>
      <c r="L14" s="1245">
        <f t="shared" si="0"/>
        <v>869917.5</v>
      </c>
      <c r="M14" s="1252"/>
    </row>
    <row r="15" spans="1:13" ht="30" customHeight="1">
      <c r="A15" s="1249">
        <v>42217</v>
      </c>
      <c r="B15" s="1245">
        <v>25</v>
      </c>
      <c r="C15" s="1245">
        <v>7000</v>
      </c>
      <c r="D15" s="1245">
        <f t="shared" si="4"/>
        <v>2893</v>
      </c>
      <c r="E15" s="1245">
        <f t="shared" si="5"/>
        <v>876917.5</v>
      </c>
      <c r="F15" s="1245"/>
      <c r="G15" s="1245"/>
      <c r="H15" s="1258">
        <f t="shared" si="2"/>
        <v>11475</v>
      </c>
      <c r="I15" s="1245"/>
      <c r="J15" s="1245"/>
      <c r="K15" s="1260">
        <f t="shared" si="3"/>
        <v>869917.5</v>
      </c>
      <c r="L15" s="1245">
        <f t="shared" si="0"/>
        <v>876917.5</v>
      </c>
      <c r="M15" s="1252" t="s">
        <v>1223</v>
      </c>
    </row>
    <row r="16" spans="1:13" ht="30" customHeight="1">
      <c r="A16" s="1249">
        <v>42248</v>
      </c>
      <c r="B16" s="1245">
        <v>48.5</v>
      </c>
      <c r="C16" s="1245">
        <v>14705</v>
      </c>
      <c r="D16" s="1245">
        <f t="shared" si="4"/>
        <v>2941.5</v>
      </c>
      <c r="E16" s="1245">
        <f t="shared" si="5"/>
        <v>891622.5</v>
      </c>
      <c r="F16" s="1245"/>
      <c r="G16" s="1245"/>
      <c r="H16" s="1258">
        <f t="shared" si="2"/>
        <v>7000</v>
      </c>
      <c r="I16" s="1245">
        <v>232485</v>
      </c>
      <c r="J16" s="1245">
        <f>I16</f>
        <v>232485</v>
      </c>
      <c r="K16" s="1260">
        <f t="shared" si="3"/>
        <v>644432.5</v>
      </c>
      <c r="L16" s="1245">
        <f t="shared" si="0"/>
        <v>659137.5</v>
      </c>
      <c r="M16" s="1252" t="s">
        <v>1224</v>
      </c>
    </row>
    <row r="17" spans="1:13" ht="30" customHeight="1">
      <c r="A17" s="1249">
        <v>42278</v>
      </c>
      <c r="B17" s="1245">
        <v>13</v>
      </c>
      <c r="C17" s="1245">
        <v>3870</v>
      </c>
      <c r="D17" s="1245">
        <f t="shared" si="4"/>
        <v>2954.5</v>
      </c>
      <c r="E17" s="1245">
        <f t="shared" si="5"/>
        <v>895492.5</v>
      </c>
      <c r="F17" s="1245"/>
      <c r="G17" s="1245"/>
      <c r="H17" s="1258">
        <f t="shared" si="2"/>
        <v>14705</v>
      </c>
      <c r="I17" s="1245">
        <v>537627.5</v>
      </c>
      <c r="J17" s="1245">
        <f>I17+J16</f>
        <v>770112.5</v>
      </c>
      <c r="K17" s="1260">
        <f t="shared" si="3"/>
        <v>121510</v>
      </c>
      <c r="L17" s="1245">
        <f t="shared" si="0"/>
        <v>125380</v>
      </c>
      <c r="M17" s="1252"/>
    </row>
    <row r="18" spans="1:13" ht="30" customHeight="1">
      <c r="A18" s="1249">
        <v>42309</v>
      </c>
      <c r="B18" s="1245">
        <v>2</v>
      </c>
      <c r="C18" s="1245">
        <v>560</v>
      </c>
      <c r="D18" s="1245">
        <f t="shared" si="4"/>
        <v>2956.5</v>
      </c>
      <c r="E18" s="1245">
        <f t="shared" si="5"/>
        <v>896052.5</v>
      </c>
      <c r="F18" s="1245"/>
      <c r="G18" s="1245"/>
      <c r="H18" s="1258">
        <f t="shared" si="2"/>
        <v>3870</v>
      </c>
      <c r="I18" s="1245"/>
      <c r="J18" s="1245">
        <f>I18+J17</f>
        <v>770112.5</v>
      </c>
      <c r="K18" s="1260">
        <f t="shared" si="3"/>
        <v>125380</v>
      </c>
      <c r="L18" s="1245">
        <f t="shared" si="0"/>
        <v>125940</v>
      </c>
      <c r="M18" s="1252"/>
    </row>
    <row r="19" spans="1:13" ht="30" customHeight="1">
      <c r="A19" s="1249">
        <v>42339</v>
      </c>
      <c r="B19" s="1245">
        <v>10.5</v>
      </c>
      <c r="C19" s="1245">
        <v>3020</v>
      </c>
      <c r="D19" s="1245">
        <f t="shared" si="4"/>
        <v>2967</v>
      </c>
      <c r="E19" s="1245">
        <f t="shared" si="5"/>
        <v>899072.5</v>
      </c>
      <c r="F19" s="1245"/>
      <c r="G19" s="1245"/>
      <c r="H19" s="1258">
        <f t="shared" si="2"/>
        <v>560</v>
      </c>
      <c r="I19" s="1245">
        <v>128960</v>
      </c>
      <c r="J19" s="1245">
        <f>I19+J18</f>
        <v>899072.5</v>
      </c>
      <c r="K19" s="1260">
        <f t="shared" si="3"/>
        <v>-3020</v>
      </c>
      <c r="L19" s="1245">
        <f t="shared" si="0"/>
        <v>0</v>
      </c>
      <c r="M19" s="1252" t="s">
        <v>1225</v>
      </c>
    </row>
    <row r="20" spans="1:13" ht="30" customHeight="1">
      <c r="A20" s="1249"/>
      <c r="B20" s="1245"/>
      <c r="C20" s="1245"/>
      <c r="D20" s="1245"/>
      <c r="E20" s="1245"/>
      <c r="F20" s="1245"/>
      <c r="G20" s="1245"/>
      <c r="H20" s="1258">
        <f t="shared" si="2"/>
        <v>3020</v>
      </c>
      <c r="I20" s="1245"/>
      <c r="J20" s="1245"/>
      <c r="K20" s="1260">
        <f t="shared" si="3"/>
        <v>0</v>
      </c>
      <c r="L20" s="1245"/>
      <c r="M20" s="1252"/>
    </row>
    <row r="21" spans="1:13" ht="30" customHeight="1">
      <c r="A21" s="1249"/>
      <c r="B21" s="1245"/>
      <c r="C21" s="1245"/>
      <c r="D21" s="1245"/>
      <c r="E21" s="1245"/>
      <c r="F21" s="1245"/>
      <c r="G21" s="1245"/>
      <c r="H21" s="1258"/>
      <c r="I21" s="1245"/>
      <c r="J21" s="1245"/>
      <c r="K21" s="1245"/>
      <c r="L21" s="1245"/>
      <c r="M21" s="1252"/>
    </row>
    <row r="22" spans="1:13" ht="30" customHeight="1">
      <c r="A22" s="1249"/>
      <c r="B22" s="1245"/>
      <c r="C22" s="1245"/>
      <c r="D22" s="1245"/>
      <c r="E22" s="1245"/>
      <c r="F22" s="1245"/>
      <c r="G22" s="1245"/>
      <c r="H22" s="1258"/>
      <c r="I22" s="1245"/>
      <c r="J22" s="1245"/>
      <c r="K22" s="1245"/>
      <c r="L22" s="1245"/>
      <c r="M22" s="1252"/>
    </row>
    <row r="23" spans="1:13" ht="30" customHeight="1">
      <c r="A23" s="1249"/>
      <c r="B23" s="1245"/>
      <c r="C23" s="1245"/>
      <c r="D23" s="1245"/>
      <c r="E23" s="1245"/>
      <c r="F23" s="1245"/>
      <c r="G23" s="1245"/>
      <c r="H23" s="1258"/>
      <c r="I23" s="1245"/>
      <c r="J23" s="1245"/>
      <c r="K23" s="1245"/>
      <c r="L23" s="1245"/>
      <c r="M23" s="1252"/>
    </row>
    <row r="24" spans="1:13" ht="30" customHeight="1">
      <c r="A24" s="1249"/>
      <c r="B24" s="1245"/>
      <c r="C24" s="1245"/>
      <c r="D24" s="1245"/>
      <c r="E24" s="1245"/>
      <c r="F24" s="1245"/>
      <c r="G24" s="1245"/>
      <c r="H24" s="1258"/>
      <c r="I24" s="1245"/>
      <c r="J24" s="1245"/>
      <c r="K24" s="1245"/>
      <c r="L24" s="1245"/>
      <c r="M24" s="1252"/>
    </row>
    <row r="25" spans="1:13" ht="30" customHeight="1">
      <c r="A25" s="1249"/>
      <c r="B25" s="1245"/>
      <c r="C25" s="1245"/>
      <c r="D25" s="1245"/>
      <c r="E25" s="1245"/>
      <c r="F25" s="1245"/>
      <c r="G25" s="1245"/>
      <c r="H25" s="1258"/>
      <c r="I25" s="1245"/>
      <c r="J25" s="1245"/>
      <c r="K25" s="1245"/>
      <c r="L25" s="1245"/>
      <c r="M25" s="1252"/>
    </row>
    <row r="26" spans="1:13" ht="30" customHeight="1">
      <c r="A26" s="1249"/>
      <c r="B26" s="1245"/>
      <c r="C26" s="1245"/>
      <c r="D26" s="1245"/>
      <c r="E26" s="1245"/>
      <c r="F26" s="1245"/>
      <c r="G26" s="1245"/>
      <c r="H26" s="1245"/>
      <c r="I26" s="1245"/>
      <c r="J26" s="1245"/>
      <c r="K26" s="1245"/>
      <c r="L26" s="1245"/>
      <c r="M26" s="1252"/>
    </row>
  </sheetData>
  <mergeCells count="15">
    <mergeCell ref="B3:C3"/>
    <mergeCell ref="B4:C4"/>
    <mergeCell ref="D4:G4"/>
    <mergeCell ref="H4:J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1" footer="0.51"/>
  <pageSetup paperSize="9" orientation="portrait" horizontalDpi="200" verticalDpi="200"/>
  <headerFooter scaleWithDoc="0"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10" zoomScaleSheetLayoutView="100" workbookViewId="0">
      <selection activeCell="B38" sqref="B38"/>
    </sheetView>
  </sheetViews>
  <sheetFormatPr defaultColWidth="9" defaultRowHeight="14.25"/>
  <cols>
    <col min="1" max="1" width="13" customWidth="1"/>
    <col min="2" max="2" width="12.625" customWidth="1"/>
    <col min="3" max="3" width="14.875" customWidth="1"/>
    <col min="4" max="4" width="13.5" customWidth="1"/>
    <col min="5" max="5" width="13.875" customWidth="1"/>
    <col min="6" max="6" width="14.5" customWidth="1"/>
    <col min="7" max="7" width="11.5" customWidth="1"/>
    <col min="8" max="8" width="15.875" customWidth="1"/>
    <col min="9" max="9" width="13" customWidth="1"/>
    <col min="10" max="10" width="13.625" customWidth="1"/>
    <col min="11" max="11" width="13" customWidth="1"/>
    <col min="12" max="12" width="13.375" customWidth="1"/>
    <col min="13" max="13" width="29.25" customWidth="1"/>
  </cols>
  <sheetData>
    <row r="1" spans="1:13" ht="39" customHeight="1">
      <c r="A1" s="1032" t="s">
        <v>1226</v>
      </c>
      <c r="B1" s="1216"/>
      <c r="C1" s="1811" t="s">
        <v>1227</v>
      </c>
      <c r="D1" s="1811"/>
      <c r="E1" s="1822"/>
      <c r="F1" s="1822"/>
      <c r="G1" s="1822"/>
      <c r="H1" s="1090" t="s">
        <v>237</v>
      </c>
      <c r="I1" s="1664" t="s">
        <v>1228</v>
      </c>
      <c r="J1" s="1828"/>
      <c r="K1" s="1823" t="s">
        <v>1214</v>
      </c>
      <c r="L1" s="1823"/>
      <c r="M1" s="1823"/>
    </row>
    <row r="2" spans="1:13" ht="38.1" customHeight="1">
      <c r="A2" s="39" t="s">
        <v>240</v>
      </c>
      <c r="B2" s="1637" t="s">
        <v>982</v>
      </c>
      <c r="C2" s="1637"/>
      <c r="D2" s="41" t="s">
        <v>242</v>
      </c>
      <c r="E2" s="1637"/>
      <c r="F2" s="1637"/>
      <c r="G2" s="1637"/>
      <c r="H2" s="1664"/>
      <c r="I2" s="1829"/>
      <c r="J2" s="531" t="s">
        <v>243</v>
      </c>
      <c r="K2" s="1251">
        <v>0.05</v>
      </c>
      <c r="L2" s="1250" t="s">
        <v>245</v>
      </c>
      <c r="M2" s="1082"/>
    </row>
    <row r="3" spans="1:13" ht="33.950000000000003" customHeight="1">
      <c r="A3" s="39" t="s">
        <v>247</v>
      </c>
      <c r="B3" s="1674" t="s">
        <v>1229</v>
      </c>
      <c r="C3" s="1674"/>
      <c r="D3" s="900" t="s">
        <v>249</v>
      </c>
      <c r="E3" s="1241"/>
      <c r="F3" s="1218" t="s">
        <v>1177</v>
      </c>
      <c r="G3" s="41"/>
      <c r="H3" s="41" t="s">
        <v>252</v>
      </c>
      <c r="I3" s="41"/>
      <c r="J3" s="91" t="s">
        <v>253</v>
      </c>
      <c r="K3" s="15" t="s">
        <v>1230</v>
      </c>
      <c r="L3" s="15" t="s">
        <v>255</v>
      </c>
      <c r="M3" s="15" t="s">
        <v>1230</v>
      </c>
    </row>
    <row r="4" spans="1:13" ht="42" customHeight="1">
      <c r="A4" s="1242" t="s">
        <v>260</v>
      </c>
      <c r="B4" s="1664" t="s">
        <v>1220</v>
      </c>
      <c r="C4" s="1664"/>
      <c r="D4" s="1664" t="s">
        <v>1221</v>
      </c>
      <c r="E4" s="1664"/>
      <c r="F4" s="1664"/>
      <c r="G4" s="1664" t="s">
        <v>1222</v>
      </c>
      <c r="H4" s="1664"/>
      <c r="I4" s="150"/>
      <c r="J4" s="150"/>
      <c r="K4" s="1649"/>
      <c r="L4" s="1650"/>
      <c r="M4" s="1825"/>
    </row>
    <row r="5" spans="1:13" ht="39" customHeight="1">
      <c r="A5" s="39" t="s">
        <v>1022</v>
      </c>
      <c r="B5" s="1826"/>
      <c r="C5" s="1826"/>
      <c r="D5" s="1826"/>
      <c r="E5" s="1826"/>
      <c r="F5" s="1648"/>
      <c r="G5" s="1648"/>
      <c r="H5" s="1648"/>
      <c r="I5" s="1820"/>
      <c r="J5" s="1821"/>
      <c r="K5" s="1821"/>
      <c r="L5" s="1827"/>
      <c r="M5" s="104"/>
    </row>
    <row r="6" spans="1:13" ht="42.75">
      <c r="A6" s="736" t="s">
        <v>266</v>
      </c>
      <c r="B6" s="382" t="s">
        <v>267</v>
      </c>
      <c r="C6" s="382" t="s">
        <v>268</v>
      </c>
      <c r="D6" s="382" t="s">
        <v>269</v>
      </c>
      <c r="E6" s="382" t="s">
        <v>270</v>
      </c>
      <c r="F6" s="382" t="s">
        <v>271</v>
      </c>
      <c r="G6" s="383" t="s">
        <v>272</v>
      </c>
      <c r="H6" s="614" t="s">
        <v>273</v>
      </c>
      <c r="I6" s="382" t="s">
        <v>274</v>
      </c>
      <c r="J6" s="391" t="s">
        <v>275</v>
      </c>
      <c r="K6" s="391" t="s">
        <v>276</v>
      </c>
      <c r="L6" s="382" t="s">
        <v>277</v>
      </c>
      <c r="M6" s="392" t="s">
        <v>278</v>
      </c>
    </row>
    <row r="7" spans="1:13" ht="30" customHeight="1">
      <c r="A7" s="1244">
        <v>42005</v>
      </c>
      <c r="B7" s="1245">
        <v>23</v>
      </c>
      <c r="C7" s="1245">
        <v>6174</v>
      </c>
      <c r="D7" s="1245">
        <f>B7</f>
        <v>23</v>
      </c>
      <c r="E7" s="1245">
        <f>C7</f>
        <v>6174</v>
      </c>
      <c r="F7" s="1245"/>
      <c r="G7" s="1245"/>
      <c r="H7" s="1245"/>
      <c r="I7" s="1245"/>
      <c r="J7" s="1245"/>
      <c r="K7" s="1245"/>
      <c r="L7" s="1245">
        <f t="shared" ref="L7:L17" si="0">E7-J7</f>
        <v>6174</v>
      </c>
      <c r="M7" s="1252"/>
    </row>
    <row r="8" spans="1:13" ht="30" customHeight="1">
      <c r="A8" s="1244">
        <v>42156</v>
      </c>
      <c r="B8" s="1246">
        <v>11</v>
      </c>
      <c r="C8" s="1246">
        <v>2948</v>
      </c>
      <c r="D8" s="1067">
        <f t="shared" ref="D8:D17" si="1">D7+B8</f>
        <v>34</v>
      </c>
      <c r="E8" s="1067">
        <f t="shared" ref="E8:E17" si="2">E7+C8</f>
        <v>9122</v>
      </c>
      <c r="F8" s="1067"/>
      <c r="G8" s="1067"/>
      <c r="H8" s="1067">
        <f t="shared" ref="H8:H18" si="3">C7</f>
        <v>6174</v>
      </c>
      <c r="I8" s="1067"/>
      <c r="J8" s="1067"/>
      <c r="K8" s="1067">
        <f t="shared" ref="K8:K18" si="4">K7+H8-I8</f>
        <v>6174</v>
      </c>
      <c r="L8" s="1245">
        <f t="shared" si="0"/>
        <v>9122</v>
      </c>
      <c r="M8" s="1252"/>
    </row>
    <row r="9" spans="1:13" ht="30" customHeight="1">
      <c r="A9" s="1247">
        <v>42186</v>
      </c>
      <c r="B9" s="1248">
        <v>463.5</v>
      </c>
      <c r="C9" s="1248">
        <v>138370.5</v>
      </c>
      <c r="D9" s="1248">
        <f t="shared" si="1"/>
        <v>497.5</v>
      </c>
      <c r="E9" s="1248">
        <f t="shared" si="2"/>
        <v>147492.5</v>
      </c>
      <c r="F9" s="1248"/>
      <c r="G9" s="1248"/>
      <c r="H9" s="1067">
        <f t="shared" si="3"/>
        <v>2948</v>
      </c>
      <c r="I9" s="1248"/>
      <c r="J9" s="1248"/>
      <c r="K9" s="1067">
        <f t="shared" si="4"/>
        <v>9122</v>
      </c>
      <c r="L9" s="1245">
        <f t="shared" si="0"/>
        <v>147492.5</v>
      </c>
      <c r="M9" s="1253"/>
    </row>
    <row r="10" spans="1:13" ht="30" customHeight="1">
      <c r="A10" s="1249">
        <v>42217</v>
      </c>
      <c r="B10" s="1067">
        <v>382.5</v>
      </c>
      <c r="C10" s="1067">
        <v>115077.5</v>
      </c>
      <c r="D10" s="1248">
        <f t="shared" si="1"/>
        <v>880</v>
      </c>
      <c r="E10" s="1248">
        <f t="shared" si="2"/>
        <v>262570</v>
      </c>
      <c r="F10" s="1067"/>
      <c r="G10" s="1067"/>
      <c r="H10" s="1067">
        <f t="shared" si="3"/>
        <v>138370.5</v>
      </c>
      <c r="I10" s="1067"/>
      <c r="J10" s="1067"/>
      <c r="K10" s="1067">
        <f t="shared" si="4"/>
        <v>147492.5</v>
      </c>
      <c r="L10" s="1245">
        <f t="shared" si="0"/>
        <v>262570</v>
      </c>
      <c r="M10" s="1252" t="s">
        <v>1231</v>
      </c>
    </row>
    <row r="11" spans="1:13" ht="30" customHeight="1">
      <c r="A11" s="1249">
        <v>42248</v>
      </c>
      <c r="B11" s="1067">
        <v>526</v>
      </c>
      <c r="C11" s="1067">
        <v>156208</v>
      </c>
      <c r="D11" s="1248">
        <f t="shared" si="1"/>
        <v>1406</v>
      </c>
      <c r="E11" s="1248">
        <f t="shared" si="2"/>
        <v>418778</v>
      </c>
      <c r="F11" s="1067"/>
      <c r="G11" s="1067"/>
      <c r="H11" s="1067">
        <f t="shared" si="3"/>
        <v>115077.5</v>
      </c>
      <c r="I11" s="1067">
        <v>6174</v>
      </c>
      <c r="J11" s="1067">
        <f>I11</f>
        <v>6174</v>
      </c>
      <c r="K11" s="1067">
        <f t="shared" si="4"/>
        <v>256396</v>
      </c>
      <c r="L11" s="1245">
        <f t="shared" si="0"/>
        <v>412604</v>
      </c>
      <c r="M11" s="1252" t="s">
        <v>1232</v>
      </c>
    </row>
    <row r="12" spans="1:13" ht="30" customHeight="1">
      <c r="A12" s="1249">
        <v>42278</v>
      </c>
      <c r="B12" s="1067">
        <v>528</v>
      </c>
      <c r="C12" s="1067">
        <v>153704</v>
      </c>
      <c r="D12" s="1248">
        <f t="shared" si="1"/>
        <v>1934</v>
      </c>
      <c r="E12" s="1248">
        <f t="shared" si="2"/>
        <v>572482</v>
      </c>
      <c r="F12" s="1067"/>
      <c r="G12" s="1067"/>
      <c r="H12" s="1067">
        <f t="shared" si="3"/>
        <v>156208</v>
      </c>
      <c r="I12" s="1067"/>
      <c r="J12" s="1067">
        <f t="shared" ref="J12:J17" si="5">I12+J11</f>
        <v>6174</v>
      </c>
      <c r="K12" s="1067">
        <f t="shared" si="4"/>
        <v>412604</v>
      </c>
      <c r="L12" s="1245">
        <f t="shared" si="0"/>
        <v>566308</v>
      </c>
      <c r="M12" s="1252"/>
    </row>
    <row r="13" spans="1:13" ht="30" customHeight="1">
      <c r="A13" s="1249">
        <v>42309</v>
      </c>
      <c r="B13" s="1067">
        <v>552.5</v>
      </c>
      <c r="C13" s="1067">
        <v>159310</v>
      </c>
      <c r="D13" s="1248">
        <f t="shared" si="1"/>
        <v>2486.5</v>
      </c>
      <c r="E13" s="1248">
        <f t="shared" si="2"/>
        <v>731792</v>
      </c>
      <c r="F13" s="1067"/>
      <c r="G13" s="1067"/>
      <c r="H13" s="1067">
        <f t="shared" si="3"/>
        <v>153704</v>
      </c>
      <c r="I13" s="1067"/>
      <c r="J13" s="1067">
        <f t="shared" si="5"/>
        <v>6174</v>
      </c>
      <c r="K13" s="1067">
        <f t="shared" si="4"/>
        <v>566308</v>
      </c>
      <c r="L13" s="1245">
        <f t="shared" si="0"/>
        <v>725618</v>
      </c>
      <c r="M13" s="1252"/>
    </row>
    <row r="14" spans="1:13" ht="30" customHeight="1">
      <c r="A14" s="1249">
        <v>42339</v>
      </c>
      <c r="B14" s="1067">
        <v>485</v>
      </c>
      <c r="C14" s="1067">
        <v>140795</v>
      </c>
      <c r="D14" s="1248">
        <f t="shared" si="1"/>
        <v>2971.5</v>
      </c>
      <c r="E14" s="1248">
        <f t="shared" si="2"/>
        <v>872587</v>
      </c>
      <c r="F14" s="1067"/>
      <c r="G14" s="1067"/>
      <c r="H14" s="1067">
        <f t="shared" si="3"/>
        <v>159310</v>
      </c>
      <c r="I14" s="1067">
        <f>115077.5+297526.5</f>
        <v>412604</v>
      </c>
      <c r="J14" s="1067">
        <f t="shared" si="5"/>
        <v>418778</v>
      </c>
      <c r="K14" s="1067">
        <f t="shared" si="4"/>
        <v>313014</v>
      </c>
      <c r="L14" s="1245">
        <f t="shared" si="0"/>
        <v>453809</v>
      </c>
      <c r="M14" s="1252" t="s">
        <v>1233</v>
      </c>
    </row>
    <row r="15" spans="1:13" ht="30" customHeight="1">
      <c r="A15" s="1249">
        <v>42370</v>
      </c>
      <c r="B15" s="1067">
        <v>84.5</v>
      </c>
      <c r="C15" s="1067">
        <v>24616</v>
      </c>
      <c r="D15" s="1248">
        <f t="shared" si="1"/>
        <v>3056</v>
      </c>
      <c r="E15" s="1248">
        <f t="shared" si="2"/>
        <v>897203</v>
      </c>
      <c r="F15" s="1067"/>
      <c r="G15" s="1067"/>
      <c r="H15" s="1067">
        <f t="shared" si="3"/>
        <v>140795</v>
      </c>
      <c r="I15" s="1067"/>
      <c r="J15" s="1067">
        <f t="shared" si="5"/>
        <v>418778</v>
      </c>
      <c r="K15" s="1067">
        <f t="shared" si="4"/>
        <v>453809</v>
      </c>
      <c r="L15" s="1245">
        <f t="shared" si="0"/>
        <v>478425</v>
      </c>
      <c r="M15" s="1252"/>
    </row>
    <row r="16" spans="1:13" ht="30" customHeight="1">
      <c r="A16" s="1249">
        <v>42461</v>
      </c>
      <c r="B16" s="1067">
        <v>3</v>
      </c>
      <c r="C16" s="1067">
        <v>894</v>
      </c>
      <c r="D16" s="1248">
        <f t="shared" si="1"/>
        <v>3059</v>
      </c>
      <c r="E16" s="1248">
        <f t="shared" si="2"/>
        <v>898097</v>
      </c>
      <c r="F16" s="1067"/>
      <c r="G16" s="1067"/>
      <c r="H16" s="1067">
        <f t="shared" si="3"/>
        <v>24616</v>
      </c>
      <c r="I16" s="1067"/>
      <c r="J16" s="1067">
        <f t="shared" si="5"/>
        <v>418778</v>
      </c>
      <c r="K16" s="1067">
        <f t="shared" si="4"/>
        <v>478425</v>
      </c>
      <c r="L16" s="1245">
        <f t="shared" si="0"/>
        <v>479319</v>
      </c>
      <c r="M16" s="1252"/>
    </row>
    <row r="17" spans="1:13" ht="30" customHeight="1">
      <c r="A17" s="1249">
        <v>42491</v>
      </c>
      <c r="B17" s="1067">
        <v>0</v>
      </c>
      <c r="C17" s="1067">
        <v>0</v>
      </c>
      <c r="D17" s="1248">
        <f t="shared" si="1"/>
        <v>3059</v>
      </c>
      <c r="E17" s="1248">
        <f t="shared" si="2"/>
        <v>898097</v>
      </c>
      <c r="F17" s="1067"/>
      <c r="G17" s="1067"/>
      <c r="H17" s="1067">
        <f t="shared" si="3"/>
        <v>894</v>
      </c>
      <c r="I17" s="1067">
        <v>453809</v>
      </c>
      <c r="J17" s="1067">
        <f t="shared" si="5"/>
        <v>872587</v>
      </c>
      <c r="K17" s="1067">
        <f t="shared" si="4"/>
        <v>25510</v>
      </c>
      <c r="L17" s="1245">
        <f t="shared" si="0"/>
        <v>25510</v>
      </c>
      <c r="M17" s="1252"/>
    </row>
    <row r="18" spans="1:13" ht="30" customHeight="1">
      <c r="A18" s="1249"/>
      <c r="B18" s="1067"/>
      <c r="C18" s="1067"/>
      <c r="D18" s="1067"/>
      <c r="E18" s="1067"/>
      <c r="F18" s="1067"/>
      <c r="G18" s="1067"/>
      <c r="H18" s="1067">
        <f t="shared" si="3"/>
        <v>0</v>
      </c>
      <c r="I18" s="1067"/>
      <c r="J18" s="1067"/>
      <c r="K18" s="1067">
        <f t="shared" si="4"/>
        <v>25510</v>
      </c>
      <c r="L18" s="1067"/>
      <c r="M18" s="1252"/>
    </row>
    <row r="19" spans="1:13" ht="30" customHeight="1">
      <c r="A19" s="1249"/>
      <c r="B19" s="1067"/>
      <c r="C19" s="1067"/>
      <c r="D19" s="1067"/>
      <c r="E19" s="1067"/>
      <c r="F19" s="1067"/>
      <c r="G19" s="1067"/>
      <c r="H19" s="1067"/>
      <c r="I19" s="1067"/>
      <c r="J19" s="1067"/>
      <c r="K19" s="1067"/>
      <c r="L19" s="1067"/>
      <c r="M19" s="1252"/>
    </row>
    <row r="20" spans="1:13" ht="30" customHeight="1">
      <c r="A20" s="1249"/>
      <c r="B20" s="1067"/>
      <c r="C20" s="1067"/>
      <c r="D20" s="1067"/>
      <c r="E20" s="1067"/>
      <c r="F20" s="1067"/>
      <c r="G20" s="1067"/>
      <c r="H20" s="1067"/>
      <c r="I20" s="1067"/>
      <c r="J20" s="1067"/>
      <c r="K20" s="1067"/>
      <c r="L20" s="1067"/>
      <c r="M20" s="1252"/>
    </row>
  </sheetData>
  <mergeCells count="15">
    <mergeCell ref="B3:C3"/>
    <mergeCell ref="B4:C4"/>
    <mergeCell ref="D4:F4"/>
    <mergeCell ref="G4:H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1" footer="0.51"/>
  <pageSetup paperSize="9" orientation="portrait" horizontalDpi="200" verticalDpi="200"/>
  <headerFooter scaleWithDoc="0"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8"/>
  <sheetViews>
    <sheetView workbookViewId="0">
      <selection activeCell="G16" sqref="G16"/>
    </sheetView>
  </sheetViews>
  <sheetFormatPr defaultColWidth="9" defaultRowHeight="14.25"/>
  <cols>
    <col min="1" max="1" width="17.625" customWidth="1"/>
    <col min="2" max="5" width="13.125" customWidth="1"/>
    <col min="6" max="6" width="14.75" customWidth="1"/>
    <col min="7" max="8" width="13.125" customWidth="1"/>
    <col min="9" max="9" width="21.5" customWidth="1"/>
    <col min="10" max="10" width="14.5" customWidth="1"/>
    <col min="11" max="12" width="13.125" customWidth="1"/>
    <col min="13" max="13" width="25.625" customWidth="1"/>
  </cols>
  <sheetData>
    <row r="1" spans="1:13" ht="77.099999999999994" customHeight="1">
      <c r="A1" s="39" t="s">
        <v>240</v>
      </c>
      <c r="B1" s="1637" t="s">
        <v>1234</v>
      </c>
      <c r="C1" s="1637"/>
      <c r="D1" s="41" t="s">
        <v>1235</v>
      </c>
      <c r="E1" s="90" t="s">
        <v>1236</v>
      </c>
      <c r="F1" s="90"/>
      <c r="G1" s="90"/>
      <c r="H1" s="1665" t="s">
        <v>1237</v>
      </c>
      <c r="I1" s="1665"/>
      <c r="J1" s="41" t="s">
        <v>243</v>
      </c>
      <c r="K1" s="41"/>
      <c r="L1" s="103" t="s">
        <v>245</v>
      </c>
      <c r="M1" s="1083" t="s">
        <v>1238</v>
      </c>
    </row>
    <row r="2" spans="1:13" ht="38.25" customHeight="1">
      <c r="A2" s="39" t="s">
        <v>247</v>
      </c>
      <c r="B2" s="1637" t="s">
        <v>1239</v>
      </c>
      <c r="C2" s="1637"/>
      <c r="D2" s="41" t="s">
        <v>249</v>
      </c>
      <c r="E2" s="1225"/>
      <c r="F2" s="1225" t="s">
        <v>1177</v>
      </c>
      <c r="G2" s="41" t="s">
        <v>1240</v>
      </c>
      <c r="H2" s="41" t="s">
        <v>252</v>
      </c>
      <c r="I2" s="41">
        <v>13711518806</v>
      </c>
      <c r="J2" s="91" t="s">
        <v>253</v>
      </c>
      <c r="K2" s="15"/>
      <c r="L2" s="15" t="s">
        <v>255</v>
      </c>
      <c r="M2" s="92"/>
    </row>
    <row r="3" spans="1:13" ht="38.25" customHeight="1">
      <c r="A3" s="39" t="s">
        <v>260</v>
      </c>
      <c r="B3" s="1762" t="s">
        <v>1241</v>
      </c>
      <c r="C3" s="1762"/>
      <c r="D3" s="1762"/>
      <c r="E3" s="1762"/>
      <c r="F3" s="1762"/>
      <c r="G3" s="1762"/>
      <c r="H3" s="1762"/>
      <c r="I3" s="1762"/>
      <c r="J3" s="1762"/>
      <c r="K3" s="1649"/>
      <c r="L3" s="1650"/>
      <c r="M3" s="1825"/>
    </row>
    <row r="4" spans="1:13" ht="38.25" customHeight="1">
      <c r="A4" s="39" t="s">
        <v>1022</v>
      </c>
      <c r="B4" s="1648"/>
      <c r="C4" s="1648"/>
      <c r="D4" s="1648"/>
      <c r="E4" s="1648"/>
      <c r="F4" s="1648"/>
      <c r="G4" s="1648"/>
      <c r="H4" s="1648"/>
      <c r="I4" s="1820"/>
      <c r="J4" s="1821"/>
      <c r="K4" s="1821"/>
      <c r="L4" s="1827"/>
      <c r="M4" s="104"/>
    </row>
    <row r="5" spans="1:13" ht="42.75">
      <c r="A5" s="19" t="s">
        <v>266</v>
      </c>
      <c r="B5" s="20" t="s">
        <v>267</v>
      </c>
      <c r="C5" s="20" t="s">
        <v>268</v>
      </c>
      <c r="D5" s="20" t="s">
        <v>269</v>
      </c>
      <c r="E5" s="20" t="s">
        <v>270</v>
      </c>
      <c r="F5" s="20" t="s">
        <v>271</v>
      </c>
      <c r="G5" s="21" t="s">
        <v>272</v>
      </c>
      <c r="H5" s="22" t="s">
        <v>273</v>
      </c>
      <c r="I5" s="20" t="s">
        <v>274</v>
      </c>
      <c r="J5" s="70" t="s">
        <v>275</v>
      </c>
      <c r="K5" s="70" t="s">
        <v>276</v>
      </c>
      <c r="L5" s="20" t="s">
        <v>277</v>
      </c>
      <c r="M5" s="71" t="s">
        <v>278</v>
      </c>
    </row>
    <row r="6" spans="1:13" ht="39.75" customHeight="1">
      <c r="A6" s="405" t="s">
        <v>1242</v>
      </c>
      <c r="B6" s="181">
        <v>477.5</v>
      </c>
      <c r="C6" s="181">
        <v>124690</v>
      </c>
      <c r="D6" s="181">
        <f>B6</f>
        <v>477.5</v>
      </c>
      <c r="E6" s="181">
        <f>C6</f>
        <v>124690</v>
      </c>
      <c r="F6" s="181"/>
      <c r="G6" s="181"/>
      <c r="H6" s="181"/>
      <c r="I6" s="181"/>
      <c r="J6" s="181"/>
      <c r="K6" s="181"/>
      <c r="L6" s="181">
        <f t="shared" ref="L6:L15" si="0">E6-J6</f>
        <v>124690</v>
      </c>
      <c r="M6" s="181"/>
    </row>
    <row r="7" spans="1:13" ht="39.75" customHeight="1">
      <c r="A7" s="365">
        <v>42064</v>
      </c>
      <c r="B7" s="181">
        <v>893.58</v>
      </c>
      <c r="C7" s="181">
        <v>259138.2</v>
      </c>
      <c r="D7" s="181">
        <f t="shared" ref="D7:D15" si="1">D6+B7</f>
        <v>1371.08</v>
      </c>
      <c r="E7" s="181">
        <f t="shared" ref="E7:E15" si="2">E6+C7</f>
        <v>383828.2</v>
      </c>
      <c r="F7" s="181"/>
      <c r="G7" s="181"/>
      <c r="H7" s="181"/>
      <c r="I7" s="181">
        <v>124585</v>
      </c>
      <c r="J7" s="181">
        <f>I7</f>
        <v>124585</v>
      </c>
      <c r="K7" s="181"/>
      <c r="L7" s="181">
        <f t="shared" si="0"/>
        <v>259243.2</v>
      </c>
      <c r="M7" s="181" t="s">
        <v>1243</v>
      </c>
    </row>
    <row r="8" spans="1:13" ht="39.75" customHeight="1">
      <c r="A8" s="365">
        <v>42095</v>
      </c>
      <c r="B8" s="181">
        <v>6710.66</v>
      </c>
      <c r="C8" s="181">
        <v>2080304.6</v>
      </c>
      <c r="D8" s="181">
        <f t="shared" si="1"/>
        <v>8081.74</v>
      </c>
      <c r="E8" s="181">
        <f t="shared" si="2"/>
        <v>2464132.8000000003</v>
      </c>
      <c r="F8" s="181"/>
      <c r="G8" s="181"/>
      <c r="H8" s="181"/>
      <c r="I8" s="181"/>
      <c r="J8" s="181">
        <f t="shared" ref="J8:J15" si="3">I8+J7</f>
        <v>124585</v>
      </c>
      <c r="K8" s="181"/>
      <c r="L8" s="181">
        <f t="shared" si="0"/>
        <v>2339547.8000000003</v>
      </c>
      <c r="M8" s="181"/>
    </row>
    <row r="9" spans="1:13" ht="39.75" customHeight="1">
      <c r="A9" s="365">
        <v>42125</v>
      </c>
      <c r="B9" s="181">
        <v>861.04</v>
      </c>
      <c r="C9" s="181">
        <v>249588.8</v>
      </c>
      <c r="D9" s="181">
        <f t="shared" si="1"/>
        <v>8942.7799999999988</v>
      </c>
      <c r="E9" s="181">
        <f t="shared" si="2"/>
        <v>2713721.6</v>
      </c>
      <c r="F9" s="181"/>
      <c r="G9" s="181"/>
      <c r="H9" s="181"/>
      <c r="I9" s="181">
        <f>2080304+259138.2</f>
        <v>2339442.2000000002</v>
      </c>
      <c r="J9" s="181">
        <f t="shared" si="3"/>
        <v>2464027.2000000002</v>
      </c>
      <c r="K9" s="181"/>
      <c r="L9" s="181">
        <f t="shared" si="0"/>
        <v>249694.39999999991</v>
      </c>
      <c r="M9" s="412" t="s">
        <v>1244</v>
      </c>
    </row>
    <row r="10" spans="1:13" ht="39.75" customHeight="1">
      <c r="A10" s="365">
        <v>42156</v>
      </c>
      <c r="B10" s="181">
        <v>3503.19</v>
      </c>
      <c r="C10" s="181">
        <v>1013815.1</v>
      </c>
      <c r="D10" s="181">
        <f t="shared" si="1"/>
        <v>12445.97</v>
      </c>
      <c r="E10" s="181">
        <f t="shared" si="2"/>
        <v>3727536.7</v>
      </c>
      <c r="F10" s="181"/>
      <c r="G10" s="181"/>
      <c r="H10" s="181"/>
      <c r="I10" s="181"/>
      <c r="J10" s="181">
        <f t="shared" si="3"/>
        <v>2464027.2000000002</v>
      </c>
      <c r="K10" s="181"/>
      <c r="L10" s="181">
        <f t="shared" si="0"/>
        <v>1263509.5</v>
      </c>
      <c r="M10" s="412"/>
    </row>
    <row r="11" spans="1:13" ht="39.75" customHeight="1">
      <c r="A11" s="365">
        <v>42186</v>
      </c>
      <c r="B11" s="181">
        <v>552.36</v>
      </c>
      <c r="C11" s="181">
        <v>158954.4</v>
      </c>
      <c r="D11" s="181">
        <f t="shared" si="1"/>
        <v>12998.33</v>
      </c>
      <c r="E11" s="181">
        <f t="shared" si="2"/>
        <v>3886491.1</v>
      </c>
      <c r="F11" s="181"/>
      <c r="G11" s="181"/>
      <c r="H11" s="181"/>
      <c r="I11" s="181">
        <v>1163403.8999999999</v>
      </c>
      <c r="J11" s="181">
        <f t="shared" si="3"/>
        <v>3627431.1</v>
      </c>
      <c r="K11" s="181"/>
      <c r="L11" s="181">
        <f t="shared" si="0"/>
        <v>259060</v>
      </c>
      <c r="M11" s="412" t="s">
        <v>1245</v>
      </c>
    </row>
    <row r="12" spans="1:13" ht="39.75" customHeight="1">
      <c r="A12" s="365">
        <v>42248</v>
      </c>
      <c r="B12" s="181">
        <v>0</v>
      </c>
      <c r="C12" s="181">
        <v>0</v>
      </c>
      <c r="D12" s="181">
        <f t="shared" si="1"/>
        <v>12998.33</v>
      </c>
      <c r="E12" s="181">
        <f t="shared" si="2"/>
        <v>3886491.1</v>
      </c>
      <c r="F12" s="181"/>
      <c r="G12" s="181"/>
      <c r="H12" s="181"/>
      <c r="I12" s="181"/>
      <c r="J12" s="181">
        <f t="shared" si="3"/>
        <v>3627431.1</v>
      </c>
      <c r="K12" s="181"/>
      <c r="L12" s="181">
        <f t="shared" si="0"/>
        <v>259060</v>
      </c>
      <c r="M12" s="412" t="s">
        <v>1246</v>
      </c>
    </row>
    <row r="13" spans="1:13" ht="39.75" customHeight="1">
      <c r="A13" s="365">
        <v>42278</v>
      </c>
      <c r="B13" s="181">
        <v>0</v>
      </c>
      <c r="C13" s="181">
        <v>0</v>
      </c>
      <c r="D13" s="181">
        <f t="shared" si="1"/>
        <v>12998.33</v>
      </c>
      <c r="E13" s="181">
        <f t="shared" si="2"/>
        <v>3886491.1</v>
      </c>
      <c r="F13" s="181"/>
      <c r="G13" s="181"/>
      <c r="H13" s="181"/>
      <c r="I13" s="181">
        <v>158954</v>
      </c>
      <c r="J13" s="181">
        <f t="shared" si="3"/>
        <v>3786385.1</v>
      </c>
      <c r="K13" s="181"/>
      <c r="L13" s="181">
        <f t="shared" si="0"/>
        <v>100106</v>
      </c>
      <c r="M13" s="412"/>
    </row>
    <row r="14" spans="1:13" ht="39.75" customHeight="1">
      <c r="A14" s="365">
        <v>42309</v>
      </c>
      <c r="B14" s="181">
        <v>0</v>
      </c>
      <c r="C14" s="181">
        <v>0</v>
      </c>
      <c r="D14" s="181">
        <f t="shared" si="1"/>
        <v>12998.33</v>
      </c>
      <c r="E14" s="181">
        <f t="shared" si="2"/>
        <v>3886491.1</v>
      </c>
      <c r="F14" s="181"/>
      <c r="G14" s="181"/>
      <c r="H14" s="181"/>
      <c r="I14" s="181">
        <v>100000</v>
      </c>
      <c r="J14" s="181">
        <f t="shared" si="3"/>
        <v>3886385.1</v>
      </c>
      <c r="K14" s="181"/>
      <c r="L14" s="181">
        <f t="shared" si="0"/>
        <v>106</v>
      </c>
      <c r="M14" s="412" t="s">
        <v>1247</v>
      </c>
    </row>
    <row r="15" spans="1:13" ht="39.75" customHeight="1">
      <c r="A15" s="365">
        <v>42339</v>
      </c>
      <c r="B15" s="181">
        <v>0</v>
      </c>
      <c r="C15" s="181">
        <v>0</v>
      </c>
      <c r="D15" s="181">
        <f t="shared" si="1"/>
        <v>12998.33</v>
      </c>
      <c r="E15" s="181">
        <f t="shared" si="2"/>
        <v>3886491.1</v>
      </c>
      <c r="F15" s="181"/>
      <c r="G15" s="181"/>
      <c r="H15" s="181"/>
      <c r="I15" s="181"/>
      <c r="J15" s="181">
        <f t="shared" si="3"/>
        <v>3886385.1</v>
      </c>
      <c r="K15" s="181"/>
      <c r="L15" s="181">
        <f t="shared" si="0"/>
        <v>106</v>
      </c>
      <c r="M15" s="412"/>
    </row>
    <row r="16" spans="1:13" ht="39.75" customHeight="1">
      <c r="A16" s="365"/>
      <c r="B16" s="181"/>
      <c r="C16" s="181"/>
      <c r="D16" s="181"/>
      <c r="E16" s="181"/>
      <c r="F16" s="181"/>
      <c r="G16" s="181"/>
      <c r="H16" s="181"/>
      <c r="I16" s="181"/>
      <c r="J16" s="181"/>
      <c r="K16" s="181"/>
      <c r="L16" s="181"/>
      <c r="M16" s="412"/>
    </row>
    <row r="17" spans="1:13" ht="39.75" customHeight="1">
      <c r="A17" s="365"/>
      <c r="B17" s="181"/>
      <c r="C17" s="181"/>
      <c r="D17" s="181"/>
      <c r="E17" s="181"/>
      <c r="F17" s="181"/>
      <c r="G17" s="181"/>
      <c r="H17" s="181"/>
      <c r="I17" s="181"/>
      <c r="J17" s="181"/>
      <c r="K17" s="181"/>
      <c r="L17" s="181"/>
      <c r="M17" s="412"/>
    </row>
    <row r="18" spans="1:13" ht="39.75" customHeight="1">
      <c r="A18" s="365"/>
      <c r="B18" s="181"/>
      <c r="C18" s="181"/>
      <c r="D18" s="181"/>
      <c r="E18" s="181"/>
      <c r="F18" s="181"/>
      <c r="G18" s="181"/>
      <c r="H18" s="181"/>
      <c r="I18" s="181"/>
      <c r="J18" s="181"/>
      <c r="K18" s="181"/>
      <c r="L18" s="181"/>
      <c r="M18" s="412"/>
    </row>
  </sheetData>
  <mergeCells count="9">
    <mergeCell ref="B4:E4"/>
    <mergeCell ref="F4:H4"/>
    <mergeCell ref="I4:L4"/>
    <mergeCell ref="B1:C1"/>
    <mergeCell ref="H1:I1"/>
    <mergeCell ref="B2:C2"/>
    <mergeCell ref="B3:G3"/>
    <mergeCell ref="H3:J3"/>
    <mergeCell ref="K3:M3"/>
  </mergeCells>
  <phoneticPr fontId="84" type="noConversion"/>
  <pageMargins left="0.75" right="0.75" top="1" bottom="1" header="0.5" footer="0.5"/>
  <pageSetup paperSize="9" orientation="portrait" verticalDpi="0"/>
  <headerFooter scaleWithDoc="0" alignWithMargins="0"/>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31" workbookViewId="0">
      <selection activeCell="A36" sqref="A36"/>
    </sheetView>
  </sheetViews>
  <sheetFormatPr defaultColWidth="9" defaultRowHeight="14.25"/>
  <cols>
    <col min="1" max="1" width="14.375" customWidth="1"/>
    <col min="2" max="5" width="13.125" customWidth="1"/>
    <col min="6" max="6" width="14.75" customWidth="1"/>
    <col min="7" max="8" width="13.125" customWidth="1"/>
    <col min="9" max="9" width="14.875" customWidth="1"/>
    <col min="10" max="10" width="19.625" customWidth="1"/>
    <col min="11" max="12" width="13.125" customWidth="1"/>
    <col min="13" max="13" width="25.625" customWidth="1"/>
  </cols>
  <sheetData>
    <row r="1" spans="1:13" ht="185.1" customHeight="1">
      <c r="A1" s="1032" t="s">
        <v>556</v>
      </c>
      <c r="B1" s="1216"/>
      <c r="C1" s="1811" t="s">
        <v>1248</v>
      </c>
      <c r="D1" s="1811"/>
      <c r="E1" s="1830" t="s">
        <v>1249</v>
      </c>
      <c r="F1" s="1822"/>
      <c r="G1" s="1822"/>
      <c r="H1" s="1090" t="s">
        <v>237</v>
      </c>
      <c r="I1" s="1665" t="s">
        <v>1250</v>
      </c>
      <c r="J1" s="1820"/>
      <c r="K1" s="1823" t="s">
        <v>1251</v>
      </c>
      <c r="L1" s="1823"/>
      <c r="M1" s="1823"/>
    </row>
    <row r="2" spans="1:13" ht="54.75" customHeight="1">
      <c r="A2" s="39" t="s">
        <v>240</v>
      </c>
      <c r="B2" s="1637" t="s">
        <v>319</v>
      </c>
      <c r="C2" s="1637"/>
      <c r="D2" s="41" t="s">
        <v>242</v>
      </c>
      <c r="E2" s="1637"/>
      <c r="F2" s="1637"/>
      <c r="G2" s="1637"/>
      <c r="H2" s="1664"/>
      <c r="I2" s="1664"/>
      <c r="J2" s="41" t="s">
        <v>243</v>
      </c>
      <c r="K2" s="998" t="s">
        <v>1252</v>
      </c>
      <c r="L2" s="103" t="s">
        <v>245</v>
      </c>
      <c r="M2" s="1083" t="s">
        <v>1253</v>
      </c>
    </row>
    <row r="3" spans="1:13" ht="38.25" customHeight="1">
      <c r="A3" s="39" t="s">
        <v>247</v>
      </c>
      <c r="B3" s="1637" t="s">
        <v>1254</v>
      </c>
      <c r="C3" s="1637"/>
      <c r="D3" s="41" t="s">
        <v>249</v>
      </c>
      <c r="E3" s="1225"/>
      <c r="F3" s="1218" t="s">
        <v>1177</v>
      </c>
      <c r="G3" s="41"/>
      <c r="H3" s="41" t="s">
        <v>252</v>
      </c>
      <c r="I3" s="41"/>
      <c r="J3" s="16" t="s">
        <v>253</v>
      </c>
      <c r="K3" s="15" t="s">
        <v>1255</v>
      </c>
      <c r="L3" s="15" t="s">
        <v>255</v>
      </c>
      <c r="M3" s="92" t="s">
        <v>1256</v>
      </c>
    </row>
    <row r="4" spans="1:13" ht="45.95" customHeight="1">
      <c r="A4" s="39" t="s">
        <v>260</v>
      </c>
      <c r="B4" s="1762" t="s">
        <v>1257</v>
      </c>
      <c r="C4" s="1762"/>
      <c r="D4" s="1762"/>
      <c r="E4" s="1762"/>
      <c r="F4" s="1762"/>
      <c r="G4" s="1762"/>
      <c r="H4" s="1762" t="s">
        <v>1258</v>
      </c>
      <c r="I4" s="1762"/>
      <c r="J4" s="1762"/>
      <c r="K4" s="1649"/>
      <c r="L4" s="1650"/>
      <c r="M4" s="1825"/>
    </row>
    <row r="5" spans="1:13" ht="38.25"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s="669" customFormat="1" ht="27" customHeight="1">
      <c r="A7" s="1234">
        <v>42095</v>
      </c>
      <c r="B7" s="1235">
        <v>478</v>
      </c>
      <c r="C7" s="1235">
        <v>141060</v>
      </c>
      <c r="D7" s="1235">
        <f>B7</f>
        <v>478</v>
      </c>
      <c r="E7" s="1235">
        <f>C7</f>
        <v>141060</v>
      </c>
      <c r="F7" s="1235"/>
      <c r="G7" s="1235"/>
      <c r="H7" s="1235"/>
      <c r="I7" s="1235"/>
      <c r="J7" s="1235"/>
      <c r="K7" s="1235"/>
      <c r="L7" s="1235">
        <f t="shared" ref="L7:L35" si="0">E7-J7</f>
        <v>141060</v>
      </c>
      <c r="M7" s="1235"/>
    </row>
    <row r="8" spans="1:13" s="669" customFormat="1" ht="27" customHeight="1">
      <c r="A8" s="1236">
        <v>42125</v>
      </c>
      <c r="B8" s="1235">
        <v>384</v>
      </c>
      <c r="C8" s="1235">
        <v>113280</v>
      </c>
      <c r="D8" s="1235">
        <f t="shared" ref="D8:D35" si="1">D7+B8</f>
        <v>862</v>
      </c>
      <c r="E8" s="1235">
        <f t="shared" ref="E8:E35" si="2">E7+C8</f>
        <v>254340</v>
      </c>
      <c r="F8" s="1235"/>
      <c r="G8" s="1235"/>
      <c r="H8" s="1235">
        <f t="shared" ref="H8:H36" si="3">C7</f>
        <v>141060</v>
      </c>
      <c r="I8" s="1235"/>
      <c r="J8" s="1235">
        <f>I8</f>
        <v>0</v>
      </c>
      <c r="K8" s="1235">
        <f t="shared" ref="K8:K36" si="4">K7+H8-I8</f>
        <v>141060</v>
      </c>
      <c r="L8" s="1235">
        <f t="shared" si="0"/>
        <v>254340</v>
      </c>
      <c r="M8" s="1235"/>
    </row>
    <row r="9" spans="1:13" s="669" customFormat="1" ht="27" customHeight="1">
      <c r="A9" s="1236">
        <v>42156</v>
      </c>
      <c r="B9" s="1235">
        <v>348</v>
      </c>
      <c r="C9" s="1235">
        <v>104035</v>
      </c>
      <c r="D9" s="1235">
        <f t="shared" si="1"/>
        <v>1210</v>
      </c>
      <c r="E9" s="1235">
        <f t="shared" si="2"/>
        <v>358375</v>
      </c>
      <c r="F9" s="1235"/>
      <c r="G9" s="1235"/>
      <c r="H9" s="1235">
        <f t="shared" si="3"/>
        <v>113280</v>
      </c>
      <c r="I9" s="1235"/>
      <c r="J9" s="1235">
        <f>I9+J8</f>
        <v>0</v>
      </c>
      <c r="K9" s="1235">
        <f t="shared" si="4"/>
        <v>254340</v>
      </c>
      <c r="L9" s="1235">
        <f t="shared" si="0"/>
        <v>358375</v>
      </c>
      <c r="M9" s="1235"/>
    </row>
    <row r="10" spans="1:13" s="669" customFormat="1" ht="27" customHeight="1">
      <c r="A10" s="1236">
        <v>42186</v>
      </c>
      <c r="B10" s="1235">
        <v>595.5</v>
      </c>
      <c r="C10" s="1235">
        <v>170662.5</v>
      </c>
      <c r="D10" s="1235">
        <f t="shared" si="1"/>
        <v>1805.5</v>
      </c>
      <c r="E10" s="1235">
        <f t="shared" si="2"/>
        <v>529037.5</v>
      </c>
      <c r="F10" s="1235"/>
      <c r="G10" s="1235"/>
      <c r="H10" s="1235">
        <f t="shared" si="3"/>
        <v>104035</v>
      </c>
      <c r="I10" s="1235">
        <v>346275</v>
      </c>
      <c r="J10" s="1235">
        <f t="shared" ref="J10:J35" si="5">J9+I10</f>
        <v>346275</v>
      </c>
      <c r="K10" s="1235">
        <f t="shared" si="4"/>
        <v>12100</v>
      </c>
      <c r="L10" s="1235">
        <f t="shared" si="0"/>
        <v>182762.5</v>
      </c>
      <c r="M10" s="1240" t="s">
        <v>1259</v>
      </c>
    </row>
    <row r="11" spans="1:13" s="669" customFormat="1" ht="27" customHeight="1">
      <c r="A11" s="1236">
        <v>42217</v>
      </c>
      <c r="B11" s="1235">
        <v>416</v>
      </c>
      <c r="C11" s="1235">
        <v>118720</v>
      </c>
      <c r="D11" s="1235">
        <f t="shared" si="1"/>
        <v>2221.5</v>
      </c>
      <c r="E11" s="1235">
        <f t="shared" si="2"/>
        <v>647757.5</v>
      </c>
      <c r="F11" s="1235"/>
      <c r="G11" s="1235"/>
      <c r="H11" s="1235">
        <f t="shared" si="3"/>
        <v>170662.5</v>
      </c>
      <c r="I11" s="1235"/>
      <c r="J11" s="1235">
        <f t="shared" si="5"/>
        <v>346275</v>
      </c>
      <c r="K11" s="1235">
        <f t="shared" si="4"/>
        <v>182762.5</v>
      </c>
      <c r="L11" s="1235">
        <f t="shared" si="0"/>
        <v>301482.5</v>
      </c>
      <c r="M11" s="1235"/>
    </row>
    <row r="12" spans="1:13" ht="27" customHeight="1">
      <c r="A12" s="1237">
        <v>42248</v>
      </c>
      <c r="B12" s="181">
        <v>666.5</v>
      </c>
      <c r="C12" s="181">
        <v>186730</v>
      </c>
      <c r="D12" s="181">
        <f t="shared" si="1"/>
        <v>2888</v>
      </c>
      <c r="E12" s="181">
        <f t="shared" si="2"/>
        <v>834487.5</v>
      </c>
      <c r="F12" s="181"/>
      <c r="G12" s="181"/>
      <c r="H12" s="181">
        <f t="shared" si="3"/>
        <v>118720</v>
      </c>
      <c r="I12" s="181">
        <v>279272</v>
      </c>
      <c r="J12" s="181">
        <f t="shared" si="5"/>
        <v>625547</v>
      </c>
      <c r="K12" s="181">
        <f t="shared" si="4"/>
        <v>22210.5</v>
      </c>
      <c r="L12" s="181">
        <f t="shared" si="0"/>
        <v>208940.5</v>
      </c>
      <c r="M12" s="181" t="s">
        <v>1260</v>
      </c>
    </row>
    <row r="13" spans="1:13" ht="27" customHeight="1">
      <c r="A13" s="1237">
        <v>42278</v>
      </c>
      <c r="B13" s="181">
        <v>1560.2</v>
      </c>
      <c r="C13" s="181">
        <v>436665</v>
      </c>
      <c r="D13" s="181">
        <f t="shared" si="1"/>
        <v>4448.2</v>
      </c>
      <c r="E13" s="181">
        <f t="shared" si="2"/>
        <v>1271152.5</v>
      </c>
      <c r="F13" s="1229"/>
      <c r="G13" s="181"/>
      <c r="H13" s="181">
        <f t="shared" si="3"/>
        <v>186730</v>
      </c>
      <c r="I13" s="181"/>
      <c r="J13" s="181">
        <f t="shared" si="5"/>
        <v>625547</v>
      </c>
      <c r="K13" s="181">
        <f t="shared" si="4"/>
        <v>208940.5</v>
      </c>
      <c r="L13" s="181">
        <f t="shared" si="0"/>
        <v>645605.5</v>
      </c>
      <c r="M13" s="181"/>
    </row>
    <row r="14" spans="1:13" ht="27" customHeight="1">
      <c r="A14" s="365">
        <v>42309</v>
      </c>
      <c r="B14" s="181">
        <v>1266</v>
      </c>
      <c r="C14" s="181">
        <v>346820</v>
      </c>
      <c r="D14" s="181">
        <f t="shared" si="1"/>
        <v>5714.2</v>
      </c>
      <c r="E14" s="181">
        <f t="shared" si="2"/>
        <v>1617972.5</v>
      </c>
      <c r="F14" s="181"/>
      <c r="G14" s="181"/>
      <c r="H14" s="181">
        <f t="shared" si="3"/>
        <v>436665</v>
      </c>
      <c r="I14" s="181"/>
      <c r="J14" s="181">
        <f t="shared" si="5"/>
        <v>625547</v>
      </c>
      <c r="K14" s="181">
        <f t="shared" si="4"/>
        <v>645605.5</v>
      </c>
      <c r="L14" s="181">
        <f t="shared" si="0"/>
        <v>992425.5</v>
      </c>
      <c r="M14" s="181"/>
    </row>
    <row r="15" spans="1:13" ht="27" customHeight="1">
      <c r="A15" s="365">
        <v>42339</v>
      </c>
      <c r="B15" s="181">
        <v>1688.5</v>
      </c>
      <c r="C15" s="181">
        <v>443980</v>
      </c>
      <c r="D15" s="181">
        <f t="shared" si="1"/>
        <v>7402.7</v>
      </c>
      <c r="E15" s="181">
        <f t="shared" si="2"/>
        <v>2061952.5</v>
      </c>
      <c r="F15" s="181"/>
      <c r="G15" s="181"/>
      <c r="H15" s="181">
        <f t="shared" si="3"/>
        <v>346820</v>
      </c>
      <c r="I15" s="181">
        <v>623395</v>
      </c>
      <c r="J15" s="181">
        <f t="shared" si="5"/>
        <v>1248942</v>
      </c>
      <c r="K15" s="181">
        <f t="shared" si="4"/>
        <v>369030.5</v>
      </c>
      <c r="L15" s="181">
        <f t="shared" si="0"/>
        <v>813010.5</v>
      </c>
      <c r="M15" s="181" t="s">
        <v>1261</v>
      </c>
    </row>
    <row r="16" spans="1:13" ht="27" customHeight="1">
      <c r="A16" s="365">
        <v>42370</v>
      </c>
      <c r="B16" s="181">
        <v>3100.5</v>
      </c>
      <c r="C16" s="181">
        <v>823697.5</v>
      </c>
      <c r="D16" s="181">
        <f t="shared" si="1"/>
        <v>10503.2</v>
      </c>
      <c r="E16" s="181">
        <f t="shared" si="2"/>
        <v>2885650</v>
      </c>
      <c r="F16" s="181"/>
      <c r="G16" s="181"/>
      <c r="H16" s="181">
        <f t="shared" si="3"/>
        <v>443980</v>
      </c>
      <c r="I16" s="181">
        <v>790800</v>
      </c>
      <c r="J16" s="181">
        <f t="shared" si="5"/>
        <v>2039742</v>
      </c>
      <c r="K16" s="181">
        <f t="shared" si="4"/>
        <v>22210.5</v>
      </c>
      <c r="L16" s="181">
        <f t="shared" si="0"/>
        <v>845908</v>
      </c>
      <c r="M16" s="181" t="s">
        <v>1262</v>
      </c>
    </row>
    <row r="17" spans="1:13" ht="27" customHeight="1">
      <c r="A17" s="365">
        <v>42401</v>
      </c>
      <c r="B17" s="181">
        <v>365</v>
      </c>
      <c r="C17" s="181">
        <v>94665</v>
      </c>
      <c r="D17" s="181">
        <f t="shared" si="1"/>
        <v>10868.2</v>
      </c>
      <c r="E17" s="181">
        <f t="shared" si="2"/>
        <v>2980315</v>
      </c>
      <c r="F17" s="181"/>
      <c r="G17" s="181"/>
      <c r="H17" s="181">
        <f t="shared" si="3"/>
        <v>823697.5</v>
      </c>
      <c r="I17" s="181"/>
      <c r="J17" s="181">
        <f t="shared" si="5"/>
        <v>2039742</v>
      </c>
      <c r="K17" s="181">
        <f t="shared" si="4"/>
        <v>845908</v>
      </c>
      <c r="L17" s="181">
        <f t="shared" si="0"/>
        <v>940573</v>
      </c>
      <c r="M17" s="181"/>
    </row>
    <row r="18" spans="1:13" ht="27" customHeight="1">
      <c r="A18" s="365">
        <v>42430</v>
      </c>
      <c r="B18" s="181">
        <v>1890</v>
      </c>
      <c r="C18" s="181">
        <v>486210</v>
      </c>
      <c r="D18" s="181">
        <f t="shared" si="1"/>
        <v>12758.2</v>
      </c>
      <c r="E18" s="181">
        <f t="shared" si="2"/>
        <v>3466525</v>
      </c>
      <c r="F18" s="181"/>
      <c r="G18" s="181"/>
      <c r="H18" s="181">
        <f t="shared" si="3"/>
        <v>94665</v>
      </c>
      <c r="I18" s="181">
        <v>918362.5</v>
      </c>
      <c r="J18" s="181">
        <f t="shared" si="5"/>
        <v>2958104.5</v>
      </c>
      <c r="K18" s="181">
        <f t="shared" si="4"/>
        <v>22210.5</v>
      </c>
      <c r="L18" s="181">
        <f t="shared" si="0"/>
        <v>508420.5</v>
      </c>
      <c r="M18" s="181" t="s">
        <v>1263</v>
      </c>
    </row>
    <row r="19" spans="1:13" ht="27" customHeight="1">
      <c r="A19" s="365">
        <v>42461</v>
      </c>
      <c r="B19" s="181">
        <v>2294.5</v>
      </c>
      <c r="C19" s="181">
        <v>643792.5</v>
      </c>
      <c r="D19" s="181">
        <f t="shared" si="1"/>
        <v>15052.7</v>
      </c>
      <c r="E19" s="181">
        <f t="shared" si="2"/>
        <v>4110317.5</v>
      </c>
      <c r="F19" s="181"/>
      <c r="G19" s="181"/>
      <c r="H19" s="181">
        <f t="shared" si="3"/>
        <v>486210</v>
      </c>
      <c r="I19" s="181"/>
      <c r="J19" s="181">
        <f t="shared" si="5"/>
        <v>2958104.5</v>
      </c>
      <c r="K19" s="181">
        <f t="shared" si="4"/>
        <v>508420.5</v>
      </c>
      <c r="L19" s="181">
        <f t="shared" si="0"/>
        <v>1152213</v>
      </c>
      <c r="M19" s="181"/>
    </row>
    <row r="20" spans="1:13" ht="27" customHeight="1">
      <c r="A20" s="365">
        <v>42491</v>
      </c>
      <c r="B20" s="181">
        <v>2647</v>
      </c>
      <c r="C20" s="181">
        <v>692217.5</v>
      </c>
      <c r="D20" s="181">
        <f t="shared" si="1"/>
        <v>17699.7</v>
      </c>
      <c r="E20" s="181">
        <f t="shared" si="2"/>
        <v>4802535</v>
      </c>
      <c r="F20" s="181"/>
      <c r="G20" s="181"/>
      <c r="H20" s="181">
        <f t="shared" si="3"/>
        <v>643792.5</v>
      </c>
      <c r="I20" s="181"/>
      <c r="J20" s="181">
        <f t="shared" si="5"/>
        <v>2958104.5</v>
      </c>
      <c r="K20" s="181">
        <f t="shared" si="4"/>
        <v>1152213</v>
      </c>
      <c r="L20" s="181">
        <f t="shared" si="0"/>
        <v>1844430.5</v>
      </c>
      <c r="M20" s="181" t="s">
        <v>1264</v>
      </c>
    </row>
    <row r="21" spans="1:13" ht="27" customHeight="1">
      <c r="A21" s="365">
        <v>42522</v>
      </c>
      <c r="B21" s="181">
        <v>3167</v>
      </c>
      <c r="C21" s="181">
        <v>817125</v>
      </c>
      <c r="D21" s="181">
        <f t="shared" si="1"/>
        <v>20866.7</v>
      </c>
      <c r="E21" s="181">
        <f t="shared" si="2"/>
        <v>5619660</v>
      </c>
      <c r="F21" s="181"/>
      <c r="G21" s="181"/>
      <c r="H21" s="1238">
        <f t="shared" si="3"/>
        <v>692217.5</v>
      </c>
      <c r="I21" s="181">
        <v>1130002.5</v>
      </c>
      <c r="J21" s="181">
        <f t="shared" si="5"/>
        <v>4088107</v>
      </c>
      <c r="K21" s="181">
        <f t="shared" si="4"/>
        <v>714428</v>
      </c>
      <c r="L21" s="181">
        <f t="shared" si="0"/>
        <v>1531553</v>
      </c>
      <c r="M21" s="181" t="s">
        <v>1265</v>
      </c>
    </row>
    <row r="22" spans="1:13" ht="27" customHeight="1">
      <c r="A22" s="365">
        <v>42552</v>
      </c>
      <c r="B22" s="181">
        <v>2896.5</v>
      </c>
      <c r="C22" s="181">
        <v>755142.5</v>
      </c>
      <c r="D22" s="181">
        <f t="shared" si="1"/>
        <v>23763.200000000001</v>
      </c>
      <c r="E22" s="181">
        <f t="shared" si="2"/>
        <v>6374802.5</v>
      </c>
      <c r="F22" s="181"/>
      <c r="G22" s="181"/>
      <c r="H22" s="1238">
        <f t="shared" si="3"/>
        <v>817125</v>
      </c>
      <c r="I22" s="181"/>
      <c r="J22" s="181">
        <f t="shared" si="5"/>
        <v>4088107</v>
      </c>
      <c r="K22" s="181">
        <f t="shared" si="4"/>
        <v>1531553</v>
      </c>
      <c r="L22" s="181">
        <f t="shared" si="0"/>
        <v>2286695.5</v>
      </c>
      <c r="M22" s="181"/>
    </row>
    <row r="23" spans="1:13" ht="27" customHeight="1">
      <c r="A23" s="365">
        <v>42583</v>
      </c>
      <c r="B23" s="181">
        <v>3930.5</v>
      </c>
      <c r="C23" s="181">
        <v>1025395</v>
      </c>
      <c r="D23" s="181">
        <f t="shared" si="1"/>
        <v>27693.7</v>
      </c>
      <c r="E23" s="181">
        <f t="shared" si="2"/>
        <v>7400197.5</v>
      </c>
      <c r="F23" s="181"/>
      <c r="G23" s="181"/>
      <c r="H23" s="181">
        <f t="shared" si="3"/>
        <v>755142.5</v>
      </c>
      <c r="I23" s="181">
        <v>1509342.5</v>
      </c>
      <c r="J23" s="181">
        <f t="shared" si="5"/>
        <v>5597449.5</v>
      </c>
      <c r="K23" s="181">
        <f t="shared" si="4"/>
        <v>777353</v>
      </c>
      <c r="L23" s="181">
        <f t="shared" si="0"/>
        <v>1802748</v>
      </c>
      <c r="M23" s="181"/>
    </row>
    <row r="24" spans="1:13" ht="27" customHeight="1">
      <c r="A24" s="365">
        <v>42614</v>
      </c>
      <c r="B24" s="181">
        <v>2</v>
      </c>
      <c r="C24" s="181">
        <v>470</v>
      </c>
      <c r="D24" s="181">
        <f t="shared" si="1"/>
        <v>27695.7</v>
      </c>
      <c r="E24" s="181">
        <f t="shared" si="2"/>
        <v>7400667.5</v>
      </c>
      <c r="F24" s="181"/>
      <c r="G24" s="181"/>
      <c r="H24" s="181">
        <f t="shared" si="3"/>
        <v>1025395</v>
      </c>
      <c r="I24" s="181"/>
      <c r="J24" s="181">
        <f t="shared" si="5"/>
        <v>5597449.5</v>
      </c>
      <c r="K24" s="181">
        <f t="shared" si="4"/>
        <v>1802748</v>
      </c>
      <c r="L24" s="181">
        <f t="shared" si="0"/>
        <v>1803218</v>
      </c>
      <c r="M24" s="181"/>
    </row>
    <row r="25" spans="1:13" ht="27" customHeight="1">
      <c r="A25" s="365">
        <v>42644</v>
      </c>
      <c r="B25" s="181">
        <v>2444</v>
      </c>
      <c r="C25" s="181">
        <v>630672.5</v>
      </c>
      <c r="D25" s="181">
        <f t="shared" si="1"/>
        <v>30139.7</v>
      </c>
      <c r="E25" s="181">
        <f t="shared" si="2"/>
        <v>8031340</v>
      </c>
      <c r="F25" s="181"/>
      <c r="G25" s="181"/>
      <c r="H25" s="181">
        <f t="shared" si="3"/>
        <v>470</v>
      </c>
      <c r="I25" s="181"/>
      <c r="J25" s="181">
        <f t="shared" si="5"/>
        <v>5597449.5</v>
      </c>
      <c r="K25" s="181">
        <f t="shared" si="4"/>
        <v>1803218</v>
      </c>
      <c r="L25" s="181">
        <f t="shared" si="0"/>
        <v>2433890.5</v>
      </c>
      <c r="M25" s="181"/>
    </row>
    <row r="26" spans="1:13" ht="27" customHeight="1">
      <c r="A26" s="365">
        <v>42675</v>
      </c>
      <c r="B26" s="181">
        <v>7341.5</v>
      </c>
      <c r="C26" s="181">
        <v>1892932.5</v>
      </c>
      <c r="D26" s="181">
        <f t="shared" si="1"/>
        <v>37481.199999999997</v>
      </c>
      <c r="E26" s="181">
        <f t="shared" si="2"/>
        <v>9924272.5</v>
      </c>
      <c r="F26" s="181"/>
      <c r="G26" s="181"/>
      <c r="H26" s="181">
        <f t="shared" si="3"/>
        <v>630672.5</v>
      </c>
      <c r="I26" s="181">
        <v>1780537.5</v>
      </c>
      <c r="J26" s="181">
        <f t="shared" si="5"/>
        <v>7377987</v>
      </c>
      <c r="K26" s="181">
        <f t="shared" si="4"/>
        <v>653353</v>
      </c>
      <c r="L26" s="181">
        <f t="shared" si="0"/>
        <v>2546285.5</v>
      </c>
      <c r="M26" s="181" t="s">
        <v>1266</v>
      </c>
    </row>
    <row r="27" spans="1:13" ht="27" customHeight="1">
      <c r="A27" s="405" t="s">
        <v>1267</v>
      </c>
      <c r="B27" s="181">
        <v>5974.5</v>
      </c>
      <c r="C27" s="181">
        <v>1736002.5</v>
      </c>
      <c r="D27" s="181">
        <f t="shared" si="1"/>
        <v>43455.7</v>
      </c>
      <c r="E27" s="181">
        <f t="shared" si="2"/>
        <v>11660275</v>
      </c>
      <c r="F27" s="181"/>
      <c r="G27" s="181"/>
      <c r="H27" s="181">
        <f t="shared" si="3"/>
        <v>1892932.5</v>
      </c>
      <c r="I27" s="181">
        <v>2523605</v>
      </c>
      <c r="J27" s="181">
        <f t="shared" si="5"/>
        <v>9901592</v>
      </c>
      <c r="K27" s="181">
        <f t="shared" si="4"/>
        <v>22680.5</v>
      </c>
      <c r="L27" s="181">
        <f t="shared" si="0"/>
        <v>1758683</v>
      </c>
      <c r="M27" s="181" t="s">
        <v>1268</v>
      </c>
    </row>
    <row r="28" spans="1:13" ht="27" customHeight="1">
      <c r="A28" s="405" t="s">
        <v>1269</v>
      </c>
      <c r="B28" s="181">
        <v>4204</v>
      </c>
      <c r="C28" s="181">
        <v>1358515</v>
      </c>
      <c r="D28" s="181">
        <f t="shared" si="1"/>
        <v>47659.7</v>
      </c>
      <c r="E28" s="181">
        <f t="shared" si="2"/>
        <v>13018790</v>
      </c>
      <c r="F28" s="181"/>
      <c r="G28" s="181"/>
      <c r="H28" s="181">
        <f t="shared" si="3"/>
        <v>1736002.5</v>
      </c>
      <c r="I28" s="181">
        <v>1736002.5</v>
      </c>
      <c r="J28" s="181">
        <f t="shared" si="5"/>
        <v>11637594.5</v>
      </c>
      <c r="K28" s="181">
        <f t="shared" si="4"/>
        <v>22680.5</v>
      </c>
      <c r="L28" s="181">
        <f t="shared" si="0"/>
        <v>1381195.5</v>
      </c>
      <c r="M28" s="181" t="s">
        <v>1270</v>
      </c>
    </row>
    <row r="29" spans="1:13" ht="27" customHeight="1">
      <c r="A29" s="405" t="s">
        <v>1271</v>
      </c>
      <c r="B29" s="181">
        <v>1007</v>
      </c>
      <c r="C29" s="181">
        <v>296320</v>
      </c>
      <c r="D29" s="181">
        <f t="shared" si="1"/>
        <v>48666.7</v>
      </c>
      <c r="E29" s="181">
        <f t="shared" si="2"/>
        <v>13315110</v>
      </c>
      <c r="F29" s="181"/>
      <c r="G29" s="181"/>
      <c r="H29" s="181">
        <f t="shared" si="3"/>
        <v>1358515</v>
      </c>
      <c r="I29" s="181"/>
      <c r="J29" s="181">
        <f t="shared" si="5"/>
        <v>11637594.5</v>
      </c>
      <c r="K29" s="181">
        <f t="shared" si="4"/>
        <v>1381195.5</v>
      </c>
      <c r="L29" s="181">
        <f t="shared" si="0"/>
        <v>1677515.5</v>
      </c>
      <c r="M29" s="181"/>
    </row>
    <row r="30" spans="1:13" ht="27" customHeight="1">
      <c r="A30" s="365">
        <v>42795</v>
      </c>
      <c r="B30" s="181">
        <v>4674</v>
      </c>
      <c r="C30" s="181">
        <v>1369700</v>
      </c>
      <c r="D30" s="181">
        <f t="shared" si="1"/>
        <v>53340.7</v>
      </c>
      <c r="E30" s="181">
        <f t="shared" si="2"/>
        <v>14684810</v>
      </c>
      <c r="F30" s="181"/>
      <c r="G30" s="181"/>
      <c r="H30" s="181">
        <f t="shared" si="3"/>
        <v>296320</v>
      </c>
      <c r="I30" s="181">
        <f>1358516+296320</f>
        <v>1654836</v>
      </c>
      <c r="J30" s="181">
        <f t="shared" si="5"/>
        <v>13292430.5</v>
      </c>
      <c r="K30" s="181">
        <f t="shared" si="4"/>
        <v>22679.5</v>
      </c>
      <c r="L30" s="181">
        <f t="shared" si="0"/>
        <v>1392379.5</v>
      </c>
      <c r="M30" s="180" t="s">
        <v>1272</v>
      </c>
    </row>
    <row r="31" spans="1:13" ht="27" customHeight="1">
      <c r="A31" s="365">
        <v>42826</v>
      </c>
      <c r="B31" s="181">
        <v>10467.5</v>
      </c>
      <c r="C31" s="181">
        <v>3127665</v>
      </c>
      <c r="D31" s="181">
        <f t="shared" si="1"/>
        <v>63808.2</v>
      </c>
      <c r="E31" s="181">
        <f t="shared" si="2"/>
        <v>17812475</v>
      </c>
      <c r="F31" s="181"/>
      <c r="G31" s="181"/>
      <c r="H31" s="181">
        <f t="shared" si="3"/>
        <v>1369700</v>
      </c>
      <c r="I31" s="181"/>
      <c r="J31" s="181">
        <f t="shared" si="5"/>
        <v>13292430.5</v>
      </c>
      <c r="K31" s="181">
        <f t="shared" si="4"/>
        <v>1392379.5</v>
      </c>
      <c r="L31" s="181">
        <f t="shared" si="0"/>
        <v>4520044.5</v>
      </c>
      <c r="M31" s="181" t="s">
        <v>1273</v>
      </c>
    </row>
    <row r="32" spans="1:13" ht="26.1" customHeight="1">
      <c r="A32" s="365">
        <v>42856</v>
      </c>
      <c r="B32" s="181">
        <v>9282</v>
      </c>
      <c r="C32" s="181">
        <v>2743660</v>
      </c>
      <c r="D32" s="181">
        <f t="shared" si="1"/>
        <v>73090.2</v>
      </c>
      <c r="E32" s="181">
        <f t="shared" si="2"/>
        <v>20556135</v>
      </c>
      <c r="F32" s="181"/>
      <c r="G32" s="181"/>
      <c r="H32" s="181">
        <f t="shared" si="3"/>
        <v>3127665</v>
      </c>
      <c r="I32" s="181">
        <v>1369700</v>
      </c>
      <c r="J32" s="181">
        <f t="shared" si="5"/>
        <v>14662130.5</v>
      </c>
      <c r="K32" s="181">
        <f t="shared" si="4"/>
        <v>3150344.5</v>
      </c>
      <c r="L32" s="181">
        <f t="shared" si="0"/>
        <v>5894004.5</v>
      </c>
      <c r="M32" s="181" t="s">
        <v>1274</v>
      </c>
    </row>
    <row r="33" spans="1:13" ht="27" customHeight="1">
      <c r="A33" s="1239">
        <v>42887</v>
      </c>
      <c r="B33" s="284">
        <v>6014.5</v>
      </c>
      <c r="C33" s="284">
        <v>1814320</v>
      </c>
      <c r="D33" s="181">
        <f t="shared" si="1"/>
        <v>79104.7</v>
      </c>
      <c r="E33" s="181">
        <f t="shared" si="2"/>
        <v>22370455</v>
      </c>
      <c r="F33" s="181"/>
      <c r="G33" s="181"/>
      <c r="H33" s="181">
        <f t="shared" si="3"/>
        <v>2743660</v>
      </c>
      <c r="I33" s="181">
        <v>3127664</v>
      </c>
      <c r="J33" s="181">
        <f t="shared" si="5"/>
        <v>17789794.5</v>
      </c>
      <c r="K33" s="181">
        <f t="shared" si="4"/>
        <v>2766340.5</v>
      </c>
      <c r="L33" s="181">
        <f t="shared" si="0"/>
        <v>4580660.5</v>
      </c>
      <c r="M33" s="181" t="s">
        <v>1275</v>
      </c>
    </row>
    <row r="34" spans="1:13" ht="27" customHeight="1">
      <c r="A34" s="365">
        <v>42917</v>
      </c>
      <c r="B34" s="181">
        <v>12314</v>
      </c>
      <c r="C34" s="181">
        <v>3669150</v>
      </c>
      <c r="D34" s="181">
        <f t="shared" si="1"/>
        <v>91418.7</v>
      </c>
      <c r="E34" s="181">
        <f t="shared" si="2"/>
        <v>26039605</v>
      </c>
      <c r="F34" s="181"/>
      <c r="G34" s="181"/>
      <c r="H34" s="181">
        <f t="shared" si="3"/>
        <v>1814320</v>
      </c>
      <c r="I34" s="181">
        <v>2743660</v>
      </c>
      <c r="J34" s="181">
        <f t="shared" si="5"/>
        <v>20533454.5</v>
      </c>
      <c r="K34" s="181">
        <f t="shared" si="4"/>
        <v>1837000.5</v>
      </c>
      <c r="L34" s="181">
        <f t="shared" si="0"/>
        <v>5506150.5</v>
      </c>
      <c r="M34" s="181" t="s">
        <v>1276</v>
      </c>
    </row>
    <row r="35" spans="1:13" ht="27" customHeight="1">
      <c r="A35" s="365">
        <v>42948</v>
      </c>
      <c r="B35" s="181">
        <v>16047.5</v>
      </c>
      <c r="C35" s="181">
        <v>4733395</v>
      </c>
      <c r="D35" s="181">
        <f t="shared" si="1"/>
        <v>107466.2</v>
      </c>
      <c r="E35" s="181">
        <f t="shared" si="2"/>
        <v>30773000</v>
      </c>
      <c r="F35" s="181"/>
      <c r="G35" s="181"/>
      <c r="H35" s="181">
        <f t="shared" si="3"/>
        <v>3669150</v>
      </c>
      <c r="I35" s="181">
        <f>2743660+2739810</f>
        <v>5483470</v>
      </c>
      <c r="J35" s="181">
        <f t="shared" si="5"/>
        <v>26016924.5</v>
      </c>
      <c r="K35" s="181">
        <f t="shared" si="4"/>
        <v>22680.5</v>
      </c>
      <c r="L35" s="181">
        <f t="shared" si="0"/>
        <v>4756075.5</v>
      </c>
      <c r="M35" s="181" t="s">
        <v>1277</v>
      </c>
    </row>
    <row r="36" spans="1:13" ht="27" customHeight="1">
      <c r="A36" s="365"/>
      <c r="B36" s="181"/>
      <c r="C36" s="181"/>
      <c r="D36" s="181"/>
      <c r="E36" s="181"/>
      <c r="F36" s="181"/>
      <c r="G36" s="181"/>
      <c r="H36" s="181">
        <f t="shared" si="3"/>
        <v>4733395</v>
      </c>
      <c r="I36" s="181"/>
      <c r="J36" s="181"/>
      <c r="K36" s="181">
        <f t="shared" si="4"/>
        <v>4756075.5</v>
      </c>
      <c r="L36" s="181"/>
      <c r="M36" s="181"/>
    </row>
    <row r="37" spans="1:13" ht="27" customHeight="1">
      <c r="A37" s="365"/>
      <c r="B37" s="181"/>
      <c r="C37" s="181"/>
      <c r="D37" s="181"/>
      <c r="E37" s="181"/>
      <c r="F37" s="181"/>
      <c r="G37" s="181"/>
      <c r="H37" s="181"/>
      <c r="I37" s="181"/>
      <c r="J37" s="181"/>
      <c r="K37" s="181"/>
      <c r="L37" s="181"/>
      <c r="M37" s="181"/>
    </row>
    <row r="38" spans="1:13" ht="27" customHeight="1">
      <c r="A38" s="365"/>
      <c r="B38" s="181"/>
      <c r="C38" s="181"/>
      <c r="D38" s="181"/>
      <c r="E38" s="181"/>
      <c r="F38" s="181"/>
      <c r="G38" s="181"/>
      <c r="H38" s="181"/>
      <c r="I38" s="181"/>
      <c r="J38" s="181"/>
      <c r="K38" s="181"/>
      <c r="L38" s="181"/>
      <c r="M38" s="181"/>
    </row>
    <row r="39" spans="1:13" ht="27" customHeight="1">
      <c r="A39" s="365"/>
      <c r="B39" s="181"/>
      <c r="C39" s="181"/>
      <c r="D39" s="181"/>
      <c r="E39" s="181"/>
      <c r="F39" s="181"/>
      <c r="G39" s="181"/>
      <c r="H39" s="181"/>
      <c r="I39" s="181"/>
      <c r="J39" s="181"/>
      <c r="K39" s="181"/>
      <c r="L39" s="181"/>
      <c r="M39" s="181"/>
    </row>
    <row r="40" spans="1:13" ht="27" customHeight="1">
      <c r="A40" s="365"/>
      <c r="B40" s="181"/>
      <c r="C40" s="181"/>
      <c r="D40" s="181"/>
      <c r="E40" s="181"/>
      <c r="F40" s="181"/>
      <c r="G40" s="181"/>
      <c r="H40" s="181"/>
      <c r="I40" s="181"/>
      <c r="J40" s="181"/>
      <c r="K40" s="181"/>
      <c r="L40" s="181"/>
      <c r="M40" s="181"/>
    </row>
    <row r="41" spans="1:13" ht="27" customHeight="1">
      <c r="A41" s="365"/>
      <c r="B41" s="181"/>
      <c r="C41" s="181"/>
      <c r="D41" s="181"/>
      <c r="E41" s="181"/>
      <c r="F41" s="181"/>
      <c r="G41" s="181"/>
      <c r="H41" s="181"/>
      <c r="I41" s="181"/>
      <c r="J41" s="181"/>
      <c r="K41" s="181"/>
      <c r="L41" s="181"/>
      <c r="M41" s="181"/>
    </row>
    <row r="42" spans="1:13" ht="27" customHeight="1">
      <c r="A42" s="365"/>
      <c r="B42" s="181"/>
      <c r="C42" s="181"/>
      <c r="D42" s="181"/>
      <c r="E42" s="181"/>
      <c r="F42" s="181"/>
      <c r="G42" s="181"/>
      <c r="H42" s="181"/>
      <c r="I42" s="181"/>
      <c r="J42" s="181"/>
      <c r="K42" s="181"/>
      <c r="L42" s="181"/>
      <c r="M42" s="181"/>
    </row>
    <row r="43" spans="1:13" ht="27" customHeight="1">
      <c r="A43" s="365"/>
      <c r="B43" s="181"/>
      <c r="C43" s="181"/>
      <c r="D43" s="181"/>
      <c r="E43" s="181"/>
      <c r="F43" s="181"/>
      <c r="G43" s="181"/>
      <c r="H43" s="181"/>
      <c r="I43" s="181"/>
      <c r="J43" s="181"/>
      <c r="K43" s="181"/>
      <c r="L43" s="181"/>
      <c r="M43" s="181"/>
    </row>
    <row r="44" spans="1:13" ht="27" customHeight="1">
      <c r="A44" s="365"/>
      <c r="B44" s="181"/>
      <c r="C44" s="181"/>
      <c r="D44" s="181"/>
      <c r="E44" s="181"/>
      <c r="F44" s="181"/>
      <c r="G44" s="181"/>
      <c r="H44" s="181"/>
      <c r="I44" s="181"/>
      <c r="J44" s="181"/>
      <c r="K44" s="181"/>
      <c r="L44" s="181"/>
      <c r="M44" s="181"/>
    </row>
    <row r="45" spans="1:13" ht="27" customHeight="1">
      <c r="A45" s="365"/>
      <c r="B45" s="181"/>
      <c r="C45" s="181"/>
      <c r="D45" s="181"/>
      <c r="E45" s="181"/>
      <c r="F45" s="181"/>
      <c r="G45" s="181"/>
      <c r="H45" s="181"/>
      <c r="I45" s="181"/>
      <c r="J45" s="181"/>
      <c r="K45" s="181"/>
      <c r="L45" s="181"/>
      <c r="M45" s="181"/>
    </row>
  </sheetData>
  <mergeCells count="14">
    <mergeCell ref="B3:C3"/>
    <mergeCell ref="B4:G4"/>
    <mergeCell ref="H4:J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 footer="0.5"/>
  <pageSetup paperSize="9" orientation="portrait" verticalDpi="0"/>
  <headerFooter scaleWithDoc="0" alignWithMargins="0"/>
  <legacy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7"/>
  <sheetViews>
    <sheetView topLeftCell="A10" workbookViewId="0">
      <selection activeCell="L21" sqref="L21"/>
    </sheetView>
  </sheetViews>
  <sheetFormatPr defaultColWidth="9" defaultRowHeight="14.25"/>
  <cols>
    <col min="1" max="1" width="17.625" customWidth="1"/>
    <col min="2" max="2" width="16.125" customWidth="1"/>
    <col min="3" max="3" width="14.75" customWidth="1"/>
    <col min="4" max="5" width="13.125" customWidth="1"/>
    <col min="6" max="6" width="14.75" customWidth="1"/>
    <col min="7" max="8" width="13.125" customWidth="1"/>
    <col min="9" max="9" width="14.875" customWidth="1"/>
    <col min="10" max="10" width="19.5" customWidth="1"/>
    <col min="11" max="12" width="13.125" customWidth="1"/>
    <col min="13" max="13" width="25.625" customWidth="1"/>
  </cols>
  <sheetData>
    <row r="1" spans="1:13" ht="72" customHeight="1">
      <c r="A1" s="1032" t="s">
        <v>556</v>
      </c>
      <c r="B1" s="1233">
        <v>42244</v>
      </c>
      <c r="C1" s="1811" t="s">
        <v>1278</v>
      </c>
      <c r="D1" s="1811"/>
      <c r="E1" s="1831" t="s">
        <v>1279</v>
      </c>
      <c r="F1" s="1831"/>
      <c r="G1" s="1831"/>
      <c r="H1" s="1129" t="s">
        <v>1280</v>
      </c>
      <c r="I1" s="1665" t="s">
        <v>1281</v>
      </c>
      <c r="J1" s="1820"/>
      <c r="K1" s="1823" t="s">
        <v>1282</v>
      </c>
      <c r="L1" s="1823"/>
      <c r="M1" s="1823"/>
    </row>
    <row r="2" spans="1:13" ht="54.75" customHeight="1">
      <c r="A2" s="39" t="s">
        <v>240</v>
      </c>
      <c r="B2" s="1637" t="s">
        <v>1283</v>
      </c>
      <c r="C2" s="1637"/>
      <c r="D2" s="41" t="s">
        <v>242</v>
      </c>
      <c r="E2" s="1637"/>
      <c r="F2" s="1637"/>
      <c r="G2" s="1637"/>
      <c r="H2" s="1664"/>
      <c r="I2" s="1664"/>
      <c r="J2" s="41" t="s">
        <v>243</v>
      </c>
      <c r="K2" s="41"/>
      <c r="L2" s="103" t="s">
        <v>245</v>
      </c>
      <c r="M2" s="1083" t="s">
        <v>1284</v>
      </c>
    </row>
    <row r="3" spans="1:13" ht="54.95" customHeight="1">
      <c r="A3" s="39" t="s">
        <v>247</v>
      </c>
      <c r="B3" s="1637" t="s">
        <v>1285</v>
      </c>
      <c r="C3" s="1637"/>
      <c r="D3" s="41" t="s">
        <v>249</v>
      </c>
      <c r="E3" s="1218">
        <v>14030</v>
      </c>
      <c r="F3" s="1225" t="s">
        <v>1177</v>
      </c>
      <c r="G3" s="41"/>
      <c r="H3" s="41" t="s">
        <v>252</v>
      </c>
      <c r="I3" s="41"/>
      <c r="J3" s="91" t="s">
        <v>253</v>
      </c>
      <c r="K3" s="15" t="s">
        <v>1286</v>
      </c>
      <c r="L3" s="15" t="s">
        <v>255</v>
      </c>
      <c r="M3" s="92" t="s">
        <v>1287</v>
      </c>
    </row>
    <row r="4" spans="1:13" ht="57.95" customHeight="1">
      <c r="A4" s="39" t="s">
        <v>260</v>
      </c>
      <c r="B4" s="1762" t="s">
        <v>1288</v>
      </c>
      <c r="C4" s="1762"/>
      <c r="D4" s="1762"/>
      <c r="E4" s="1762"/>
      <c r="F4" s="1762"/>
      <c r="G4" s="1762"/>
      <c r="H4" s="1762" t="s">
        <v>1289</v>
      </c>
      <c r="I4" s="1762"/>
      <c r="J4" s="1762"/>
      <c r="K4" s="1649"/>
      <c r="L4" s="1650"/>
      <c r="M4" s="1825"/>
    </row>
    <row r="5" spans="1:13" ht="38.25"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4" customHeight="1">
      <c r="A7" s="405">
        <v>42248</v>
      </c>
      <c r="B7" s="181">
        <v>26</v>
      </c>
      <c r="C7" s="181">
        <v>8770</v>
      </c>
      <c r="D7" s="181">
        <f>B7</f>
        <v>26</v>
      </c>
      <c r="E7" s="181">
        <f>C7</f>
        <v>8770</v>
      </c>
      <c r="F7" s="181"/>
      <c r="G7" s="181">
        <f t="shared" ref="G7:G15" si="0">E7*0.2</f>
        <v>1754</v>
      </c>
      <c r="H7" s="181"/>
      <c r="I7" s="181"/>
      <c r="J7" s="181"/>
      <c r="K7" s="181"/>
      <c r="L7" s="181">
        <f t="shared" ref="L7:L22" si="1">E7-J7</f>
        <v>8770</v>
      </c>
      <c r="M7" s="181"/>
    </row>
    <row r="8" spans="1:13" ht="24" customHeight="1">
      <c r="A8" s="365">
        <v>42278</v>
      </c>
      <c r="B8" s="181">
        <v>185</v>
      </c>
      <c r="C8" s="181">
        <v>52780</v>
      </c>
      <c r="D8" s="181">
        <f t="shared" ref="D8:D21" si="2">D7+B8</f>
        <v>211</v>
      </c>
      <c r="E8" s="181">
        <f t="shared" ref="E8:E21" si="3">E7+C8</f>
        <v>61550</v>
      </c>
      <c r="F8" s="181"/>
      <c r="G8" s="181">
        <f t="shared" si="0"/>
        <v>12310</v>
      </c>
      <c r="H8" s="181">
        <f t="shared" ref="H8:H16" si="4">C7*0.8</f>
        <v>7016</v>
      </c>
      <c r="I8" s="181"/>
      <c r="J8" s="181"/>
      <c r="K8" s="294">
        <f t="shared" ref="K8:K21" si="5">K7+H8-I8</f>
        <v>7016</v>
      </c>
      <c r="L8" s="181">
        <f t="shared" si="1"/>
        <v>61550</v>
      </c>
      <c r="M8" s="181"/>
    </row>
    <row r="9" spans="1:13" ht="24" customHeight="1">
      <c r="A9" s="365">
        <v>42309</v>
      </c>
      <c r="B9" s="181">
        <v>2473</v>
      </c>
      <c r="C9" s="181">
        <v>722889</v>
      </c>
      <c r="D9" s="181">
        <f t="shared" si="2"/>
        <v>2684</v>
      </c>
      <c r="E9" s="181">
        <f t="shared" si="3"/>
        <v>784439</v>
      </c>
      <c r="F9" s="181"/>
      <c r="G9" s="181">
        <f t="shared" si="0"/>
        <v>156887.80000000002</v>
      </c>
      <c r="H9" s="181">
        <f t="shared" si="4"/>
        <v>42224</v>
      </c>
      <c r="I9" s="181"/>
      <c r="J9" s="181"/>
      <c r="K9" s="294">
        <f t="shared" si="5"/>
        <v>49240</v>
      </c>
      <c r="L9" s="181">
        <f t="shared" si="1"/>
        <v>784439</v>
      </c>
      <c r="M9" s="181"/>
    </row>
    <row r="10" spans="1:13" ht="24" customHeight="1">
      <c r="A10" s="365">
        <v>42339</v>
      </c>
      <c r="B10" s="181">
        <v>3815</v>
      </c>
      <c r="C10" s="181">
        <v>1138790</v>
      </c>
      <c r="D10" s="181">
        <f t="shared" si="2"/>
        <v>6499</v>
      </c>
      <c r="E10" s="181">
        <f t="shared" si="3"/>
        <v>1923229</v>
      </c>
      <c r="F10" s="181"/>
      <c r="G10" s="181">
        <f t="shared" si="0"/>
        <v>384645.80000000005</v>
      </c>
      <c r="H10" s="181">
        <f t="shared" si="4"/>
        <v>578311.20000000007</v>
      </c>
      <c r="I10" s="181"/>
      <c r="J10" s="181"/>
      <c r="K10" s="294">
        <f t="shared" si="5"/>
        <v>627551.20000000007</v>
      </c>
      <c r="L10" s="181">
        <f t="shared" si="1"/>
        <v>1923229</v>
      </c>
      <c r="M10" s="412"/>
    </row>
    <row r="11" spans="1:13" ht="24" customHeight="1">
      <c r="A11" s="365">
        <v>42370</v>
      </c>
      <c r="B11" s="181">
        <v>3830.5</v>
      </c>
      <c r="C11" s="181">
        <v>1103814</v>
      </c>
      <c r="D11" s="181">
        <f t="shared" si="2"/>
        <v>10329.5</v>
      </c>
      <c r="E11" s="181">
        <f t="shared" si="3"/>
        <v>3027043</v>
      </c>
      <c r="F11" s="181"/>
      <c r="G11" s="181">
        <f t="shared" si="0"/>
        <v>605408.6</v>
      </c>
      <c r="H11" s="181">
        <f t="shared" si="4"/>
        <v>911032</v>
      </c>
      <c r="I11" s="181">
        <f>300000+500000</f>
        <v>800000</v>
      </c>
      <c r="J11" s="181">
        <f>I11</f>
        <v>800000</v>
      </c>
      <c r="K11" s="294">
        <f t="shared" si="5"/>
        <v>738583.20000000019</v>
      </c>
      <c r="L11" s="181">
        <f t="shared" si="1"/>
        <v>2227043</v>
      </c>
      <c r="M11" s="487" t="s">
        <v>1290</v>
      </c>
    </row>
    <row r="12" spans="1:13" ht="24" customHeight="1">
      <c r="A12" s="365">
        <v>42401</v>
      </c>
      <c r="B12" s="181">
        <v>25</v>
      </c>
      <c r="C12" s="181">
        <v>7200</v>
      </c>
      <c r="D12" s="181">
        <f t="shared" si="2"/>
        <v>10354.5</v>
      </c>
      <c r="E12" s="181">
        <f t="shared" si="3"/>
        <v>3034243</v>
      </c>
      <c r="F12" s="181"/>
      <c r="G12" s="181">
        <f t="shared" si="0"/>
        <v>606848.6</v>
      </c>
      <c r="H12" s="181">
        <f t="shared" si="4"/>
        <v>883051.20000000007</v>
      </c>
      <c r="I12" s="181">
        <v>300000</v>
      </c>
      <c r="J12" s="181">
        <f t="shared" ref="J12:J21" si="6">I12+J11</f>
        <v>1100000</v>
      </c>
      <c r="K12" s="294">
        <f t="shared" si="5"/>
        <v>1321634.4000000004</v>
      </c>
      <c r="L12" s="181">
        <f t="shared" si="1"/>
        <v>1934243</v>
      </c>
      <c r="M12" s="487" t="s">
        <v>1291</v>
      </c>
    </row>
    <row r="13" spans="1:13" ht="24" customHeight="1">
      <c r="A13" s="365">
        <v>42430</v>
      </c>
      <c r="B13" s="181">
        <v>2188.5</v>
      </c>
      <c r="C13" s="181">
        <v>630198</v>
      </c>
      <c r="D13" s="181">
        <f t="shared" si="2"/>
        <v>12543</v>
      </c>
      <c r="E13" s="181">
        <f t="shared" si="3"/>
        <v>3664441</v>
      </c>
      <c r="F13" s="1229"/>
      <c r="G13" s="181">
        <f t="shared" si="0"/>
        <v>732888.20000000007</v>
      </c>
      <c r="H13" s="181">
        <f t="shared" si="4"/>
        <v>5760</v>
      </c>
      <c r="I13" s="181">
        <v>300000</v>
      </c>
      <c r="J13" s="181">
        <f t="shared" si="6"/>
        <v>1400000</v>
      </c>
      <c r="K13" s="294">
        <f t="shared" si="5"/>
        <v>1027394.4000000004</v>
      </c>
      <c r="L13" s="181">
        <f t="shared" si="1"/>
        <v>2264441</v>
      </c>
      <c r="M13" s="487" t="s">
        <v>1292</v>
      </c>
    </row>
    <row r="14" spans="1:13" ht="24" customHeight="1">
      <c r="A14" s="365">
        <v>42461</v>
      </c>
      <c r="B14" s="181">
        <v>826</v>
      </c>
      <c r="C14" s="181">
        <v>234718</v>
      </c>
      <c r="D14" s="181">
        <f t="shared" si="2"/>
        <v>13369</v>
      </c>
      <c r="E14" s="181">
        <f t="shared" si="3"/>
        <v>3899159</v>
      </c>
      <c r="F14" s="181"/>
      <c r="G14" s="181">
        <f t="shared" si="0"/>
        <v>779831.8</v>
      </c>
      <c r="H14" s="181">
        <f t="shared" si="4"/>
        <v>504158.4</v>
      </c>
      <c r="I14" s="181">
        <v>800000</v>
      </c>
      <c r="J14" s="181">
        <f t="shared" si="6"/>
        <v>2200000</v>
      </c>
      <c r="K14" s="294">
        <f t="shared" si="5"/>
        <v>731552.80000000028</v>
      </c>
      <c r="L14" s="181">
        <f t="shared" si="1"/>
        <v>1699159</v>
      </c>
      <c r="M14" s="487" t="s">
        <v>1293</v>
      </c>
    </row>
    <row r="15" spans="1:13" ht="24" customHeight="1">
      <c r="A15" s="365">
        <v>42491</v>
      </c>
      <c r="B15" s="181">
        <v>288</v>
      </c>
      <c r="C15" s="181">
        <v>83459</v>
      </c>
      <c r="D15" s="181">
        <f t="shared" si="2"/>
        <v>13657</v>
      </c>
      <c r="E15" s="181">
        <f t="shared" si="3"/>
        <v>3982618</v>
      </c>
      <c r="F15" s="181"/>
      <c r="G15" s="181">
        <f t="shared" si="0"/>
        <v>796523.60000000009</v>
      </c>
      <c r="H15" s="181">
        <f t="shared" si="4"/>
        <v>187774.40000000002</v>
      </c>
      <c r="I15" s="181"/>
      <c r="J15" s="181">
        <f t="shared" si="6"/>
        <v>2200000</v>
      </c>
      <c r="K15" s="294">
        <f t="shared" si="5"/>
        <v>919327.2000000003</v>
      </c>
      <c r="L15" s="181">
        <f t="shared" si="1"/>
        <v>1782618</v>
      </c>
      <c r="M15" s="487" t="s">
        <v>1294</v>
      </c>
    </row>
    <row r="16" spans="1:13" ht="24" customHeight="1">
      <c r="A16" s="365">
        <v>42522</v>
      </c>
      <c r="B16" s="181">
        <v>161</v>
      </c>
      <c r="C16" s="181">
        <v>48683</v>
      </c>
      <c r="D16" s="181">
        <f t="shared" si="2"/>
        <v>13818</v>
      </c>
      <c r="E16" s="181">
        <f t="shared" si="3"/>
        <v>4031301</v>
      </c>
      <c r="F16" s="181"/>
      <c r="G16" s="181">
        <f>G15*0.05</f>
        <v>39826.180000000008</v>
      </c>
      <c r="H16" s="181">
        <f t="shared" si="4"/>
        <v>66767.199999999997</v>
      </c>
      <c r="I16" s="181">
        <v>300000</v>
      </c>
      <c r="J16" s="181">
        <f t="shared" si="6"/>
        <v>2500000</v>
      </c>
      <c r="K16" s="294">
        <f t="shared" si="5"/>
        <v>686094.40000000026</v>
      </c>
      <c r="L16" s="181">
        <f t="shared" si="1"/>
        <v>1531301</v>
      </c>
      <c r="M16" s="487" t="s">
        <v>1295</v>
      </c>
    </row>
    <row r="17" spans="1:13" ht="24" customHeight="1">
      <c r="A17" s="365">
        <v>42552</v>
      </c>
      <c r="B17" s="181">
        <v>0</v>
      </c>
      <c r="C17" s="181">
        <v>0</v>
      </c>
      <c r="D17" s="181">
        <f t="shared" si="2"/>
        <v>13818</v>
      </c>
      <c r="E17" s="181">
        <f t="shared" si="3"/>
        <v>4031301</v>
      </c>
      <c r="F17" s="181"/>
      <c r="G17" s="181">
        <f>G15*0.05</f>
        <v>39826.180000000008</v>
      </c>
      <c r="H17" s="181">
        <f>G15*0.95+C16</f>
        <v>805380.42</v>
      </c>
      <c r="I17" s="299">
        <v>720000</v>
      </c>
      <c r="J17" s="181">
        <f t="shared" si="6"/>
        <v>3220000</v>
      </c>
      <c r="K17" s="294">
        <f t="shared" si="5"/>
        <v>771474.8200000003</v>
      </c>
      <c r="L17" s="181">
        <f t="shared" si="1"/>
        <v>811301</v>
      </c>
      <c r="M17" s="181" t="s">
        <v>1296</v>
      </c>
    </row>
    <row r="18" spans="1:13" ht="24" customHeight="1">
      <c r="A18" s="365">
        <v>42583</v>
      </c>
      <c r="B18" s="181">
        <v>0</v>
      </c>
      <c r="C18" s="181">
        <v>0</v>
      </c>
      <c r="D18" s="181">
        <f t="shared" si="2"/>
        <v>13818</v>
      </c>
      <c r="E18" s="181">
        <f t="shared" si="3"/>
        <v>4031301</v>
      </c>
      <c r="F18" s="181"/>
      <c r="G18" s="181"/>
      <c r="H18" s="181">
        <f>C17</f>
        <v>0</v>
      </c>
      <c r="I18" s="181"/>
      <c r="J18" s="181">
        <f t="shared" si="6"/>
        <v>3220000</v>
      </c>
      <c r="K18" s="294">
        <f t="shared" si="5"/>
        <v>771474.8200000003</v>
      </c>
      <c r="L18" s="181">
        <f t="shared" si="1"/>
        <v>811301</v>
      </c>
      <c r="M18" s="181"/>
    </row>
    <row r="19" spans="1:13" ht="24" customHeight="1">
      <c r="A19" s="365">
        <v>42614</v>
      </c>
      <c r="B19" s="181">
        <v>0</v>
      </c>
      <c r="C19" s="181">
        <v>0</v>
      </c>
      <c r="D19" s="181">
        <f t="shared" si="2"/>
        <v>13818</v>
      </c>
      <c r="E19" s="181">
        <f t="shared" si="3"/>
        <v>4031301</v>
      </c>
      <c r="F19" s="181"/>
      <c r="G19" s="181"/>
      <c r="H19" s="181">
        <f>C18+39826.18</f>
        <v>39826.18</v>
      </c>
      <c r="I19" s="181">
        <v>200000</v>
      </c>
      <c r="J19" s="181">
        <f t="shared" si="6"/>
        <v>3420000</v>
      </c>
      <c r="K19" s="294">
        <f t="shared" si="5"/>
        <v>611301.00000000035</v>
      </c>
      <c r="L19" s="181">
        <f t="shared" si="1"/>
        <v>611301</v>
      </c>
      <c r="M19" s="181" t="s">
        <v>1297</v>
      </c>
    </row>
    <row r="20" spans="1:13" ht="24" customHeight="1">
      <c r="A20" s="365">
        <v>42644</v>
      </c>
      <c r="B20" s="181">
        <v>0</v>
      </c>
      <c r="C20" s="181">
        <v>0</v>
      </c>
      <c r="D20" s="181">
        <f t="shared" si="2"/>
        <v>13818</v>
      </c>
      <c r="E20" s="181">
        <f t="shared" si="3"/>
        <v>4031301</v>
      </c>
      <c r="F20" s="181"/>
      <c r="G20" s="181"/>
      <c r="H20" s="181">
        <f>C19</f>
        <v>0</v>
      </c>
      <c r="I20" s="181">
        <v>200000</v>
      </c>
      <c r="J20" s="181">
        <f t="shared" si="6"/>
        <v>3620000</v>
      </c>
      <c r="K20" s="294">
        <f t="shared" si="5"/>
        <v>411301.00000000035</v>
      </c>
      <c r="L20" s="181">
        <f t="shared" si="1"/>
        <v>411301</v>
      </c>
      <c r="M20" s="181" t="s">
        <v>1298</v>
      </c>
    </row>
    <row r="21" spans="1:13" ht="24" customHeight="1">
      <c r="A21" s="365">
        <v>42948</v>
      </c>
      <c r="B21" s="181">
        <v>0</v>
      </c>
      <c r="C21" s="181">
        <v>0</v>
      </c>
      <c r="D21" s="181">
        <f t="shared" si="2"/>
        <v>13818</v>
      </c>
      <c r="E21" s="181">
        <f t="shared" si="3"/>
        <v>4031301</v>
      </c>
      <c r="F21" s="181"/>
      <c r="G21" s="181"/>
      <c r="H21" s="181">
        <f>C20</f>
        <v>0</v>
      </c>
      <c r="I21" s="181">
        <v>55989.96</v>
      </c>
      <c r="J21" s="181">
        <f t="shared" si="6"/>
        <v>3675989.96</v>
      </c>
      <c r="K21" s="294">
        <f t="shared" si="5"/>
        <v>355311.04000000033</v>
      </c>
      <c r="L21" s="181">
        <f t="shared" si="1"/>
        <v>355311.04000000004</v>
      </c>
      <c r="M21" t="s">
        <v>1299</v>
      </c>
    </row>
    <row r="22" spans="1:13" ht="24" customHeight="1">
      <c r="A22" s="365"/>
      <c r="B22" s="181"/>
      <c r="C22" s="181"/>
      <c r="D22" s="181"/>
      <c r="E22" s="181"/>
      <c r="F22" s="181"/>
      <c r="G22" s="181"/>
      <c r="H22" s="181"/>
      <c r="I22" s="181"/>
      <c r="J22" s="181"/>
      <c r="K22" s="294"/>
      <c r="L22" s="181">
        <f t="shared" si="1"/>
        <v>0</v>
      </c>
      <c r="M22" s="181"/>
    </row>
    <row r="23" spans="1:13" ht="24" customHeight="1">
      <c r="A23" s="365"/>
      <c r="B23" s="181"/>
      <c r="C23" s="181"/>
      <c r="D23" s="181"/>
      <c r="E23" s="181"/>
      <c r="F23" s="181"/>
      <c r="G23" s="181"/>
      <c r="H23" s="181"/>
      <c r="I23" s="181"/>
      <c r="J23" s="181"/>
      <c r="K23" s="294"/>
      <c r="L23" s="181"/>
      <c r="M23" s="181"/>
    </row>
    <row r="24" spans="1:13" ht="24" customHeight="1">
      <c r="A24" s="365"/>
      <c r="B24" s="181"/>
      <c r="C24" s="181"/>
      <c r="D24" s="181"/>
      <c r="E24" s="181"/>
      <c r="F24" s="181"/>
      <c r="G24" s="181"/>
      <c r="H24" s="181"/>
      <c r="I24" s="181"/>
      <c r="J24" s="181"/>
      <c r="K24" s="294"/>
      <c r="L24" s="181"/>
      <c r="M24" s="181"/>
    </row>
    <row r="25" spans="1:13" ht="24" customHeight="1">
      <c r="A25" s="365"/>
      <c r="B25" s="181"/>
      <c r="C25" s="181"/>
      <c r="D25" s="181"/>
      <c r="E25" s="181"/>
      <c r="F25" s="181"/>
      <c r="G25" s="181"/>
      <c r="H25" s="181"/>
      <c r="I25" s="181"/>
      <c r="J25" s="181"/>
      <c r="K25" s="294"/>
      <c r="L25" s="181"/>
      <c r="M25" s="181"/>
    </row>
    <row r="26" spans="1:13" ht="24" customHeight="1">
      <c r="A26" s="365"/>
      <c r="B26" s="181"/>
      <c r="C26" s="181"/>
      <c r="D26" s="181"/>
      <c r="E26" s="181"/>
      <c r="F26" s="181"/>
      <c r="G26" s="181"/>
      <c r="H26" s="181"/>
      <c r="I26" s="181"/>
      <c r="J26" s="181"/>
      <c r="K26" s="294"/>
      <c r="L26" s="181"/>
      <c r="M26" s="181"/>
    </row>
    <row r="27" spans="1:13" ht="24" customHeight="1">
      <c r="A27" s="365"/>
      <c r="B27" s="181"/>
      <c r="C27" s="181"/>
      <c r="D27" s="181"/>
      <c r="E27" s="181"/>
      <c r="F27" s="181"/>
      <c r="G27" s="181"/>
      <c r="H27" s="181"/>
      <c r="I27" s="181"/>
      <c r="J27" s="181"/>
      <c r="K27" s="294"/>
      <c r="L27" s="181"/>
      <c r="M27" s="181"/>
    </row>
  </sheetData>
  <mergeCells count="14">
    <mergeCell ref="B3:C3"/>
    <mergeCell ref="B4:G4"/>
    <mergeCell ref="H4:J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 footer="0.5"/>
  <pageSetup paperSize="9" orientation="portrait" verticalDpi="0"/>
  <headerFooter scaleWithDoc="0" alignWithMargins="0"/>
  <legacy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13" workbookViewId="0">
      <selection activeCell="F29" sqref="F29"/>
    </sheetView>
  </sheetViews>
  <sheetFormatPr defaultColWidth="9" defaultRowHeight="14.25"/>
  <cols>
    <col min="1" max="1" width="17.625" customWidth="1"/>
    <col min="2" max="2" width="13.125" customWidth="1"/>
    <col min="3" max="3" width="19" customWidth="1"/>
    <col min="4" max="5" width="13.125" customWidth="1"/>
    <col min="6" max="6" width="14.75" customWidth="1"/>
    <col min="7" max="7" width="13.125" customWidth="1"/>
    <col min="8" max="8" width="14.625" customWidth="1"/>
    <col min="9" max="9" width="14.875" customWidth="1"/>
    <col min="10" max="10" width="20.625" customWidth="1"/>
    <col min="11" max="11" width="16.25" customWidth="1"/>
    <col min="12" max="12" width="13.125" customWidth="1"/>
    <col min="13" max="13" width="25.625" customWidth="1"/>
  </cols>
  <sheetData>
    <row r="1" spans="1:13" ht="72" customHeight="1">
      <c r="A1" s="1032" t="s">
        <v>556</v>
      </c>
      <c r="B1" s="1216"/>
      <c r="C1" s="1811" t="s">
        <v>1300</v>
      </c>
      <c r="D1" s="1811"/>
      <c r="E1" s="1822"/>
      <c r="F1" s="1822"/>
      <c r="G1" s="1822"/>
      <c r="H1" s="1129" t="s">
        <v>1301</v>
      </c>
      <c r="I1" s="1665" t="s">
        <v>1302</v>
      </c>
      <c r="J1" s="1820"/>
      <c r="K1" s="1812" t="s">
        <v>1303</v>
      </c>
      <c r="L1" s="1812"/>
      <c r="M1" s="1812"/>
    </row>
    <row r="2" spans="1:13" ht="54.75" customHeight="1">
      <c r="A2" s="39" t="s">
        <v>240</v>
      </c>
      <c r="B2" s="1637" t="s">
        <v>1304</v>
      </c>
      <c r="C2" s="1637"/>
      <c r="D2" s="41" t="s">
        <v>356</v>
      </c>
      <c r="E2" s="1637" t="s">
        <v>1305</v>
      </c>
      <c r="F2" s="1637"/>
      <c r="G2" s="1637"/>
      <c r="H2" s="1664"/>
      <c r="I2" s="1664"/>
      <c r="J2" s="41" t="s">
        <v>243</v>
      </c>
      <c r="K2" s="1005">
        <v>0.05</v>
      </c>
      <c r="L2" s="103" t="s">
        <v>245</v>
      </c>
      <c r="M2" s="1083" t="s">
        <v>1306</v>
      </c>
    </row>
    <row r="3" spans="1:13" ht="89.1" customHeight="1">
      <c r="A3" s="39" t="s">
        <v>247</v>
      </c>
      <c r="B3" s="1637" t="s">
        <v>1307</v>
      </c>
      <c r="C3" s="1637"/>
      <c r="D3" s="41" t="s">
        <v>249</v>
      </c>
      <c r="E3" s="1218" t="s">
        <v>1308</v>
      </c>
      <c r="F3" s="1225" t="s">
        <v>1177</v>
      </c>
      <c r="G3" s="41" t="s">
        <v>399</v>
      </c>
      <c r="H3" s="41" t="s">
        <v>252</v>
      </c>
      <c r="I3" s="41">
        <v>13828445007</v>
      </c>
      <c r="J3" s="91" t="s">
        <v>253</v>
      </c>
      <c r="K3" s="15"/>
      <c r="L3" s="15" t="s">
        <v>255</v>
      </c>
      <c r="M3" s="92" t="s">
        <v>1309</v>
      </c>
    </row>
    <row r="4" spans="1:13" ht="57" customHeight="1">
      <c r="A4" s="39" t="s">
        <v>260</v>
      </c>
      <c r="B4" s="1762" t="s">
        <v>1310</v>
      </c>
      <c r="C4" s="1762"/>
      <c r="D4" s="1762"/>
      <c r="E4" s="1762"/>
      <c r="F4" s="1762"/>
      <c r="G4" s="1762"/>
      <c r="H4" s="1762" t="s">
        <v>1311</v>
      </c>
      <c r="I4" s="1762"/>
      <c r="J4" s="1762"/>
      <c r="K4" s="1649"/>
      <c r="L4" s="1650"/>
      <c r="M4" s="1825"/>
    </row>
    <row r="5" spans="1:13" ht="38.25" customHeight="1">
      <c r="A5" s="39" t="s">
        <v>1022</v>
      </c>
      <c r="B5" s="1648"/>
      <c r="C5" s="1648"/>
      <c r="D5" s="1648"/>
      <c r="E5" s="1648"/>
      <c r="F5" s="1648"/>
      <c r="G5" s="1648"/>
      <c r="H5" s="1648"/>
      <c r="I5" s="1820"/>
      <c r="J5" s="1821"/>
      <c r="K5" s="1821"/>
      <c r="L5" s="1827"/>
      <c r="M5" s="104"/>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24" customHeight="1">
      <c r="A7" s="405">
        <v>42339</v>
      </c>
      <c r="B7" s="181">
        <v>16</v>
      </c>
      <c r="C7" s="181">
        <v>3760</v>
      </c>
      <c r="D7" s="181">
        <f>B7</f>
        <v>16</v>
      </c>
      <c r="E7" s="181">
        <f>C7</f>
        <v>3760</v>
      </c>
      <c r="F7" s="181"/>
      <c r="G7" s="181"/>
      <c r="H7" s="181"/>
      <c r="I7" s="181"/>
      <c r="J7" s="181"/>
      <c r="K7" s="181"/>
      <c r="L7" s="181">
        <f t="shared" ref="L7:L23" si="0">E7-J7</f>
        <v>3760</v>
      </c>
      <c r="M7" s="181"/>
    </row>
    <row r="8" spans="1:13" ht="24" customHeight="1">
      <c r="A8" s="365">
        <v>42370</v>
      </c>
      <c r="B8" s="181">
        <v>32</v>
      </c>
      <c r="C8" s="181">
        <v>7700</v>
      </c>
      <c r="D8" s="181">
        <f t="shared" ref="D8:D24" si="1">D7+B8</f>
        <v>48</v>
      </c>
      <c r="E8" s="181">
        <f t="shared" ref="E8:E24" si="2">E7+C8</f>
        <v>11460</v>
      </c>
      <c r="F8" s="181"/>
      <c r="G8" s="181"/>
      <c r="H8" s="181">
        <f t="shared" ref="H8:H24" si="3">C7</f>
        <v>3760</v>
      </c>
      <c r="I8" s="181"/>
      <c r="J8" s="181">
        <f t="shared" ref="J8:J24" si="4">I8+J7</f>
        <v>0</v>
      </c>
      <c r="K8" s="181">
        <f t="shared" ref="K8:K24" si="5">K7+H8-I8</f>
        <v>3760</v>
      </c>
      <c r="L8" s="181">
        <f t="shared" si="0"/>
        <v>11460</v>
      </c>
      <c r="M8" s="487" t="s">
        <v>1312</v>
      </c>
    </row>
    <row r="9" spans="1:13" ht="24" customHeight="1">
      <c r="A9" s="365">
        <v>42401</v>
      </c>
      <c r="B9" s="181">
        <v>0</v>
      </c>
      <c r="C9" s="181">
        <v>0</v>
      </c>
      <c r="D9" s="181">
        <f t="shared" si="1"/>
        <v>48</v>
      </c>
      <c r="E9" s="181">
        <f t="shared" si="2"/>
        <v>11460</v>
      </c>
      <c r="F9" s="181"/>
      <c r="G9" s="181"/>
      <c r="H9" s="181">
        <f t="shared" si="3"/>
        <v>7700</v>
      </c>
      <c r="I9" s="181">
        <v>3760</v>
      </c>
      <c r="J9" s="181">
        <f t="shared" si="4"/>
        <v>3760</v>
      </c>
      <c r="K9" s="181">
        <f t="shared" si="5"/>
        <v>7700</v>
      </c>
      <c r="L9" s="181">
        <f t="shared" si="0"/>
        <v>7700</v>
      </c>
      <c r="M9" s="412"/>
    </row>
    <row r="10" spans="1:13" ht="24" customHeight="1">
      <c r="A10" s="365">
        <v>42430</v>
      </c>
      <c r="B10" s="181">
        <v>44</v>
      </c>
      <c r="C10" s="181">
        <v>10340</v>
      </c>
      <c r="D10" s="181">
        <f t="shared" si="1"/>
        <v>92</v>
      </c>
      <c r="E10" s="181">
        <f t="shared" si="2"/>
        <v>21800</v>
      </c>
      <c r="F10" s="181"/>
      <c r="G10" s="181"/>
      <c r="H10" s="181">
        <f t="shared" si="3"/>
        <v>0</v>
      </c>
      <c r="I10" s="181"/>
      <c r="J10" s="181">
        <f t="shared" si="4"/>
        <v>3760</v>
      </c>
      <c r="K10" s="181">
        <f t="shared" si="5"/>
        <v>7700</v>
      </c>
      <c r="L10" s="181">
        <f t="shared" si="0"/>
        <v>18040</v>
      </c>
      <c r="M10" s="181"/>
    </row>
    <row r="11" spans="1:13" ht="24" customHeight="1">
      <c r="A11" s="365">
        <v>42461</v>
      </c>
      <c r="B11" s="181">
        <v>51</v>
      </c>
      <c r="C11" s="181">
        <v>12315</v>
      </c>
      <c r="D11" s="181">
        <f t="shared" si="1"/>
        <v>143</v>
      </c>
      <c r="E11" s="181">
        <f t="shared" si="2"/>
        <v>34115</v>
      </c>
      <c r="F11" s="181"/>
      <c r="G11" s="181"/>
      <c r="H11" s="181">
        <f t="shared" si="3"/>
        <v>10340</v>
      </c>
      <c r="I11" s="181"/>
      <c r="J11" s="181">
        <f t="shared" si="4"/>
        <v>3760</v>
      </c>
      <c r="K11" s="181">
        <f t="shared" si="5"/>
        <v>18040</v>
      </c>
      <c r="L11" s="181">
        <f t="shared" si="0"/>
        <v>30355</v>
      </c>
      <c r="M11" s="181"/>
    </row>
    <row r="12" spans="1:13" ht="24" customHeight="1">
      <c r="A12" s="365">
        <v>42491</v>
      </c>
      <c r="B12" s="181">
        <v>52</v>
      </c>
      <c r="C12" s="181">
        <v>12430</v>
      </c>
      <c r="D12" s="181">
        <f t="shared" si="1"/>
        <v>195</v>
      </c>
      <c r="E12" s="181">
        <f t="shared" si="2"/>
        <v>46545</v>
      </c>
      <c r="F12" s="1229"/>
      <c r="G12" s="181"/>
      <c r="H12" s="181">
        <f t="shared" si="3"/>
        <v>12315</v>
      </c>
      <c r="I12" s="181">
        <v>18040</v>
      </c>
      <c r="J12" s="181">
        <f t="shared" si="4"/>
        <v>21800</v>
      </c>
      <c r="K12" s="181">
        <f t="shared" si="5"/>
        <v>12315</v>
      </c>
      <c r="L12" s="181">
        <f t="shared" si="0"/>
        <v>24745</v>
      </c>
      <c r="M12" s="181" t="s">
        <v>1313</v>
      </c>
    </row>
    <row r="13" spans="1:13" ht="24" customHeight="1">
      <c r="A13" s="365">
        <v>42522</v>
      </c>
      <c r="B13" s="181">
        <v>35</v>
      </c>
      <c r="C13" s="181">
        <v>8645</v>
      </c>
      <c r="D13" s="181">
        <f t="shared" si="1"/>
        <v>230</v>
      </c>
      <c r="E13" s="181">
        <f t="shared" si="2"/>
        <v>55190</v>
      </c>
      <c r="F13" s="1229"/>
      <c r="G13" s="181"/>
      <c r="H13" s="181">
        <f t="shared" si="3"/>
        <v>12430</v>
      </c>
      <c r="I13" s="181"/>
      <c r="J13" s="181">
        <f t="shared" si="4"/>
        <v>21800</v>
      </c>
      <c r="K13" s="181">
        <f t="shared" si="5"/>
        <v>24745</v>
      </c>
      <c r="L13" s="181">
        <f t="shared" si="0"/>
        <v>33390</v>
      </c>
      <c r="M13" s="181" t="s">
        <v>1314</v>
      </c>
    </row>
    <row r="14" spans="1:13" ht="24" customHeight="1">
      <c r="A14" s="365">
        <v>42552</v>
      </c>
      <c r="B14" s="181">
        <v>222.5</v>
      </c>
      <c r="C14" s="181">
        <v>54342.5</v>
      </c>
      <c r="D14" s="181">
        <f t="shared" si="1"/>
        <v>452.5</v>
      </c>
      <c r="E14" s="181">
        <f t="shared" si="2"/>
        <v>109532.5</v>
      </c>
      <c r="F14" s="1229"/>
      <c r="G14" s="181"/>
      <c r="H14" s="181">
        <f t="shared" si="3"/>
        <v>8645</v>
      </c>
      <c r="I14" s="181">
        <v>33390</v>
      </c>
      <c r="J14" s="181">
        <f t="shared" si="4"/>
        <v>55190</v>
      </c>
      <c r="K14" s="181">
        <f t="shared" si="5"/>
        <v>0</v>
      </c>
      <c r="L14" s="181">
        <f t="shared" si="0"/>
        <v>54342.5</v>
      </c>
      <c r="M14" s="181"/>
    </row>
    <row r="15" spans="1:13" ht="24" customHeight="1">
      <c r="A15" s="365">
        <v>42583</v>
      </c>
      <c r="B15" s="181">
        <v>119.5</v>
      </c>
      <c r="C15" s="181">
        <v>29247.5</v>
      </c>
      <c r="D15" s="181">
        <f t="shared" si="1"/>
        <v>572</v>
      </c>
      <c r="E15" s="181">
        <f t="shared" si="2"/>
        <v>138780</v>
      </c>
      <c r="F15" s="1229"/>
      <c r="G15" s="181"/>
      <c r="H15" s="181">
        <f t="shared" si="3"/>
        <v>54342.5</v>
      </c>
      <c r="I15" s="181"/>
      <c r="J15" s="181">
        <f t="shared" si="4"/>
        <v>55190</v>
      </c>
      <c r="K15" s="181">
        <f t="shared" si="5"/>
        <v>54342.5</v>
      </c>
      <c r="L15" s="181">
        <f t="shared" si="0"/>
        <v>83590</v>
      </c>
      <c r="M15" s="181"/>
    </row>
    <row r="16" spans="1:13" ht="24" customHeight="1">
      <c r="A16" s="365">
        <v>42614</v>
      </c>
      <c r="B16" s="181">
        <v>36</v>
      </c>
      <c r="C16" s="181">
        <v>9765</v>
      </c>
      <c r="D16" s="181">
        <f t="shared" si="1"/>
        <v>608</v>
      </c>
      <c r="E16" s="181">
        <f t="shared" si="2"/>
        <v>148545</v>
      </c>
      <c r="F16" s="1229"/>
      <c r="G16" s="181"/>
      <c r="H16" s="181">
        <f t="shared" si="3"/>
        <v>29247.5</v>
      </c>
      <c r="I16" s="181"/>
      <c r="J16" s="181">
        <f t="shared" si="4"/>
        <v>55190</v>
      </c>
      <c r="K16" s="181">
        <f t="shared" si="5"/>
        <v>83590</v>
      </c>
      <c r="L16" s="181">
        <f t="shared" si="0"/>
        <v>93355</v>
      </c>
      <c r="M16" s="181"/>
    </row>
    <row r="17" spans="1:13" ht="24" customHeight="1">
      <c r="A17" s="365">
        <v>42644</v>
      </c>
      <c r="B17" s="181">
        <v>33</v>
      </c>
      <c r="C17" s="181">
        <v>8445</v>
      </c>
      <c r="D17" s="181">
        <f t="shared" si="1"/>
        <v>641</v>
      </c>
      <c r="E17" s="181">
        <f t="shared" si="2"/>
        <v>156990</v>
      </c>
      <c r="F17" s="1229"/>
      <c r="G17" s="181"/>
      <c r="H17" s="181">
        <f t="shared" si="3"/>
        <v>9765</v>
      </c>
      <c r="I17" s="181"/>
      <c r="J17" s="181">
        <f t="shared" si="4"/>
        <v>55190</v>
      </c>
      <c r="K17" s="181">
        <f t="shared" si="5"/>
        <v>93355</v>
      </c>
      <c r="L17" s="181">
        <f t="shared" si="0"/>
        <v>101800</v>
      </c>
      <c r="M17" s="181"/>
    </row>
    <row r="18" spans="1:13" ht="24" customHeight="1">
      <c r="A18" s="365">
        <v>42675</v>
      </c>
      <c r="B18" s="181">
        <v>0</v>
      </c>
      <c r="C18" s="181">
        <v>0</v>
      </c>
      <c r="D18" s="181">
        <f t="shared" si="1"/>
        <v>641</v>
      </c>
      <c r="E18" s="181">
        <f t="shared" si="2"/>
        <v>156990</v>
      </c>
      <c r="F18" s="1229"/>
      <c r="G18" s="181"/>
      <c r="H18" s="181">
        <f t="shared" si="3"/>
        <v>8445</v>
      </c>
      <c r="I18" s="181">
        <v>80000</v>
      </c>
      <c r="J18" s="181">
        <f t="shared" si="4"/>
        <v>135190</v>
      </c>
      <c r="K18" s="181">
        <f t="shared" si="5"/>
        <v>21800</v>
      </c>
      <c r="L18" s="181">
        <f t="shared" si="0"/>
        <v>21800</v>
      </c>
      <c r="M18" s="181" t="s">
        <v>1315</v>
      </c>
    </row>
    <row r="19" spans="1:13" ht="24" customHeight="1">
      <c r="A19" s="365">
        <v>42705</v>
      </c>
      <c r="B19" s="181">
        <v>137</v>
      </c>
      <c r="C19" s="181">
        <v>41645</v>
      </c>
      <c r="D19" s="181">
        <f t="shared" si="1"/>
        <v>778</v>
      </c>
      <c r="E19" s="181">
        <f t="shared" si="2"/>
        <v>198635</v>
      </c>
      <c r="F19" s="181"/>
      <c r="G19" s="181"/>
      <c r="H19" s="181">
        <f t="shared" si="3"/>
        <v>0</v>
      </c>
      <c r="I19" s="181"/>
      <c r="J19" s="181">
        <f t="shared" si="4"/>
        <v>135190</v>
      </c>
      <c r="K19" s="181">
        <f t="shared" si="5"/>
        <v>21800</v>
      </c>
      <c r="L19" s="181">
        <f t="shared" si="0"/>
        <v>63445</v>
      </c>
      <c r="M19" s="181" t="s">
        <v>1316</v>
      </c>
    </row>
    <row r="20" spans="1:13" ht="24" customHeight="1">
      <c r="A20" s="365">
        <v>42736</v>
      </c>
      <c r="B20" s="181">
        <v>0</v>
      </c>
      <c r="C20" s="181">
        <v>0</v>
      </c>
      <c r="D20" s="181">
        <f t="shared" si="1"/>
        <v>778</v>
      </c>
      <c r="E20" s="181">
        <f t="shared" si="2"/>
        <v>198635</v>
      </c>
      <c r="F20" s="181"/>
      <c r="G20" s="181"/>
      <c r="H20" s="181">
        <f t="shared" si="3"/>
        <v>41645</v>
      </c>
      <c r="I20" s="181">
        <v>40000</v>
      </c>
      <c r="J20" s="181">
        <f t="shared" si="4"/>
        <v>175190</v>
      </c>
      <c r="K20" s="181">
        <f t="shared" si="5"/>
        <v>23445</v>
      </c>
      <c r="L20" s="181">
        <f t="shared" si="0"/>
        <v>23445</v>
      </c>
      <c r="M20" s="181"/>
    </row>
    <row r="21" spans="1:13" ht="24" customHeight="1">
      <c r="A21" s="365">
        <v>42826</v>
      </c>
      <c r="B21" s="181">
        <v>39</v>
      </c>
      <c r="C21" s="181">
        <v>12360</v>
      </c>
      <c r="D21" s="181">
        <f t="shared" si="1"/>
        <v>817</v>
      </c>
      <c r="E21" s="181">
        <f t="shared" si="2"/>
        <v>210995</v>
      </c>
      <c r="F21" s="181"/>
      <c r="G21" s="181"/>
      <c r="H21" s="181">
        <f t="shared" si="3"/>
        <v>0</v>
      </c>
      <c r="I21" s="181"/>
      <c r="J21" s="181">
        <f t="shared" si="4"/>
        <v>175190</v>
      </c>
      <c r="K21" s="181">
        <f t="shared" si="5"/>
        <v>23445</v>
      </c>
      <c r="L21" s="181">
        <f t="shared" si="0"/>
        <v>35805</v>
      </c>
      <c r="M21" s="181"/>
    </row>
    <row r="22" spans="1:13" ht="24" customHeight="1">
      <c r="A22" s="365">
        <v>42856</v>
      </c>
      <c r="B22" s="181">
        <v>58.5</v>
      </c>
      <c r="C22" s="181">
        <v>19305</v>
      </c>
      <c r="D22" s="181">
        <f t="shared" si="1"/>
        <v>875.5</v>
      </c>
      <c r="E22" s="181">
        <f t="shared" si="2"/>
        <v>230300</v>
      </c>
      <c r="F22" s="181"/>
      <c r="G22" s="181"/>
      <c r="H22" s="181">
        <f t="shared" si="3"/>
        <v>12360</v>
      </c>
      <c r="I22" s="181"/>
      <c r="J22" s="181">
        <f t="shared" si="4"/>
        <v>175190</v>
      </c>
      <c r="K22" s="181">
        <f t="shared" si="5"/>
        <v>35805</v>
      </c>
      <c r="L22" s="181">
        <f t="shared" si="0"/>
        <v>55110</v>
      </c>
      <c r="M22" s="181"/>
    </row>
    <row r="23" spans="1:13" ht="24" customHeight="1">
      <c r="A23" s="365">
        <v>42887</v>
      </c>
      <c r="B23" s="181">
        <v>0</v>
      </c>
      <c r="C23" s="181">
        <v>0</v>
      </c>
      <c r="D23" s="181">
        <f t="shared" si="1"/>
        <v>875.5</v>
      </c>
      <c r="E23" s="181">
        <f t="shared" si="2"/>
        <v>230300</v>
      </c>
      <c r="F23" s="181"/>
      <c r="G23" s="181"/>
      <c r="H23" s="181">
        <f t="shared" si="3"/>
        <v>19305</v>
      </c>
      <c r="I23" s="181">
        <v>30000</v>
      </c>
      <c r="J23" s="181">
        <f t="shared" si="4"/>
        <v>205190</v>
      </c>
      <c r="K23" s="181">
        <f t="shared" si="5"/>
        <v>25110</v>
      </c>
      <c r="L23" s="181">
        <f t="shared" si="0"/>
        <v>25110</v>
      </c>
      <c r="M23" s="181" t="s">
        <v>1317</v>
      </c>
    </row>
    <row r="24" spans="1:13" ht="24" customHeight="1">
      <c r="A24" s="365">
        <v>42917</v>
      </c>
      <c r="B24" s="181">
        <v>0</v>
      </c>
      <c r="C24" s="181">
        <v>0</v>
      </c>
      <c r="D24" s="181">
        <f t="shared" si="1"/>
        <v>875.5</v>
      </c>
      <c r="E24" s="181">
        <f t="shared" si="2"/>
        <v>230300</v>
      </c>
      <c r="F24" s="181"/>
      <c r="G24" s="181"/>
      <c r="H24" s="181">
        <f t="shared" si="3"/>
        <v>0</v>
      </c>
      <c r="I24" s="181"/>
      <c r="J24" s="181">
        <f t="shared" si="4"/>
        <v>205190</v>
      </c>
      <c r="K24" s="181">
        <f t="shared" si="5"/>
        <v>25110</v>
      </c>
      <c r="L24" s="181"/>
      <c r="M24" s="181"/>
    </row>
    <row r="25" spans="1:13" ht="24" customHeight="1">
      <c r="A25" s="365"/>
      <c r="B25" s="181"/>
      <c r="C25" s="181"/>
      <c r="D25" s="181"/>
      <c r="E25" s="181"/>
      <c r="F25" s="181"/>
      <c r="G25" s="181"/>
      <c r="H25" s="181"/>
      <c r="I25" s="181"/>
      <c r="J25" s="181"/>
      <c r="K25" s="181"/>
      <c r="L25" s="181"/>
      <c r="M25" s="181"/>
    </row>
    <row r="26" spans="1:13" ht="24" customHeight="1">
      <c r="A26" s="365"/>
      <c r="B26" s="181"/>
      <c r="C26" s="181"/>
      <c r="D26" s="181"/>
      <c r="E26" s="181"/>
      <c r="F26" s="181"/>
      <c r="G26" s="181"/>
      <c r="H26" s="181"/>
      <c r="I26" s="181"/>
      <c r="J26" s="181"/>
      <c r="K26" s="181"/>
      <c r="L26" s="181"/>
      <c r="M26" s="181"/>
    </row>
    <row r="27" spans="1:13" ht="24" customHeight="1">
      <c r="A27" s="365"/>
      <c r="B27" s="181"/>
      <c r="C27" s="181"/>
      <c r="D27" s="181"/>
      <c r="E27" s="181"/>
      <c r="F27" s="181"/>
      <c r="G27" s="181"/>
      <c r="H27" s="181"/>
      <c r="I27" s="181"/>
      <c r="J27" s="181"/>
      <c r="K27" s="181"/>
      <c r="L27" s="181"/>
      <c r="M27" s="181"/>
    </row>
    <row r="28" spans="1:13" ht="24" customHeight="1">
      <c r="A28" s="365"/>
      <c r="B28" s="181"/>
      <c r="C28" s="181"/>
      <c r="D28" s="181"/>
      <c r="E28" s="181"/>
      <c r="F28" s="181"/>
      <c r="G28" s="181"/>
      <c r="H28" s="181"/>
      <c r="I28" s="181"/>
      <c r="J28" s="181"/>
      <c r="K28" s="181"/>
      <c r="L28" s="181"/>
      <c r="M28" s="181"/>
    </row>
    <row r="29" spans="1:13" ht="24" customHeight="1">
      <c r="A29" s="365"/>
      <c r="B29" s="181"/>
      <c r="C29" s="181"/>
      <c r="D29" s="181"/>
      <c r="E29" s="181"/>
      <c r="F29" s="181"/>
      <c r="G29" s="181"/>
      <c r="H29" s="181"/>
      <c r="I29" s="181"/>
      <c r="J29" s="181"/>
      <c r="K29" s="181"/>
      <c r="L29" s="181"/>
      <c r="M29" s="181"/>
    </row>
    <row r="30" spans="1:13" ht="24" customHeight="1">
      <c r="A30" s="365"/>
      <c r="B30" s="181"/>
      <c r="C30" s="181"/>
      <c r="D30" s="181"/>
      <c r="E30" s="181"/>
      <c r="F30" s="181"/>
      <c r="G30" s="181"/>
      <c r="H30" s="181"/>
      <c r="I30" s="181"/>
      <c r="J30" s="181"/>
      <c r="K30" s="181"/>
      <c r="L30" s="181"/>
      <c r="M30" s="181"/>
    </row>
  </sheetData>
  <mergeCells count="14">
    <mergeCell ref="B3:C3"/>
    <mergeCell ref="B4:G4"/>
    <mergeCell ref="H4:J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 footer="0.5"/>
  <pageSetup paperSize="9" orientation="portrait" verticalDpi="0"/>
  <headerFooter scaleWithDoc="0"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2"/>
  <sheetViews>
    <sheetView topLeftCell="A13" workbookViewId="0">
      <selection activeCell="B3" sqref="B3:C3"/>
    </sheetView>
  </sheetViews>
  <sheetFormatPr defaultColWidth="9" defaultRowHeight="14.25"/>
  <cols>
    <col min="1" max="1" width="17.625" customWidth="1"/>
    <col min="2" max="2" width="14.375" customWidth="1"/>
    <col min="3" max="3" width="19" customWidth="1"/>
    <col min="4" max="5" width="13.125" customWidth="1"/>
    <col min="6" max="6" width="14.75" customWidth="1"/>
    <col min="7" max="7" width="13.125" customWidth="1"/>
    <col min="8" max="8" width="14.625" customWidth="1"/>
    <col min="9" max="9" width="14.875" customWidth="1"/>
    <col min="10" max="10" width="20.625" customWidth="1"/>
    <col min="11" max="11" width="16.25" customWidth="1"/>
    <col min="12" max="12" width="13.125" customWidth="1"/>
    <col min="13" max="13" width="25.625" customWidth="1"/>
  </cols>
  <sheetData>
    <row r="1" spans="1:13" ht="72" customHeight="1">
      <c r="A1" s="1032" t="s">
        <v>556</v>
      </c>
      <c r="B1" s="1216">
        <v>42480</v>
      </c>
      <c r="C1" s="1811" t="s">
        <v>1318</v>
      </c>
      <c r="D1" s="1811"/>
      <c r="E1" s="1822"/>
      <c r="F1" s="1822"/>
      <c r="G1" s="1822"/>
      <c r="H1" s="1129" t="s">
        <v>1301</v>
      </c>
      <c r="I1" s="1665" t="s">
        <v>1319</v>
      </c>
      <c r="J1" s="1820"/>
      <c r="K1" s="1812" t="s">
        <v>1320</v>
      </c>
      <c r="L1" s="1812"/>
      <c r="M1" s="1812"/>
    </row>
    <row r="2" spans="1:13" ht="54.75" customHeight="1">
      <c r="A2" s="1231" t="s">
        <v>240</v>
      </c>
      <c r="B2" s="1637" t="s">
        <v>1321</v>
      </c>
      <c r="C2" s="1637"/>
      <c r="D2" s="1232" t="s">
        <v>242</v>
      </c>
      <c r="E2" s="1637" t="s">
        <v>1322</v>
      </c>
      <c r="F2" s="1637"/>
      <c r="G2" s="1637"/>
      <c r="H2" s="1664"/>
      <c r="I2" s="1664"/>
      <c r="J2" s="41" t="s">
        <v>243</v>
      </c>
      <c r="K2" s="1005">
        <v>0.05</v>
      </c>
      <c r="L2" s="103" t="s">
        <v>245</v>
      </c>
      <c r="M2" s="1083" t="s">
        <v>1323</v>
      </c>
    </row>
    <row r="3" spans="1:13" ht="89.1" customHeight="1">
      <c r="A3" s="39" t="s">
        <v>247</v>
      </c>
      <c r="B3" s="1637" t="s">
        <v>1324</v>
      </c>
      <c r="C3" s="1637"/>
      <c r="D3" s="41" t="s">
        <v>249</v>
      </c>
      <c r="E3" s="1225"/>
      <c r="F3" s="1225" t="s">
        <v>1177</v>
      </c>
      <c r="G3" s="41" t="s">
        <v>1325</v>
      </c>
      <c r="H3" s="41" t="s">
        <v>252</v>
      </c>
      <c r="I3" s="41">
        <v>13928769151</v>
      </c>
      <c r="J3" s="91" t="s">
        <v>253</v>
      </c>
      <c r="K3" s="15" t="s">
        <v>1326</v>
      </c>
      <c r="L3" s="15" t="s">
        <v>255</v>
      </c>
      <c r="M3" s="92" t="s">
        <v>1327</v>
      </c>
    </row>
    <row r="4" spans="1:13" ht="57" customHeight="1">
      <c r="A4" s="39" t="s">
        <v>260</v>
      </c>
      <c r="B4" s="1762" t="s">
        <v>1328</v>
      </c>
      <c r="C4" s="1762"/>
      <c r="D4" s="1762"/>
      <c r="E4" s="1762"/>
      <c r="F4" s="1762"/>
      <c r="G4" s="1762"/>
      <c r="H4" s="1762" t="s">
        <v>1329</v>
      </c>
      <c r="I4" s="1762"/>
      <c r="J4" s="1762"/>
      <c r="K4" s="1649"/>
      <c r="L4" s="1650"/>
      <c r="M4" s="1825"/>
    </row>
    <row r="5" spans="1:13" ht="50.1" customHeight="1">
      <c r="A5" s="39" t="s">
        <v>1022</v>
      </c>
      <c r="B5" s="1648"/>
      <c r="C5" s="1648"/>
      <c r="D5" s="1648"/>
      <c r="E5" s="1648"/>
      <c r="F5" s="1648" t="s">
        <v>1330</v>
      </c>
      <c r="G5" s="1648"/>
      <c r="H5" s="1648"/>
      <c r="I5" s="1820"/>
      <c r="J5" s="1821"/>
      <c r="K5" s="1821"/>
      <c r="L5" s="1827"/>
      <c r="M5" s="104"/>
    </row>
    <row r="6" spans="1:13" ht="30.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405" t="s">
        <v>1331</v>
      </c>
      <c r="B7" s="181">
        <v>325</v>
      </c>
      <c r="C7" s="181">
        <v>81030</v>
      </c>
      <c r="D7" s="181">
        <f>B7</f>
        <v>325</v>
      </c>
      <c r="E7" s="181">
        <f>C7</f>
        <v>81030</v>
      </c>
      <c r="F7" s="181"/>
      <c r="G7" s="181">
        <f t="shared" ref="G7:G18" si="0">C7</f>
        <v>81030</v>
      </c>
      <c r="H7" s="181"/>
      <c r="I7" s="181"/>
      <c r="J7" s="181"/>
      <c r="K7" s="181"/>
      <c r="L7" s="181">
        <f t="shared" ref="L7:L19" si="1">E7-J7</f>
        <v>81030</v>
      </c>
      <c r="M7" s="181"/>
    </row>
    <row r="8" spans="1:13" ht="30" customHeight="1">
      <c r="A8" s="365">
        <v>42370</v>
      </c>
      <c r="B8" s="181">
        <v>1363.5</v>
      </c>
      <c r="C8" s="181">
        <v>347785</v>
      </c>
      <c r="D8" s="181">
        <f t="shared" ref="D8:D19" si="2">D7+B8</f>
        <v>1688.5</v>
      </c>
      <c r="E8" s="181">
        <f t="shared" ref="E8:E19" si="3">E7+C8</f>
        <v>428815</v>
      </c>
      <c r="F8" s="181"/>
      <c r="G8" s="181">
        <f t="shared" si="0"/>
        <v>347785</v>
      </c>
      <c r="H8" s="181"/>
      <c r="I8" s="181"/>
      <c r="J8" s="181"/>
      <c r="K8" s="181">
        <f t="shared" ref="K8:K20" si="4">K7+H8-I8</f>
        <v>0</v>
      </c>
      <c r="L8" s="181">
        <f t="shared" si="1"/>
        <v>428815</v>
      </c>
      <c r="M8" s="181"/>
    </row>
    <row r="9" spans="1:13" ht="30" customHeight="1">
      <c r="A9" s="365">
        <v>42430</v>
      </c>
      <c r="B9" s="181">
        <v>0</v>
      </c>
      <c r="C9" s="181">
        <v>0</v>
      </c>
      <c r="D9" s="181">
        <f t="shared" si="2"/>
        <v>1688.5</v>
      </c>
      <c r="E9" s="181">
        <f t="shared" si="3"/>
        <v>428815</v>
      </c>
      <c r="F9" s="181"/>
      <c r="G9" s="181">
        <f t="shared" si="0"/>
        <v>0</v>
      </c>
      <c r="H9" s="181">
        <f t="shared" ref="H9:H20" si="5">C7</f>
        <v>81030</v>
      </c>
      <c r="I9" s="181"/>
      <c r="J9" s="181"/>
      <c r="K9" s="181">
        <f t="shared" si="4"/>
        <v>81030</v>
      </c>
      <c r="L9" s="181">
        <f t="shared" si="1"/>
        <v>428815</v>
      </c>
      <c r="M9" s="412"/>
    </row>
    <row r="10" spans="1:13" ht="30" customHeight="1">
      <c r="A10" s="365">
        <v>42461</v>
      </c>
      <c r="B10" s="181">
        <v>89</v>
      </c>
      <c r="C10" s="181">
        <v>22315</v>
      </c>
      <c r="D10" s="181">
        <f t="shared" si="2"/>
        <v>1777.5</v>
      </c>
      <c r="E10" s="181">
        <f t="shared" si="3"/>
        <v>451130</v>
      </c>
      <c r="F10" s="181"/>
      <c r="G10" s="181">
        <f t="shared" si="0"/>
        <v>22315</v>
      </c>
      <c r="H10" s="181">
        <f t="shared" si="5"/>
        <v>347785</v>
      </c>
      <c r="I10" s="181"/>
      <c r="J10" s="181"/>
      <c r="K10" s="181">
        <f t="shared" si="4"/>
        <v>428815</v>
      </c>
      <c r="L10" s="181">
        <f t="shared" si="1"/>
        <v>451130</v>
      </c>
      <c r="M10" s="181"/>
    </row>
    <row r="11" spans="1:13" ht="30" customHeight="1">
      <c r="A11" s="365">
        <v>42491</v>
      </c>
      <c r="B11" s="181">
        <v>1686</v>
      </c>
      <c r="C11" s="181">
        <v>429540</v>
      </c>
      <c r="D11" s="181">
        <f t="shared" si="2"/>
        <v>3463.5</v>
      </c>
      <c r="E11" s="181">
        <f t="shared" si="3"/>
        <v>880670</v>
      </c>
      <c r="F11" s="181"/>
      <c r="G11" s="181">
        <f t="shared" si="0"/>
        <v>429540</v>
      </c>
      <c r="H11" s="181">
        <f t="shared" si="5"/>
        <v>0</v>
      </c>
      <c r="I11" s="181"/>
      <c r="J11" s="181"/>
      <c r="K11" s="181">
        <f t="shared" si="4"/>
        <v>428815</v>
      </c>
      <c r="L11" s="181">
        <f t="shared" si="1"/>
        <v>880670</v>
      </c>
      <c r="M11" s="181"/>
    </row>
    <row r="12" spans="1:13" ht="30" customHeight="1">
      <c r="A12" s="365">
        <v>42522</v>
      </c>
      <c r="B12" s="181">
        <v>333</v>
      </c>
      <c r="C12" s="181">
        <v>82350</v>
      </c>
      <c r="D12" s="181">
        <f t="shared" si="2"/>
        <v>3796.5</v>
      </c>
      <c r="E12" s="181">
        <f t="shared" si="3"/>
        <v>963020</v>
      </c>
      <c r="F12" s="1229"/>
      <c r="G12" s="181">
        <f t="shared" si="0"/>
        <v>82350</v>
      </c>
      <c r="H12" s="181">
        <f t="shared" si="5"/>
        <v>22315</v>
      </c>
      <c r="I12" s="181"/>
      <c r="J12" s="181"/>
      <c r="K12" s="181">
        <f t="shared" si="4"/>
        <v>451130</v>
      </c>
      <c r="L12" s="181">
        <f t="shared" si="1"/>
        <v>963020</v>
      </c>
      <c r="M12" s="181" t="s">
        <v>1332</v>
      </c>
    </row>
    <row r="13" spans="1:13" ht="30" customHeight="1">
      <c r="A13" s="365">
        <v>42552</v>
      </c>
      <c r="B13" s="181">
        <v>60</v>
      </c>
      <c r="C13" s="181">
        <v>15355</v>
      </c>
      <c r="D13" s="181">
        <f t="shared" si="2"/>
        <v>3856.5</v>
      </c>
      <c r="E13" s="181">
        <f t="shared" si="3"/>
        <v>978375</v>
      </c>
      <c r="F13" s="1229"/>
      <c r="G13" s="181">
        <f t="shared" si="0"/>
        <v>15355</v>
      </c>
      <c r="H13" s="181">
        <f t="shared" si="5"/>
        <v>429540</v>
      </c>
      <c r="I13" s="181"/>
      <c r="J13" s="181"/>
      <c r="K13" s="181">
        <f t="shared" si="4"/>
        <v>880670</v>
      </c>
      <c r="L13" s="181">
        <f t="shared" si="1"/>
        <v>978375</v>
      </c>
      <c r="M13" s="181"/>
    </row>
    <row r="14" spans="1:13" ht="30" customHeight="1">
      <c r="A14" s="365">
        <v>42583</v>
      </c>
      <c r="B14" s="181">
        <v>587.5</v>
      </c>
      <c r="C14" s="181">
        <v>149812.5</v>
      </c>
      <c r="D14" s="181">
        <f t="shared" si="2"/>
        <v>4444</v>
      </c>
      <c r="E14" s="181">
        <f t="shared" si="3"/>
        <v>1128187.5</v>
      </c>
      <c r="F14" s="1229"/>
      <c r="G14" s="181">
        <f t="shared" si="0"/>
        <v>149812.5</v>
      </c>
      <c r="H14" s="181">
        <f t="shared" si="5"/>
        <v>82350</v>
      </c>
      <c r="I14" s="181">
        <v>428815</v>
      </c>
      <c r="J14" s="181">
        <f>I14</f>
        <v>428815</v>
      </c>
      <c r="K14" s="181">
        <f t="shared" si="4"/>
        <v>534205</v>
      </c>
      <c r="L14" s="181">
        <f t="shared" si="1"/>
        <v>699372.5</v>
      </c>
      <c r="M14" s="181" t="s">
        <v>1333</v>
      </c>
    </row>
    <row r="15" spans="1:13" ht="30" customHeight="1">
      <c r="A15" s="365">
        <v>42614</v>
      </c>
      <c r="B15" s="181">
        <v>1100</v>
      </c>
      <c r="C15" s="181">
        <v>280400</v>
      </c>
      <c r="D15" s="181">
        <f t="shared" si="2"/>
        <v>5544</v>
      </c>
      <c r="E15" s="181">
        <f t="shared" si="3"/>
        <v>1408587.5</v>
      </c>
      <c r="F15" s="1229"/>
      <c r="G15" s="181">
        <f t="shared" si="0"/>
        <v>280400</v>
      </c>
      <c r="H15" s="181">
        <f t="shared" si="5"/>
        <v>15355</v>
      </c>
      <c r="I15" s="181"/>
      <c r="J15" s="181">
        <f>I15+J14</f>
        <v>428815</v>
      </c>
      <c r="K15" s="181">
        <f t="shared" si="4"/>
        <v>549560</v>
      </c>
      <c r="L15" s="181">
        <f t="shared" si="1"/>
        <v>979772.5</v>
      </c>
      <c r="M15" s="181"/>
    </row>
    <row r="16" spans="1:13" ht="30" customHeight="1">
      <c r="A16" s="365">
        <v>42644</v>
      </c>
      <c r="B16" s="181">
        <v>36</v>
      </c>
      <c r="C16" s="181">
        <v>8280</v>
      </c>
      <c r="D16" s="181">
        <f t="shared" si="2"/>
        <v>5580</v>
      </c>
      <c r="E16" s="181">
        <f t="shared" si="3"/>
        <v>1416867.5</v>
      </c>
      <c r="F16" s="1229"/>
      <c r="G16" s="181">
        <f t="shared" si="0"/>
        <v>8280</v>
      </c>
      <c r="H16" s="181">
        <f t="shared" si="5"/>
        <v>149812.5</v>
      </c>
      <c r="I16" s="181">
        <v>451855</v>
      </c>
      <c r="J16" s="181">
        <f>I16+J15</f>
        <v>880670</v>
      </c>
      <c r="K16" s="181">
        <f t="shared" si="4"/>
        <v>247517.5</v>
      </c>
      <c r="L16" s="181">
        <f t="shared" si="1"/>
        <v>536197.5</v>
      </c>
      <c r="M16" s="181"/>
    </row>
    <row r="17" spans="1:13" ht="30" customHeight="1">
      <c r="A17" s="365">
        <v>42675</v>
      </c>
      <c r="B17" s="181">
        <v>0</v>
      </c>
      <c r="C17" s="181">
        <v>0</v>
      </c>
      <c r="D17" s="181">
        <f t="shared" si="2"/>
        <v>5580</v>
      </c>
      <c r="E17" s="181">
        <f t="shared" si="3"/>
        <v>1416867.5</v>
      </c>
      <c r="F17" s="1229"/>
      <c r="G17" s="181">
        <f t="shared" si="0"/>
        <v>0</v>
      </c>
      <c r="H17" s="181">
        <f t="shared" si="5"/>
        <v>280400</v>
      </c>
      <c r="I17" s="181"/>
      <c r="J17" s="181">
        <f>I17+J16</f>
        <v>880670</v>
      </c>
      <c r="K17" s="181">
        <f t="shared" si="4"/>
        <v>527917.5</v>
      </c>
      <c r="L17" s="181">
        <f t="shared" si="1"/>
        <v>536197.5</v>
      </c>
      <c r="M17" s="181"/>
    </row>
    <row r="18" spans="1:13" ht="30" customHeight="1">
      <c r="A18" s="365">
        <v>42705</v>
      </c>
      <c r="B18" s="181">
        <v>0</v>
      </c>
      <c r="C18" s="181">
        <v>0</v>
      </c>
      <c r="D18" s="181">
        <f t="shared" si="2"/>
        <v>5580</v>
      </c>
      <c r="E18" s="181">
        <f t="shared" si="3"/>
        <v>1416867.5</v>
      </c>
      <c r="F18" s="1229"/>
      <c r="G18" s="181">
        <f t="shared" si="0"/>
        <v>0</v>
      </c>
      <c r="H18" s="181">
        <f t="shared" si="5"/>
        <v>8280</v>
      </c>
      <c r="I18" s="181"/>
      <c r="J18" s="181">
        <f>I18+J17</f>
        <v>880670</v>
      </c>
      <c r="K18" s="181">
        <f t="shared" si="4"/>
        <v>536197.5</v>
      </c>
      <c r="L18" s="181">
        <f t="shared" si="1"/>
        <v>536197.5</v>
      </c>
      <c r="M18" s="181" t="s">
        <v>1334</v>
      </c>
    </row>
    <row r="19" spans="1:13" ht="30" customHeight="1">
      <c r="A19" s="365">
        <v>42736</v>
      </c>
      <c r="B19" s="181">
        <v>0</v>
      </c>
      <c r="C19" s="181">
        <v>0</v>
      </c>
      <c r="D19" s="181">
        <f t="shared" si="2"/>
        <v>5580</v>
      </c>
      <c r="E19" s="181">
        <f t="shared" si="3"/>
        <v>1416867.5</v>
      </c>
      <c r="F19" s="1229"/>
      <c r="G19" s="181"/>
      <c r="H19" s="181">
        <f t="shared" si="5"/>
        <v>0</v>
      </c>
      <c r="I19" s="181">
        <v>536197.5</v>
      </c>
      <c r="J19" s="181">
        <f>I19+J18</f>
        <v>1416867.5</v>
      </c>
      <c r="K19" s="181">
        <f t="shared" si="4"/>
        <v>0</v>
      </c>
      <c r="L19" s="181">
        <f t="shared" si="1"/>
        <v>0</v>
      </c>
      <c r="M19" s="181"/>
    </row>
    <row r="20" spans="1:13" ht="30" customHeight="1">
      <c r="A20" s="365"/>
      <c r="B20" s="181"/>
      <c r="C20" s="181"/>
      <c r="D20" s="181"/>
      <c r="E20" s="181"/>
      <c r="F20" s="1229"/>
      <c r="G20" s="181"/>
      <c r="H20" s="181">
        <f t="shared" si="5"/>
        <v>0</v>
      </c>
      <c r="I20" s="181"/>
      <c r="J20" s="181"/>
      <c r="K20" s="181">
        <f t="shared" si="4"/>
        <v>0</v>
      </c>
      <c r="L20" s="181"/>
      <c r="M20" s="181"/>
    </row>
    <row r="21" spans="1:13" ht="30" customHeight="1">
      <c r="A21" s="365"/>
      <c r="B21" s="181"/>
      <c r="C21" s="181"/>
      <c r="D21" s="181"/>
      <c r="E21" s="181"/>
      <c r="F21" s="181"/>
      <c r="G21" s="181"/>
      <c r="H21" s="181"/>
      <c r="I21" s="181"/>
      <c r="J21" s="181"/>
      <c r="K21" s="181"/>
      <c r="L21" s="181"/>
      <c r="M21" s="181"/>
    </row>
    <row r="22" spans="1:13" ht="30" customHeight="1">
      <c r="A22" s="365"/>
      <c r="B22" s="181"/>
      <c r="C22" s="181"/>
      <c r="D22" s="181"/>
      <c r="E22" s="181"/>
      <c r="F22" s="181"/>
      <c r="G22" s="181"/>
      <c r="H22" s="181"/>
      <c r="I22" s="181"/>
      <c r="J22" s="181"/>
      <c r="K22" s="181"/>
      <c r="L22" s="181"/>
      <c r="M22" s="181"/>
    </row>
  </sheetData>
  <mergeCells count="14">
    <mergeCell ref="B3:C3"/>
    <mergeCell ref="B4:G4"/>
    <mergeCell ref="H4:J4"/>
    <mergeCell ref="K4:M4"/>
    <mergeCell ref="B5:E5"/>
    <mergeCell ref="F5:H5"/>
    <mergeCell ref="I5:L5"/>
    <mergeCell ref="C1:D1"/>
    <mergeCell ref="E1:G1"/>
    <mergeCell ref="I1:J1"/>
    <mergeCell ref="K1:M1"/>
    <mergeCell ref="B2:C2"/>
    <mergeCell ref="E2:G2"/>
    <mergeCell ref="H2:I2"/>
  </mergeCells>
  <phoneticPr fontId="84" type="noConversion"/>
  <pageMargins left="0.75" right="0.75" top="1" bottom="1" header="0.5" footer="0.5"/>
  <pageSetup paperSize="9" orientation="portrait" verticalDpi="0"/>
  <headerFooter scaleWithDoc="0"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76"/>
  <sheetViews>
    <sheetView topLeftCell="A43" zoomScaleSheetLayoutView="100" workbookViewId="0"/>
  </sheetViews>
  <sheetFormatPr defaultColWidth="9" defaultRowHeight="14.25"/>
  <cols>
    <col min="1" max="1" width="15" customWidth="1"/>
    <col min="2" max="2" width="12.75" customWidth="1"/>
    <col min="3" max="3" width="12.625" customWidth="1"/>
    <col min="4" max="4" width="13.125" customWidth="1"/>
    <col min="5" max="5" width="14.125" bestFit="1" customWidth="1"/>
    <col min="6" max="6" width="12" customWidth="1"/>
    <col min="7" max="7" width="10.625" customWidth="1"/>
    <col min="8" max="8" width="14.375" customWidth="1"/>
    <col min="9" max="9" width="14.625" customWidth="1"/>
    <col min="10" max="10" width="13.375" customWidth="1"/>
    <col min="11" max="11" width="14.5" customWidth="1"/>
    <col min="12" max="12" width="19" customWidth="1"/>
    <col min="13" max="13" width="30.25" customWidth="1"/>
  </cols>
  <sheetData>
    <row r="1" spans="1:13">
      <c r="A1" s="1032" t="s">
        <v>298</v>
      </c>
      <c r="B1" s="1033"/>
      <c r="C1" s="1202" t="s">
        <v>299</v>
      </c>
      <c r="D1" s="1175"/>
      <c r="E1" s="1034" t="s">
        <v>236</v>
      </c>
      <c r="F1" s="1644"/>
      <c r="G1" s="1644"/>
      <c r="H1" s="1644"/>
      <c r="I1" s="531" t="s">
        <v>237</v>
      </c>
      <c r="J1" s="1645" t="s">
        <v>300</v>
      </c>
      <c r="K1" s="1645"/>
      <c r="L1" s="1645"/>
      <c r="M1" s="1339" t="s">
        <v>301</v>
      </c>
    </row>
    <row r="2" spans="1:13" ht="32.1" customHeight="1">
      <c r="A2" s="39" t="s">
        <v>240</v>
      </c>
      <c r="B2" s="1637" t="s">
        <v>302</v>
      </c>
      <c r="C2" s="1637"/>
      <c r="D2" s="41" t="s">
        <v>242</v>
      </c>
      <c r="E2" s="1638"/>
      <c r="F2" s="1638"/>
      <c r="G2" s="1638"/>
      <c r="H2" s="1638"/>
      <c r="I2" s="41" t="s">
        <v>243</v>
      </c>
      <c r="J2" s="1638" t="s">
        <v>244</v>
      </c>
      <c r="K2" s="1638"/>
      <c r="L2" s="41" t="s">
        <v>245</v>
      </c>
      <c r="M2" s="89" t="s">
        <v>303</v>
      </c>
    </row>
    <row r="3" spans="1:13" ht="51" customHeight="1">
      <c r="A3" s="39" t="s">
        <v>247</v>
      </c>
      <c r="B3" s="1639" t="s">
        <v>304</v>
      </c>
      <c r="C3" s="1639"/>
      <c r="D3" s="41" t="s">
        <v>249</v>
      </c>
      <c r="E3" s="186" t="s">
        <v>305</v>
      </c>
      <c r="F3" s="41" t="s">
        <v>251</v>
      </c>
      <c r="G3" s="41" t="s">
        <v>306</v>
      </c>
      <c r="H3" s="41" t="s">
        <v>252</v>
      </c>
      <c r="I3" s="90">
        <v>13602891388</v>
      </c>
      <c r="J3" s="91" t="s">
        <v>253</v>
      </c>
      <c r="K3" s="15" t="s">
        <v>307</v>
      </c>
      <c r="L3" s="15" t="s">
        <v>255</v>
      </c>
      <c r="M3" s="89" t="s">
        <v>308</v>
      </c>
    </row>
    <row r="4" spans="1:13" ht="30.95" customHeight="1">
      <c r="A4" s="39" t="s">
        <v>257</v>
      </c>
      <c r="B4" s="1637"/>
      <c r="C4" s="1637"/>
      <c r="D4" s="1637"/>
      <c r="E4" s="43" t="s">
        <v>258</v>
      </c>
      <c r="F4" s="1638" t="s">
        <v>309</v>
      </c>
      <c r="G4" s="1638"/>
      <c r="H4" s="1638"/>
      <c r="I4" s="1637"/>
      <c r="J4" s="1637"/>
      <c r="K4" s="15"/>
      <c r="L4" s="15"/>
      <c r="M4" s="105"/>
    </row>
    <row r="5" spans="1:13" ht="39.950000000000003" customHeight="1">
      <c r="A5" s="39" t="s">
        <v>260</v>
      </c>
      <c r="B5" s="1633" t="s">
        <v>310</v>
      </c>
      <c r="C5" s="1633"/>
      <c r="D5" s="1633"/>
      <c r="E5" s="1633"/>
      <c r="F5" s="1633" t="s">
        <v>311</v>
      </c>
      <c r="G5" s="1633"/>
      <c r="H5" s="1633"/>
      <c r="I5" s="1633"/>
      <c r="J5" s="1633"/>
      <c r="K5" s="1633"/>
      <c r="L5" s="1633"/>
      <c r="M5" s="151"/>
    </row>
    <row r="6" spans="1:13" ht="36.95000000000000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0" customHeight="1">
      <c r="A7" s="48">
        <v>41548</v>
      </c>
      <c r="B7" s="46">
        <v>463.5</v>
      </c>
      <c r="C7" s="46">
        <v>145878</v>
      </c>
      <c r="D7" s="140">
        <f>B7</f>
        <v>463.5</v>
      </c>
      <c r="E7" s="140">
        <f>C7</f>
        <v>145878</v>
      </c>
      <c r="F7" s="46"/>
      <c r="G7" s="47"/>
      <c r="H7" s="1322"/>
      <c r="I7" s="110"/>
      <c r="J7" s="47"/>
      <c r="K7" s="1322"/>
      <c r="L7" s="1497">
        <f t="shared" ref="L7:L12" si="0">E7-J7</f>
        <v>145878</v>
      </c>
      <c r="M7" s="1347"/>
    </row>
    <row r="8" spans="1:13" ht="30" customHeight="1">
      <c r="A8" s="48">
        <v>41579</v>
      </c>
      <c r="B8" s="46">
        <v>651</v>
      </c>
      <c r="C8" s="46">
        <v>201568</v>
      </c>
      <c r="D8" s="140">
        <f t="shared" ref="D8:E12" si="1">D7+B8</f>
        <v>1114.5</v>
      </c>
      <c r="E8" s="140">
        <f t="shared" si="1"/>
        <v>347446</v>
      </c>
      <c r="F8" s="46"/>
      <c r="G8" s="47"/>
      <c r="H8" s="1322">
        <f>C7</f>
        <v>145878</v>
      </c>
      <c r="I8" s="110"/>
      <c r="J8" s="47"/>
      <c r="K8" s="1322">
        <f>K7+H8-I8</f>
        <v>145878</v>
      </c>
      <c r="L8" s="1497">
        <f t="shared" si="0"/>
        <v>347446</v>
      </c>
      <c r="M8" s="1347" t="s">
        <v>312</v>
      </c>
    </row>
    <row r="9" spans="1:13" ht="30" customHeight="1">
      <c r="A9" s="45">
        <v>41609</v>
      </c>
      <c r="B9" s="46">
        <v>0</v>
      </c>
      <c r="C9" s="46">
        <v>0</v>
      </c>
      <c r="D9" s="140">
        <f t="shared" si="1"/>
        <v>1114.5</v>
      </c>
      <c r="E9" s="140">
        <f t="shared" si="1"/>
        <v>347446</v>
      </c>
      <c r="F9" s="46"/>
      <c r="G9" s="47"/>
      <c r="H9" s="1322">
        <f>C8</f>
        <v>201568</v>
      </c>
      <c r="I9" s="110">
        <v>270000</v>
      </c>
      <c r="J9" s="47">
        <f>J8+I9</f>
        <v>270000</v>
      </c>
      <c r="K9" s="1322">
        <f>K8+H9-I9</f>
        <v>77446</v>
      </c>
      <c r="L9" s="1497">
        <f t="shared" si="0"/>
        <v>77446</v>
      </c>
      <c r="M9" s="1347"/>
    </row>
    <row r="10" spans="1:13" ht="30" customHeight="1">
      <c r="A10" s="45">
        <v>41640</v>
      </c>
      <c r="B10" s="46">
        <v>0</v>
      </c>
      <c r="C10" s="46">
        <v>0</v>
      </c>
      <c r="D10" s="140">
        <f t="shared" si="1"/>
        <v>1114.5</v>
      </c>
      <c r="E10" s="140">
        <f t="shared" si="1"/>
        <v>347446</v>
      </c>
      <c r="F10" s="46"/>
      <c r="G10" s="47"/>
      <c r="H10" s="1322">
        <f>C9</f>
        <v>0</v>
      </c>
      <c r="I10" s="110">
        <v>0</v>
      </c>
      <c r="J10" s="47">
        <f>J9+I10</f>
        <v>270000</v>
      </c>
      <c r="K10" s="1322">
        <f>K9+H10-I10</f>
        <v>77446</v>
      </c>
      <c r="L10" s="1497">
        <f t="shared" si="0"/>
        <v>77446</v>
      </c>
      <c r="M10" s="1347"/>
    </row>
    <row r="11" spans="1:13" ht="30" customHeight="1">
      <c r="A11" s="45">
        <v>41671</v>
      </c>
      <c r="B11" s="46">
        <v>0</v>
      </c>
      <c r="C11" s="46">
        <v>0</v>
      </c>
      <c r="D11" s="140">
        <f t="shared" si="1"/>
        <v>1114.5</v>
      </c>
      <c r="E11" s="140">
        <f t="shared" si="1"/>
        <v>347446</v>
      </c>
      <c r="F11" s="46"/>
      <c r="G11" s="47"/>
      <c r="H11" s="1322">
        <f>C10</f>
        <v>0</v>
      </c>
      <c r="I11" s="110">
        <v>0</v>
      </c>
      <c r="J11" s="47">
        <f>J10+I11</f>
        <v>270000</v>
      </c>
      <c r="K11" s="1322">
        <f>K10+H11-I11</f>
        <v>77446</v>
      </c>
      <c r="L11" s="1497">
        <f t="shared" si="0"/>
        <v>77446</v>
      </c>
      <c r="M11" s="97"/>
    </row>
    <row r="12" spans="1:13" ht="30" customHeight="1">
      <c r="A12" s="45">
        <v>41699</v>
      </c>
      <c r="B12" s="46">
        <v>0</v>
      </c>
      <c r="C12" s="46">
        <v>0</v>
      </c>
      <c r="D12" s="140">
        <f t="shared" si="1"/>
        <v>1114.5</v>
      </c>
      <c r="E12" s="140">
        <f t="shared" si="1"/>
        <v>347446</v>
      </c>
      <c r="F12" s="46"/>
      <c r="G12" s="47"/>
      <c r="H12" s="1322">
        <f>C11</f>
        <v>0</v>
      </c>
      <c r="I12" s="110">
        <v>77446</v>
      </c>
      <c r="J12" s="47">
        <f>J11+I12</f>
        <v>347446</v>
      </c>
      <c r="K12" s="1322">
        <f>K11+H12-I12</f>
        <v>0</v>
      </c>
      <c r="L12" s="1497">
        <f t="shared" si="0"/>
        <v>0</v>
      </c>
      <c r="M12" s="1347" t="s">
        <v>313</v>
      </c>
    </row>
    <row r="13" spans="1:13" ht="158.1" customHeight="1">
      <c r="A13" s="34" t="s">
        <v>314</v>
      </c>
      <c r="B13" s="176"/>
      <c r="C13" s="36" t="s">
        <v>315</v>
      </c>
      <c r="D13" s="37"/>
      <c r="E13" s="38" t="s">
        <v>236</v>
      </c>
      <c r="F13" s="1635"/>
      <c r="G13" s="1635"/>
      <c r="H13" s="1635"/>
      <c r="I13" s="1367" t="s">
        <v>316</v>
      </c>
      <c r="J13" s="1636" t="s">
        <v>317</v>
      </c>
      <c r="K13" s="1636"/>
      <c r="L13" s="1636"/>
      <c r="M13" s="1498" t="s">
        <v>318</v>
      </c>
    </row>
    <row r="14" spans="1:13" ht="45" customHeight="1">
      <c r="A14" s="39" t="s">
        <v>240</v>
      </c>
      <c r="B14" s="1637" t="s">
        <v>319</v>
      </c>
      <c r="C14" s="1637"/>
      <c r="D14" s="41" t="s">
        <v>242</v>
      </c>
      <c r="E14" s="1638" t="s">
        <v>320</v>
      </c>
      <c r="F14" s="1638"/>
      <c r="G14" s="1638"/>
      <c r="H14" s="1638"/>
      <c r="I14" s="41" t="s">
        <v>243</v>
      </c>
      <c r="J14" s="1638" t="s">
        <v>321</v>
      </c>
      <c r="K14" s="1638"/>
      <c r="L14" s="41" t="s">
        <v>245</v>
      </c>
      <c r="M14" s="89"/>
    </row>
    <row r="15" spans="1:13" ht="45" customHeight="1">
      <c r="A15" s="39" t="s">
        <v>247</v>
      </c>
      <c r="B15" s="1639" t="s">
        <v>322</v>
      </c>
      <c r="C15" s="1639"/>
      <c r="D15" s="41" t="s">
        <v>249</v>
      </c>
      <c r="E15" s="186" t="s">
        <v>323</v>
      </c>
      <c r="F15" s="41" t="s">
        <v>251</v>
      </c>
      <c r="G15" s="41"/>
      <c r="H15" s="41" t="s">
        <v>252</v>
      </c>
      <c r="I15" s="90"/>
      <c r="J15" s="91" t="s">
        <v>253</v>
      </c>
      <c r="K15" s="15" t="s">
        <v>324</v>
      </c>
      <c r="L15" s="15" t="s">
        <v>255</v>
      </c>
      <c r="M15" s="92" t="s">
        <v>325</v>
      </c>
    </row>
    <row r="16" spans="1:13" ht="45" customHeight="1">
      <c r="A16" s="39" t="s">
        <v>257</v>
      </c>
      <c r="B16" s="1637"/>
      <c r="C16" s="1637"/>
      <c r="D16" s="1637"/>
      <c r="E16" s="43" t="s">
        <v>258</v>
      </c>
      <c r="F16" s="1638" t="s">
        <v>326</v>
      </c>
      <c r="G16" s="1638"/>
      <c r="H16" s="1638"/>
      <c r="I16" s="1637" t="s">
        <v>327</v>
      </c>
      <c r="J16" s="1637"/>
      <c r="K16" s="15"/>
      <c r="L16" s="15"/>
      <c r="M16" s="105"/>
    </row>
    <row r="17" spans="1:13" ht="45" customHeight="1">
      <c r="A17" s="39" t="s">
        <v>260</v>
      </c>
      <c r="B17" s="1633" t="s">
        <v>310</v>
      </c>
      <c r="C17" s="1633"/>
      <c r="D17" s="1633"/>
      <c r="E17" s="1633"/>
      <c r="F17" s="1633" t="s">
        <v>311</v>
      </c>
      <c r="G17" s="1633"/>
      <c r="H17" s="1633"/>
      <c r="I17" s="1633"/>
      <c r="J17" s="1633"/>
      <c r="K17" s="1633"/>
      <c r="L17" s="1633"/>
      <c r="M17" s="151"/>
    </row>
    <row r="18" spans="1:13" ht="45" customHeight="1">
      <c r="A18" s="19" t="s">
        <v>266</v>
      </c>
      <c r="B18" s="20" t="s">
        <v>267</v>
      </c>
      <c r="C18" s="20" t="s">
        <v>328</v>
      </c>
      <c r="D18" s="20" t="s">
        <v>269</v>
      </c>
      <c r="E18" s="20" t="s">
        <v>270</v>
      </c>
      <c r="F18" s="20" t="s">
        <v>271</v>
      </c>
      <c r="G18" s="21" t="s">
        <v>272</v>
      </c>
      <c r="H18" s="22" t="s">
        <v>273</v>
      </c>
      <c r="I18" s="20" t="s">
        <v>274</v>
      </c>
      <c r="J18" s="70" t="s">
        <v>275</v>
      </c>
      <c r="K18" s="70" t="s">
        <v>276</v>
      </c>
      <c r="L18" s="20" t="s">
        <v>277</v>
      </c>
      <c r="M18" s="71" t="s">
        <v>278</v>
      </c>
    </row>
    <row r="19" spans="1:13" ht="39" customHeight="1">
      <c r="A19" s="45">
        <v>41609</v>
      </c>
      <c r="B19" s="46">
        <v>3329</v>
      </c>
      <c r="C19" s="46">
        <v>1040403.1</v>
      </c>
      <c r="D19" s="140">
        <f>B19</f>
        <v>3329</v>
      </c>
      <c r="E19" s="140">
        <f>C19</f>
        <v>1040403.1</v>
      </c>
      <c r="F19" s="46"/>
      <c r="G19" s="47"/>
      <c r="H19" s="1322">
        <v>0</v>
      </c>
      <c r="I19" s="110"/>
      <c r="J19" s="47"/>
      <c r="K19" s="1322"/>
      <c r="L19" s="1497">
        <f>E19-J19</f>
        <v>1040403.1</v>
      </c>
      <c r="M19" s="1347" t="s">
        <v>329</v>
      </c>
    </row>
    <row r="20" spans="1:13" ht="39" customHeight="1">
      <c r="A20" s="45">
        <v>41640</v>
      </c>
      <c r="B20" s="46">
        <v>1200</v>
      </c>
      <c r="C20" s="46">
        <v>368166.2</v>
      </c>
      <c r="D20" s="140">
        <f t="shared" ref="D20:D50" si="2">D19+B20</f>
        <v>4529</v>
      </c>
      <c r="E20" s="140">
        <f>E19+C20</f>
        <v>1408569.3</v>
      </c>
      <c r="F20" s="1493"/>
      <c r="G20" s="47"/>
      <c r="H20" s="1322">
        <f>C19</f>
        <v>1040403.1</v>
      </c>
      <c r="I20" s="47">
        <v>800000</v>
      </c>
      <c r="J20" s="47">
        <f t="shared" ref="J20:J50" si="3">J19+I20</f>
        <v>800000</v>
      </c>
      <c r="K20" s="1322">
        <f>K19+H20-I20</f>
        <v>240403.09999999998</v>
      </c>
      <c r="L20" s="1497">
        <f>E20-J20</f>
        <v>608569.30000000005</v>
      </c>
      <c r="M20" s="1347"/>
    </row>
    <row r="21" spans="1:13" ht="39" customHeight="1">
      <c r="A21" s="45">
        <v>41671</v>
      </c>
      <c r="B21" s="46">
        <v>2168</v>
      </c>
      <c r="C21" s="46">
        <v>729757.2</v>
      </c>
      <c r="D21" s="140">
        <f t="shared" si="2"/>
        <v>6697</v>
      </c>
      <c r="E21" s="140">
        <f>E20+C21</f>
        <v>2138326.5</v>
      </c>
      <c r="F21" s="46"/>
      <c r="G21" s="47"/>
      <c r="H21" s="1322">
        <f t="shared" ref="H21:H50" si="4">C20</f>
        <v>368166.2</v>
      </c>
      <c r="I21" s="47">
        <v>0</v>
      </c>
      <c r="J21" s="47">
        <f t="shared" si="3"/>
        <v>800000</v>
      </c>
      <c r="K21" s="1322">
        <f>K20+H21-I21</f>
        <v>608569.30000000005</v>
      </c>
      <c r="L21" s="1497">
        <f>E21-J21</f>
        <v>1338326.5</v>
      </c>
      <c r="M21" s="1499" t="s">
        <v>330</v>
      </c>
    </row>
    <row r="22" spans="1:13" ht="39" customHeight="1">
      <c r="A22" s="45">
        <v>41699</v>
      </c>
      <c r="B22" s="46">
        <v>16883</v>
      </c>
      <c r="C22" s="46">
        <v>5763739.4000000004</v>
      </c>
      <c r="D22" s="140">
        <f t="shared" si="2"/>
        <v>23580</v>
      </c>
      <c r="E22" s="140">
        <f>E21+C22</f>
        <v>7902065.9000000004</v>
      </c>
      <c r="F22" s="46"/>
      <c r="G22" s="47"/>
      <c r="H22" s="1322">
        <f t="shared" si="4"/>
        <v>729757.2</v>
      </c>
      <c r="I22" s="47">
        <v>300000</v>
      </c>
      <c r="J22" s="47">
        <f t="shared" si="3"/>
        <v>1100000</v>
      </c>
      <c r="K22" s="1322">
        <f>K21+H22-I22</f>
        <v>1038326.5</v>
      </c>
      <c r="L22" s="1497">
        <f>E22-J22</f>
        <v>6802065.9000000004</v>
      </c>
      <c r="M22" s="1499" t="s">
        <v>331</v>
      </c>
    </row>
    <row r="23" spans="1:13" ht="39" customHeight="1">
      <c r="A23" s="188">
        <v>41730</v>
      </c>
      <c r="B23" s="180">
        <v>5890</v>
      </c>
      <c r="C23" s="180">
        <v>2006852.1</v>
      </c>
      <c r="D23" s="200">
        <f t="shared" si="2"/>
        <v>29470</v>
      </c>
      <c r="E23" s="200">
        <f>E22+C23</f>
        <v>9908918</v>
      </c>
      <c r="F23" s="180"/>
      <c r="G23" s="181"/>
      <c r="H23" s="294">
        <f t="shared" si="4"/>
        <v>5763739.4000000004</v>
      </c>
      <c r="I23" s="181">
        <f>1500000+2000000</f>
        <v>3500000</v>
      </c>
      <c r="J23" s="181">
        <f t="shared" si="3"/>
        <v>4600000</v>
      </c>
      <c r="K23" s="294">
        <f>K22+H23-I23</f>
        <v>3302065.9000000004</v>
      </c>
      <c r="L23" s="226">
        <f>E23-J23</f>
        <v>5308918</v>
      </c>
      <c r="M23" s="1500" t="s">
        <v>332</v>
      </c>
    </row>
    <row r="24" spans="1:13" ht="39" customHeight="1">
      <c r="A24" s="985">
        <v>41760</v>
      </c>
      <c r="B24" s="180">
        <v>2674</v>
      </c>
      <c r="C24" s="180">
        <v>979497.3</v>
      </c>
      <c r="D24" s="200">
        <f t="shared" si="2"/>
        <v>32144</v>
      </c>
      <c r="E24" s="200">
        <f t="shared" ref="E24:E50" si="5">E23+C24</f>
        <v>10888415.300000001</v>
      </c>
      <c r="F24" s="180"/>
      <c r="G24" s="181"/>
      <c r="H24" s="294">
        <f t="shared" si="4"/>
        <v>2006852.1</v>
      </c>
      <c r="I24" s="181">
        <v>2422554</v>
      </c>
      <c r="J24" s="181">
        <f t="shared" si="3"/>
        <v>7022554</v>
      </c>
      <c r="K24" s="294">
        <f t="shared" ref="K24:K51" si="6">K23+H24-I24</f>
        <v>2886364</v>
      </c>
      <c r="L24" s="226">
        <f t="shared" ref="L24:L50" si="7">E24-J24</f>
        <v>3865861.3000000007</v>
      </c>
      <c r="M24" s="1500" t="s">
        <v>333</v>
      </c>
    </row>
    <row r="25" spans="1:13" ht="39" customHeight="1">
      <c r="A25" s="985">
        <v>41791</v>
      </c>
      <c r="B25" s="180">
        <v>2353</v>
      </c>
      <c r="C25" s="180">
        <v>842373.2</v>
      </c>
      <c r="D25" s="200">
        <f t="shared" si="2"/>
        <v>34497</v>
      </c>
      <c r="E25" s="200">
        <f t="shared" si="5"/>
        <v>11730788.5</v>
      </c>
      <c r="F25" s="180"/>
      <c r="G25" s="181"/>
      <c r="H25" s="294">
        <f t="shared" si="4"/>
        <v>979497.3</v>
      </c>
      <c r="I25" s="181">
        <v>1999978</v>
      </c>
      <c r="J25" s="181">
        <f t="shared" si="3"/>
        <v>9022532</v>
      </c>
      <c r="K25" s="294">
        <f t="shared" si="6"/>
        <v>1865883.2999999998</v>
      </c>
      <c r="L25" s="226">
        <f t="shared" si="7"/>
        <v>2708256.5</v>
      </c>
      <c r="M25" s="1500" t="s">
        <v>334</v>
      </c>
    </row>
    <row r="26" spans="1:13" ht="39" customHeight="1">
      <c r="A26" s="985">
        <v>41821</v>
      </c>
      <c r="B26" s="180">
        <v>2475</v>
      </c>
      <c r="C26" s="180">
        <v>877113.9</v>
      </c>
      <c r="D26" s="200">
        <f t="shared" si="2"/>
        <v>36972</v>
      </c>
      <c r="E26" s="200">
        <f t="shared" si="5"/>
        <v>12607902.4</v>
      </c>
      <c r="F26" s="180"/>
      <c r="G26" s="181"/>
      <c r="H26" s="294">
        <f t="shared" si="4"/>
        <v>842373.2</v>
      </c>
      <c r="I26" s="181">
        <v>1000000</v>
      </c>
      <c r="J26" s="181">
        <f t="shared" si="3"/>
        <v>10022532</v>
      </c>
      <c r="K26" s="294">
        <f t="shared" si="6"/>
        <v>1708256.5</v>
      </c>
      <c r="L26" s="226">
        <f t="shared" si="7"/>
        <v>2585370.4000000004</v>
      </c>
      <c r="M26" s="1500" t="s">
        <v>335</v>
      </c>
    </row>
    <row r="27" spans="1:13" ht="39" customHeight="1">
      <c r="A27" s="985">
        <v>41852</v>
      </c>
      <c r="B27" s="180">
        <v>821</v>
      </c>
      <c r="C27" s="180">
        <v>300913</v>
      </c>
      <c r="D27" s="200">
        <f t="shared" si="2"/>
        <v>37793</v>
      </c>
      <c r="E27" s="200">
        <f t="shared" si="5"/>
        <v>12908815.4</v>
      </c>
      <c r="F27" s="180"/>
      <c r="G27" s="181"/>
      <c r="H27" s="294">
        <f t="shared" si="4"/>
        <v>877113.9</v>
      </c>
      <c r="I27" s="181">
        <v>1000000</v>
      </c>
      <c r="J27" s="181">
        <f t="shared" si="3"/>
        <v>11022532</v>
      </c>
      <c r="K27" s="294">
        <f t="shared" si="6"/>
        <v>1585370.4</v>
      </c>
      <c r="L27" s="226">
        <f t="shared" si="7"/>
        <v>1886283.4000000004</v>
      </c>
      <c r="M27" s="1500" t="s">
        <v>336</v>
      </c>
    </row>
    <row r="28" spans="1:13" ht="39" customHeight="1">
      <c r="A28" s="985">
        <v>41883</v>
      </c>
      <c r="B28" s="180">
        <v>4037</v>
      </c>
      <c r="C28" s="180">
        <v>1566747</v>
      </c>
      <c r="D28" s="200">
        <f t="shared" si="2"/>
        <v>41830</v>
      </c>
      <c r="E28" s="200">
        <f t="shared" si="5"/>
        <v>14475562.4</v>
      </c>
      <c r="F28" s="180"/>
      <c r="G28" s="181"/>
      <c r="H28" s="294">
        <f t="shared" si="4"/>
        <v>300913</v>
      </c>
      <c r="I28" s="181">
        <f>400000+600000</f>
        <v>1000000</v>
      </c>
      <c r="J28" s="181">
        <f t="shared" si="3"/>
        <v>12022532</v>
      </c>
      <c r="K28" s="294">
        <f t="shared" si="6"/>
        <v>886283.39999999991</v>
      </c>
      <c r="L28" s="226">
        <f t="shared" si="7"/>
        <v>2453030.4000000004</v>
      </c>
      <c r="M28" s="1500" t="s">
        <v>337</v>
      </c>
    </row>
    <row r="29" spans="1:13" ht="39" customHeight="1">
      <c r="A29" s="985">
        <v>41913</v>
      </c>
      <c r="B29" s="340">
        <v>2081</v>
      </c>
      <c r="C29" s="340">
        <v>761042.1</v>
      </c>
      <c r="D29" s="200">
        <f t="shared" si="2"/>
        <v>43911</v>
      </c>
      <c r="E29" s="200">
        <f t="shared" si="5"/>
        <v>15236604.5</v>
      </c>
      <c r="F29" s="340"/>
      <c r="G29" s="457"/>
      <c r="H29" s="294">
        <f t="shared" si="4"/>
        <v>1566747</v>
      </c>
      <c r="I29" s="457"/>
      <c r="J29" s="181">
        <f t="shared" si="3"/>
        <v>12022532</v>
      </c>
      <c r="K29" s="294">
        <f t="shared" si="6"/>
        <v>2453030.4</v>
      </c>
      <c r="L29" s="226">
        <f t="shared" si="7"/>
        <v>3214072.5</v>
      </c>
      <c r="M29" s="1324"/>
    </row>
    <row r="30" spans="1:13" ht="39" customHeight="1">
      <c r="A30" s="985">
        <v>41944</v>
      </c>
      <c r="B30" s="340">
        <v>1793.5</v>
      </c>
      <c r="C30" s="340">
        <v>623282.85</v>
      </c>
      <c r="D30" s="200">
        <f t="shared" si="2"/>
        <v>45704.5</v>
      </c>
      <c r="E30" s="200">
        <f t="shared" si="5"/>
        <v>15859887.35</v>
      </c>
      <c r="F30" s="340"/>
      <c r="G30" s="457"/>
      <c r="H30" s="294">
        <f t="shared" si="4"/>
        <v>761042.1</v>
      </c>
      <c r="I30" s="457">
        <f>1000000+200000</f>
        <v>1200000</v>
      </c>
      <c r="J30" s="181">
        <f t="shared" si="3"/>
        <v>13222532</v>
      </c>
      <c r="K30" s="294">
        <f t="shared" si="6"/>
        <v>2014072.5</v>
      </c>
      <c r="L30" s="226">
        <f t="shared" si="7"/>
        <v>2637355.3499999996</v>
      </c>
      <c r="M30" s="1279" t="s">
        <v>338</v>
      </c>
    </row>
    <row r="31" spans="1:13" ht="39" customHeight="1">
      <c r="A31" s="985">
        <v>41974</v>
      </c>
      <c r="B31" s="340">
        <v>948</v>
      </c>
      <c r="C31" s="340">
        <v>340968.95</v>
      </c>
      <c r="D31" s="200">
        <f t="shared" si="2"/>
        <v>46652.5</v>
      </c>
      <c r="E31" s="200">
        <f t="shared" si="5"/>
        <v>16200856.299999999</v>
      </c>
      <c r="F31" s="340"/>
      <c r="G31" s="457"/>
      <c r="H31" s="294">
        <f t="shared" si="4"/>
        <v>623282.85</v>
      </c>
      <c r="I31" s="457">
        <v>1000000</v>
      </c>
      <c r="J31" s="181">
        <f t="shared" si="3"/>
        <v>14222532</v>
      </c>
      <c r="K31" s="294">
        <f t="shared" si="6"/>
        <v>1637355.35</v>
      </c>
      <c r="L31" s="226">
        <f t="shared" si="7"/>
        <v>1978324.2999999989</v>
      </c>
      <c r="M31" s="1324" t="s">
        <v>339</v>
      </c>
    </row>
    <row r="32" spans="1:13" ht="39" customHeight="1">
      <c r="A32" s="986">
        <v>42005</v>
      </c>
      <c r="B32" s="340">
        <v>229.5</v>
      </c>
      <c r="C32" s="340">
        <v>80972.899999999994</v>
      </c>
      <c r="D32" s="200">
        <f t="shared" si="2"/>
        <v>46882</v>
      </c>
      <c r="E32" s="200">
        <f t="shared" si="5"/>
        <v>16281829.199999999</v>
      </c>
      <c r="F32" s="340"/>
      <c r="G32" s="457"/>
      <c r="H32" s="294">
        <f t="shared" si="4"/>
        <v>340968.95</v>
      </c>
      <c r="I32" s="457">
        <f>600000+400000</f>
        <v>1000000</v>
      </c>
      <c r="J32" s="181">
        <f t="shared" si="3"/>
        <v>15222532</v>
      </c>
      <c r="K32" s="294">
        <f t="shared" si="6"/>
        <v>978324.3</v>
      </c>
      <c r="L32" s="226">
        <f t="shared" si="7"/>
        <v>1059297.1999999993</v>
      </c>
      <c r="M32" s="1324" t="s">
        <v>340</v>
      </c>
    </row>
    <row r="33" spans="1:13" ht="39" customHeight="1">
      <c r="A33" s="986">
        <v>42037</v>
      </c>
      <c r="B33" s="340">
        <v>28.5</v>
      </c>
      <c r="C33" s="340">
        <v>10948.35</v>
      </c>
      <c r="D33" s="200">
        <f t="shared" si="2"/>
        <v>46910.5</v>
      </c>
      <c r="E33" s="200">
        <f t="shared" si="5"/>
        <v>16292777.549999999</v>
      </c>
      <c r="F33" s="340"/>
      <c r="G33" s="457"/>
      <c r="H33" s="294">
        <f t="shared" si="4"/>
        <v>80972.899999999994</v>
      </c>
      <c r="I33" s="457"/>
      <c r="J33" s="181">
        <f t="shared" si="3"/>
        <v>15222532</v>
      </c>
      <c r="K33" s="294">
        <f t="shared" si="6"/>
        <v>1059297.2</v>
      </c>
      <c r="L33" s="226">
        <f t="shared" si="7"/>
        <v>1070245.5499999989</v>
      </c>
      <c r="M33" s="1324"/>
    </row>
    <row r="34" spans="1:13" ht="39" customHeight="1">
      <c r="A34" s="986">
        <v>42069</v>
      </c>
      <c r="B34" s="340">
        <v>82</v>
      </c>
      <c r="C34" s="340">
        <v>30978.3</v>
      </c>
      <c r="D34" s="200">
        <f t="shared" si="2"/>
        <v>46992.5</v>
      </c>
      <c r="E34" s="200">
        <f t="shared" si="5"/>
        <v>16323755.85</v>
      </c>
      <c r="F34" s="340"/>
      <c r="G34" s="457"/>
      <c r="H34" s="294">
        <f t="shared" si="4"/>
        <v>10948.35</v>
      </c>
      <c r="I34" s="457">
        <v>800000</v>
      </c>
      <c r="J34" s="181">
        <f t="shared" si="3"/>
        <v>16022532</v>
      </c>
      <c r="K34" s="294">
        <f t="shared" si="6"/>
        <v>270245.55000000005</v>
      </c>
      <c r="L34" s="226">
        <f t="shared" si="7"/>
        <v>301223.84999999963</v>
      </c>
      <c r="M34" s="1324" t="s">
        <v>341</v>
      </c>
    </row>
    <row r="35" spans="1:13" ht="39" customHeight="1">
      <c r="A35" s="986">
        <v>42100</v>
      </c>
      <c r="B35" s="180">
        <v>129.5</v>
      </c>
      <c r="C35" s="180">
        <v>48298.5</v>
      </c>
      <c r="D35" s="200">
        <f t="shared" si="2"/>
        <v>47122</v>
      </c>
      <c r="E35" s="200">
        <f t="shared" si="5"/>
        <v>16372054.35</v>
      </c>
      <c r="F35" s="180"/>
      <c r="G35" s="181"/>
      <c r="H35" s="294">
        <f t="shared" si="4"/>
        <v>30978.3</v>
      </c>
      <c r="I35" s="181"/>
      <c r="J35" s="181">
        <f t="shared" si="3"/>
        <v>16022532</v>
      </c>
      <c r="K35" s="294">
        <f t="shared" si="6"/>
        <v>301223.85000000003</v>
      </c>
      <c r="L35" s="226">
        <f t="shared" si="7"/>
        <v>349522.34999999963</v>
      </c>
      <c r="M35" s="1282"/>
    </row>
    <row r="36" spans="1:13" ht="39" customHeight="1">
      <c r="A36" s="986">
        <v>42130</v>
      </c>
      <c r="B36" s="180">
        <v>96</v>
      </c>
      <c r="C36" s="180">
        <v>34080</v>
      </c>
      <c r="D36" s="200">
        <f t="shared" si="2"/>
        <v>47218</v>
      </c>
      <c r="E36" s="200">
        <f t="shared" si="5"/>
        <v>16406134.35</v>
      </c>
      <c r="F36" s="180"/>
      <c r="G36" s="181"/>
      <c r="H36" s="294">
        <f t="shared" si="4"/>
        <v>48298.5</v>
      </c>
      <c r="I36" s="181"/>
      <c r="J36" s="181">
        <f t="shared" si="3"/>
        <v>16022532</v>
      </c>
      <c r="K36" s="294">
        <f t="shared" si="6"/>
        <v>349522.35000000003</v>
      </c>
      <c r="L36" s="226">
        <f t="shared" si="7"/>
        <v>383602.34999999963</v>
      </c>
      <c r="M36" s="1282"/>
    </row>
    <row r="37" spans="1:13" ht="27" customHeight="1">
      <c r="A37" s="1494">
        <v>42156</v>
      </c>
      <c r="B37" s="180">
        <v>118</v>
      </c>
      <c r="C37" s="180">
        <v>42522.5</v>
      </c>
      <c r="D37" s="200">
        <f t="shared" si="2"/>
        <v>47336</v>
      </c>
      <c r="E37" s="200">
        <f t="shared" si="5"/>
        <v>16448656.85</v>
      </c>
      <c r="F37" s="180"/>
      <c r="G37" s="181"/>
      <c r="H37" s="294">
        <f t="shared" si="4"/>
        <v>34080</v>
      </c>
      <c r="I37" s="181"/>
      <c r="J37" s="181">
        <f t="shared" si="3"/>
        <v>16022532</v>
      </c>
      <c r="K37" s="294">
        <f t="shared" si="6"/>
        <v>383602.35000000003</v>
      </c>
      <c r="L37" s="226">
        <f t="shared" si="7"/>
        <v>426124.84999999963</v>
      </c>
      <c r="M37" s="1282"/>
    </row>
    <row r="38" spans="1:13" ht="27" customHeight="1">
      <c r="A38" s="1494">
        <v>42186</v>
      </c>
      <c r="B38" s="180">
        <v>240</v>
      </c>
      <c r="C38" s="180">
        <v>80736</v>
      </c>
      <c r="D38" s="200">
        <f t="shared" si="2"/>
        <v>47576</v>
      </c>
      <c r="E38" s="200">
        <f t="shared" si="5"/>
        <v>16529392.85</v>
      </c>
      <c r="F38" s="180"/>
      <c r="G38" s="181"/>
      <c r="H38" s="294">
        <f t="shared" si="4"/>
        <v>42522.5</v>
      </c>
      <c r="I38" s="181"/>
      <c r="J38" s="181">
        <f t="shared" si="3"/>
        <v>16022532</v>
      </c>
      <c r="K38" s="294">
        <f t="shared" si="6"/>
        <v>426124.85000000003</v>
      </c>
      <c r="L38" s="226">
        <f t="shared" si="7"/>
        <v>506860.84999999963</v>
      </c>
      <c r="M38" s="1282"/>
    </row>
    <row r="39" spans="1:13" ht="27" customHeight="1">
      <c r="A39" s="1494">
        <v>42217</v>
      </c>
      <c r="B39" s="180">
        <v>571.5</v>
      </c>
      <c r="C39" s="180">
        <v>199380.5</v>
      </c>
      <c r="D39" s="200">
        <f t="shared" si="2"/>
        <v>48147.5</v>
      </c>
      <c r="E39" s="200">
        <f t="shared" si="5"/>
        <v>16728773.35</v>
      </c>
      <c r="F39" s="180"/>
      <c r="G39" s="181"/>
      <c r="H39" s="294">
        <f t="shared" si="4"/>
        <v>80736</v>
      </c>
      <c r="I39" s="181"/>
      <c r="J39" s="181">
        <f t="shared" si="3"/>
        <v>16022532</v>
      </c>
      <c r="K39" s="294">
        <f t="shared" si="6"/>
        <v>506860.85000000003</v>
      </c>
      <c r="L39" s="226">
        <f t="shared" si="7"/>
        <v>706241.34999999963</v>
      </c>
      <c r="M39" s="1282" t="s">
        <v>342</v>
      </c>
    </row>
    <row r="40" spans="1:13" ht="27" customHeight="1">
      <c r="A40" s="1494">
        <v>42248</v>
      </c>
      <c r="B40" s="180">
        <v>811.5</v>
      </c>
      <c r="C40" s="180">
        <v>260546.5</v>
      </c>
      <c r="D40" s="200">
        <f t="shared" si="2"/>
        <v>48959</v>
      </c>
      <c r="E40" s="200">
        <f t="shared" si="5"/>
        <v>16989319.850000001</v>
      </c>
      <c r="F40" s="180"/>
      <c r="G40" s="181"/>
      <c r="H40" s="294">
        <f t="shared" si="4"/>
        <v>199380.5</v>
      </c>
      <c r="I40" s="181">
        <v>300000</v>
      </c>
      <c r="J40" s="181">
        <f t="shared" si="3"/>
        <v>16322532</v>
      </c>
      <c r="K40" s="294">
        <f t="shared" si="6"/>
        <v>406241.35000000009</v>
      </c>
      <c r="L40" s="226">
        <f t="shared" si="7"/>
        <v>666787.85000000149</v>
      </c>
      <c r="M40" s="1281"/>
    </row>
    <row r="41" spans="1:13" ht="27" customHeight="1">
      <c r="A41" s="1495" t="s">
        <v>343</v>
      </c>
      <c r="B41" s="180"/>
      <c r="C41" s="180">
        <v>195998.46</v>
      </c>
      <c r="D41" s="200">
        <f t="shared" si="2"/>
        <v>48959</v>
      </c>
      <c r="E41" s="200">
        <f t="shared" si="5"/>
        <v>17185318.310000002</v>
      </c>
      <c r="F41" s="180"/>
      <c r="G41" s="181"/>
      <c r="H41" s="294">
        <f t="shared" si="4"/>
        <v>260546.5</v>
      </c>
      <c r="I41" s="181"/>
      <c r="J41" s="181">
        <f t="shared" si="3"/>
        <v>16322532</v>
      </c>
      <c r="K41" s="294">
        <f t="shared" si="6"/>
        <v>666787.85000000009</v>
      </c>
      <c r="L41" s="226">
        <f t="shared" si="7"/>
        <v>862786.31000000238</v>
      </c>
      <c r="M41" s="1282"/>
    </row>
    <row r="42" spans="1:13" ht="27" customHeight="1">
      <c r="A42" s="1496" t="s">
        <v>344</v>
      </c>
      <c r="B42" s="180"/>
      <c r="C42" s="180">
        <v>92999.13</v>
      </c>
      <c r="D42" s="200">
        <f t="shared" si="2"/>
        <v>48959</v>
      </c>
      <c r="E42" s="200">
        <f t="shared" si="5"/>
        <v>17278317.440000001</v>
      </c>
      <c r="F42" s="180"/>
      <c r="G42" s="181"/>
      <c r="H42" s="294">
        <f t="shared" si="4"/>
        <v>195998.46</v>
      </c>
      <c r="I42" s="181"/>
      <c r="J42" s="181">
        <f t="shared" si="3"/>
        <v>16322532</v>
      </c>
      <c r="K42" s="294">
        <f t="shared" si="6"/>
        <v>862786.31</v>
      </c>
      <c r="L42" s="226">
        <f t="shared" si="7"/>
        <v>955785.44000000134</v>
      </c>
      <c r="M42" s="1282"/>
    </row>
    <row r="43" spans="1:13" ht="27" customHeight="1">
      <c r="A43" s="1494">
        <v>42278</v>
      </c>
      <c r="B43" s="180">
        <v>757</v>
      </c>
      <c r="C43" s="180">
        <v>238072</v>
      </c>
      <c r="D43" s="200">
        <f t="shared" si="2"/>
        <v>49716</v>
      </c>
      <c r="E43" s="200">
        <f t="shared" si="5"/>
        <v>17516389.440000001</v>
      </c>
      <c r="F43" s="180"/>
      <c r="G43" s="181"/>
      <c r="H43" s="294">
        <f t="shared" si="4"/>
        <v>92999.13</v>
      </c>
      <c r="I43" s="181">
        <v>300000</v>
      </c>
      <c r="J43" s="181">
        <f t="shared" si="3"/>
        <v>16622532</v>
      </c>
      <c r="K43" s="294">
        <f t="shared" si="6"/>
        <v>655785.44000000006</v>
      </c>
      <c r="L43" s="226">
        <f t="shared" si="7"/>
        <v>893857.44000000134</v>
      </c>
      <c r="M43" s="1282" t="s">
        <v>345</v>
      </c>
    </row>
    <row r="44" spans="1:13" ht="27" customHeight="1">
      <c r="A44" s="1494">
        <v>42309</v>
      </c>
      <c r="B44" s="180">
        <v>1019</v>
      </c>
      <c r="C44" s="180">
        <v>317685</v>
      </c>
      <c r="D44" s="200">
        <f t="shared" si="2"/>
        <v>50735</v>
      </c>
      <c r="E44" s="200">
        <f t="shared" si="5"/>
        <v>17834074.440000001</v>
      </c>
      <c r="F44" s="180"/>
      <c r="G44" s="181"/>
      <c r="H44" s="294">
        <f t="shared" si="4"/>
        <v>238072</v>
      </c>
      <c r="I44" s="181"/>
      <c r="J44" s="181">
        <f t="shared" si="3"/>
        <v>16622532</v>
      </c>
      <c r="K44" s="294">
        <f t="shared" si="6"/>
        <v>893857.44000000006</v>
      </c>
      <c r="L44" s="226">
        <f t="shared" si="7"/>
        <v>1211542.4400000013</v>
      </c>
      <c r="M44" s="1282"/>
    </row>
    <row r="45" spans="1:13" ht="27" customHeight="1">
      <c r="A45" s="1494">
        <v>42339</v>
      </c>
      <c r="B45" s="180">
        <v>1273</v>
      </c>
      <c r="C45" s="180">
        <v>395536</v>
      </c>
      <c r="D45" s="200">
        <f t="shared" si="2"/>
        <v>52008</v>
      </c>
      <c r="E45" s="200">
        <f t="shared" si="5"/>
        <v>18229610.440000001</v>
      </c>
      <c r="F45" s="180"/>
      <c r="G45" s="181"/>
      <c r="H45" s="294">
        <f t="shared" si="4"/>
        <v>317685</v>
      </c>
      <c r="I45" s="181"/>
      <c r="J45" s="181">
        <f t="shared" si="3"/>
        <v>16622532</v>
      </c>
      <c r="K45" s="294">
        <f t="shared" si="6"/>
        <v>1211542.44</v>
      </c>
      <c r="L45" s="226">
        <f t="shared" si="7"/>
        <v>1607078.4400000013</v>
      </c>
      <c r="M45" s="1282" t="s">
        <v>346</v>
      </c>
    </row>
    <row r="46" spans="1:13" ht="27" customHeight="1">
      <c r="A46" s="1494">
        <v>42370</v>
      </c>
      <c r="B46" s="180">
        <v>869</v>
      </c>
      <c r="C46" s="180">
        <v>268961</v>
      </c>
      <c r="D46" s="200">
        <f t="shared" si="2"/>
        <v>52877</v>
      </c>
      <c r="E46" s="200">
        <f t="shared" si="5"/>
        <v>18498571.440000001</v>
      </c>
      <c r="F46" s="180"/>
      <c r="G46" s="181"/>
      <c r="H46" s="294">
        <f t="shared" si="4"/>
        <v>395536</v>
      </c>
      <c r="I46" s="181">
        <v>600000</v>
      </c>
      <c r="J46" s="181">
        <f t="shared" si="3"/>
        <v>17222532</v>
      </c>
      <c r="K46" s="294">
        <f t="shared" si="6"/>
        <v>1007078.44</v>
      </c>
      <c r="L46" s="226">
        <f t="shared" si="7"/>
        <v>1276039.4400000013</v>
      </c>
      <c r="M46" s="1282"/>
    </row>
    <row r="47" spans="1:13" ht="27" customHeight="1">
      <c r="A47" s="1494">
        <v>42430</v>
      </c>
      <c r="B47" s="180">
        <v>292</v>
      </c>
      <c r="C47" s="180">
        <v>81737</v>
      </c>
      <c r="D47" s="200">
        <f t="shared" si="2"/>
        <v>53169</v>
      </c>
      <c r="E47" s="200">
        <f t="shared" si="5"/>
        <v>18580308.440000001</v>
      </c>
      <c r="F47" s="180"/>
      <c r="G47" s="181"/>
      <c r="H47" s="294">
        <f t="shared" si="4"/>
        <v>268961</v>
      </c>
      <c r="I47" s="181"/>
      <c r="J47" s="181">
        <f t="shared" si="3"/>
        <v>17222532</v>
      </c>
      <c r="K47" s="294">
        <f t="shared" si="6"/>
        <v>1276039.44</v>
      </c>
      <c r="L47" s="226">
        <f t="shared" si="7"/>
        <v>1357776.4400000013</v>
      </c>
      <c r="M47" s="1282"/>
    </row>
    <row r="48" spans="1:13" ht="27" customHeight="1">
      <c r="A48" s="1494">
        <v>42461</v>
      </c>
      <c r="B48" s="180">
        <v>85</v>
      </c>
      <c r="C48" s="180">
        <v>24265</v>
      </c>
      <c r="D48" s="200">
        <f t="shared" si="2"/>
        <v>53254</v>
      </c>
      <c r="E48" s="200">
        <f t="shared" si="5"/>
        <v>18604573.440000001</v>
      </c>
      <c r="F48" s="180"/>
      <c r="G48" s="181"/>
      <c r="H48" s="294">
        <f t="shared" si="4"/>
        <v>81737</v>
      </c>
      <c r="I48" s="181">
        <v>380000</v>
      </c>
      <c r="J48" s="181">
        <f t="shared" si="3"/>
        <v>17602532</v>
      </c>
      <c r="K48" s="294">
        <f t="shared" si="6"/>
        <v>977776.44</v>
      </c>
      <c r="L48" s="226">
        <f t="shared" si="7"/>
        <v>1002041.4400000013</v>
      </c>
      <c r="M48" s="1282"/>
    </row>
    <row r="49" spans="1:13" ht="27" customHeight="1">
      <c r="A49" s="1494">
        <v>42491</v>
      </c>
      <c r="B49" s="180">
        <v>0</v>
      </c>
      <c r="C49" s="180">
        <v>0</v>
      </c>
      <c r="D49" s="200">
        <f t="shared" si="2"/>
        <v>53254</v>
      </c>
      <c r="E49" s="200">
        <f t="shared" si="5"/>
        <v>18604573.440000001</v>
      </c>
      <c r="F49" s="180"/>
      <c r="G49" s="181"/>
      <c r="H49" s="294">
        <f t="shared" si="4"/>
        <v>24265</v>
      </c>
      <c r="I49" s="181">
        <v>411752.3</v>
      </c>
      <c r="J49" s="181">
        <f t="shared" si="3"/>
        <v>18014284.300000001</v>
      </c>
      <c r="K49" s="294">
        <f t="shared" si="6"/>
        <v>590289.1399999999</v>
      </c>
      <c r="L49" s="226">
        <f t="shared" si="7"/>
        <v>590289.1400000006</v>
      </c>
      <c r="M49" s="1282"/>
    </row>
    <row r="50" spans="1:13" ht="27" customHeight="1">
      <c r="A50" s="1494">
        <v>42522</v>
      </c>
      <c r="B50" s="180">
        <v>0</v>
      </c>
      <c r="C50" s="180">
        <v>0</v>
      </c>
      <c r="D50" s="200">
        <f t="shared" si="2"/>
        <v>53254</v>
      </c>
      <c r="E50" s="200">
        <f t="shared" si="5"/>
        <v>18604573.440000001</v>
      </c>
      <c r="F50" s="180"/>
      <c r="G50" s="181"/>
      <c r="H50" s="294">
        <f t="shared" si="4"/>
        <v>0</v>
      </c>
      <c r="I50" s="181">
        <v>525000</v>
      </c>
      <c r="J50" s="181">
        <f t="shared" si="3"/>
        <v>18539284.300000001</v>
      </c>
      <c r="K50" s="294">
        <f t="shared" si="6"/>
        <v>65289.139999999898</v>
      </c>
      <c r="L50" s="226">
        <f t="shared" si="7"/>
        <v>65289.140000000596</v>
      </c>
      <c r="M50" s="1501" t="s">
        <v>347</v>
      </c>
    </row>
    <row r="51" spans="1:13" ht="27" customHeight="1">
      <c r="A51" s="1494"/>
      <c r="B51" s="180"/>
      <c r="C51" s="180"/>
      <c r="D51" s="200"/>
      <c r="E51" s="200"/>
      <c r="F51" s="180"/>
      <c r="G51" s="181"/>
      <c r="H51" s="294"/>
      <c r="I51" s="181"/>
      <c r="J51" s="181"/>
      <c r="K51" s="294">
        <f t="shared" si="6"/>
        <v>65289.139999999898</v>
      </c>
      <c r="L51" s="226"/>
      <c r="M51" s="1282"/>
    </row>
    <row r="52" spans="1:13" ht="27" customHeight="1">
      <c r="A52" s="1494"/>
      <c r="B52" s="180"/>
      <c r="C52" s="180"/>
      <c r="D52" s="200"/>
      <c r="E52" s="200"/>
      <c r="F52" s="180"/>
      <c r="G52" s="181"/>
      <c r="H52" s="294"/>
      <c r="I52" s="181"/>
      <c r="J52" s="181"/>
      <c r="K52" s="294"/>
      <c r="L52" s="226"/>
      <c r="M52" s="1282"/>
    </row>
    <row r="53" spans="1:13" ht="27" customHeight="1">
      <c r="A53" s="190"/>
      <c r="B53" s="180"/>
      <c r="C53" s="180"/>
      <c r="D53" s="200"/>
      <c r="E53" s="200"/>
      <c r="F53" s="180"/>
      <c r="G53" s="181"/>
      <c r="H53" s="294"/>
      <c r="I53" s="181"/>
      <c r="J53" s="181"/>
      <c r="K53" s="294"/>
      <c r="L53" s="226"/>
      <c r="M53" s="1282"/>
    </row>
    <row r="57" spans="1:13">
      <c r="L57" s="758"/>
    </row>
    <row r="63" spans="1:13">
      <c r="F63" s="758"/>
      <c r="G63" s="758"/>
      <c r="H63" s="758"/>
      <c r="I63" s="758"/>
    </row>
    <row r="64" spans="1:13">
      <c r="F64" s="758"/>
      <c r="G64" s="758"/>
      <c r="H64" s="758"/>
      <c r="I64" s="758"/>
    </row>
    <row r="65" spans="6:9">
      <c r="F65" s="758"/>
      <c r="G65" s="758"/>
      <c r="H65" s="758"/>
      <c r="I65" s="758"/>
    </row>
    <row r="66" spans="6:9">
      <c r="F66" s="758"/>
      <c r="G66" s="758"/>
      <c r="H66" s="758"/>
      <c r="I66" s="758"/>
    </row>
    <row r="67" spans="6:9">
      <c r="F67" s="758"/>
      <c r="G67" s="758"/>
      <c r="H67" s="758"/>
      <c r="I67" s="758"/>
    </row>
    <row r="68" spans="6:9">
      <c r="F68" s="758"/>
      <c r="G68" s="758"/>
      <c r="H68" s="758"/>
      <c r="I68" s="758"/>
    </row>
    <row r="69" spans="6:9">
      <c r="F69" s="758"/>
      <c r="G69" s="758"/>
      <c r="H69" s="758"/>
      <c r="I69" s="758"/>
    </row>
    <row r="70" spans="6:9">
      <c r="F70" s="758"/>
      <c r="G70" s="758"/>
      <c r="H70" s="758"/>
      <c r="I70" s="758"/>
    </row>
    <row r="71" spans="6:9">
      <c r="F71" s="758"/>
      <c r="G71" s="758"/>
      <c r="H71" s="758"/>
      <c r="I71" s="758"/>
    </row>
    <row r="72" spans="6:9">
      <c r="F72" s="758"/>
      <c r="G72" s="758"/>
      <c r="H72" s="758"/>
      <c r="I72" s="758"/>
    </row>
    <row r="73" spans="6:9">
      <c r="F73" s="758"/>
      <c r="G73" s="758"/>
      <c r="H73" s="758"/>
      <c r="I73" s="758"/>
    </row>
    <row r="74" spans="6:9">
      <c r="F74" s="758"/>
      <c r="G74" s="758"/>
      <c r="H74" s="758"/>
      <c r="I74" s="758"/>
    </row>
    <row r="75" spans="6:9">
      <c r="F75" s="758"/>
      <c r="G75" s="758"/>
      <c r="H75" s="758"/>
      <c r="I75" s="758"/>
    </row>
    <row r="76" spans="6:9">
      <c r="F76" s="758"/>
      <c r="G76" s="758"/>
      <c r="H76" s="758"/>
      <c r="I76" s="758"/>
    </row>
  </sheetData>
  <mergeCells count="24">
    <mergeCell ref="B16:D16"/>
    <mergeCell ref="F16:H16"/>
    <mergeCell ref="I16:J16"/>
    <mergeCell ref="B17:E17"/>
    <mergeCell ref="F17:I17"/>
    <mergeCell ref="J17:L17"/>
    <mergeCell ref="F13:H13"/>
    <mergeCell ref="J13:L13"/>
    <mergeCell ref="B14:C14"/>
    <mergeCell ref="E14:H14"/>
    <mergeCell ref="J14:K14"/>
    <mergeCell ref="B15:C15"/>
    <mergeCell ref="B4:D4"/>
    <mergeCell ref="F4:H4"/>
    <mergeCell ref="I4:J4"/>
    <mergeCell ref="B5:E5"/>
    <mergeCell ref="F5:I5"/>
    <mergeCell ref="J5:L5"/>
    <mergeCell ref="F1:H1"/>
    <mergeCell ref="J1:L1"/>
    <mergeCell ref="B2:C2"/>
    <mergeCell ref="E2:H2"/>
    <mergeCell ref="J2:K2"/>
    <mergeCell ref="B3:C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A25" workbookViewId="0">
      <selection activeCell="A28" sqref="A28"/>
    </sheetView>
  </sheetViews>
  <sheetFormatPr defaultColWidth="9" defaultRowHeight="14.25"/>
  <cols>
    <col min="1" max="1" width="17.625" customWidth="1"/>
    <col min="2" max="2" width="13.125" customWidth="1"/>
    <col min="3" max="3" width="19" customWidth="1"/>
    <col min="4" max="4" width="13.125" customWidth="1"/>
    <col min="5" max="5" width="16.25" customWidth="1"/>
    <col min="6" max="6" width="14.75" customWidth="1"/>
    <col min="7" max="7" width="13.125" customWidth="1"/>
    <col min="8" max="8" width="13.875" customWidth="1"/>
    <col min="9" max="9" width="13.25" customWidth="1"/>
    <col min="10" max="10" width="20.25" customWidth="1"/>
    <col min="11" max="11" width="13.625" customWidth="1"/>
    <col min="12" max="12" width="13.125" customWidth="1"/>
    <col min="13" max="13" width="32.25" customWidth="1"/>
  </cols>
  <sheetData>
    <row r="1" spans="1:13" ht="117.95" customHeight="1">
      <c r="A1" s="1032" t="s">
        <v>556</v>
      </c>
      <c r="B1" s="1216">
        <v>42431</v>
      </c>
      <c r="C1" s="1811" t="s">
        <v>1335</v>
      </c>
      <c r="D1" s="1811"/>
      <c r="E1" s="1831" t="s">
        <v>1336</v>
      </c>
      <c r="F1" s="1831"/>
      <c r="G1" s="1831"/>
      <c r="H1" s="1129" t="s">
        <v>1301</v>
      </c>
      <c r="I1" s="1665" t="s">
        <v>1337</v>
      </c>
      <c r="J1" s="1820"/>
      <c r="K1" s="1812" t="s">
        <v>1338</v>
      </c>
      <c r="L1" s="1812"/>
      <c r="M1" s="1812"/>
    </row>
    <row r="2" spans="1:13" ht="63" customHeight="1">
      <c r="A2" s="39" t="s">
        <v>240</v>
      </c>
      <c r="B2" s="1637" t="s">
        <v>1139</v>
      </c>
      <c r="C2" s="1637"/>
      <c r="D2" s="41" t="s">
        <v>242</v>
      </c>
      <c r="E2" s="1832"/>
      <c r="F2" s="1833"/>
      <c r="G2" s="90"/>
      <c r="H2" s="1665"/>
      <c r="I2" s="1665"/>
      <c r="J2" s="41" t="s">
        <v>243</v>
      </c>
      <c r="K2" s="1005">
        <v>0.04</v>
      </c>
      <c r="L2" s="103" t="s">
        <v>245</v>
      </c>
      <c r="M2" s="1083" t="s">
        <v>1339</v>
      </c>
    </row>
    <row r="3" spans="1:13" ht="41.1" customHeight="1">
      <c r="A3" s="39" t="s">
        <v>247</v>
      </c>
      <c r="B3" s="1637" t="s">
        <v>39</v>
      </c>
      <c r="C3" s="1637"/>
      <c r="D3" s="41" t="s">
        <v>249</v>
      </c>
      <c r="E3" s="1228" t="s">
        <v>1340</v>
      </c>
      <c r="F3" s="1225" t="s">
        <v>1177</v>
      </c>
      <c r="G3" s="41" t="s">
        <v>1341</v>
      </c>
      <c r="H3" s="41" t="s">
        <v>252</v>
      </c>
      <c r="I3" s="41">
        <v>1353326208</v>
      </c>
      <c r="J3" s="91" t="s">
        <v>253</v>
      </c>
      <c r="K3" s="15" t="s">
        <v>1342</v>
      </c>
      <c r="L3" s="15" t="s">
        <v>255</v>
      </c>
      <c r="M3" s="92" t="s">
        <v>1343</v>
      </c>
    </row>
    <row r="4" spans="1:13" ht="57" customHeight="1">
      <c r="A4" s="39" t="s">
        <v>260</v>
      </c>
      <c r="B4" s="1762" t="s">
        <v>1344</v>
      </c>
      <c r="C4" s="1762"/>
      <c r="D4" s="1762"/>
      <c r="E4" s="1762"/>
      <c r="F4" s="1762"/>
      <c r="G4" s="1762"/>
      <c r="H4" s="1762" t="s">
        <v>1345</v>
      </c>
      <c r="I4" s="1762"/>
      <c r="J4" s="1762"/>
      <c r="K4" s="1649"/>
      <c r="L4" s="1650"/>
      <c r="M4" s="1825"/>
    </row>
    <row r="5" spans="1:13" ht="50.1"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9.75" customHeight="1">
      <c r="A7" s="405">
        <v>42370</v>
      </c>
      <c r="B7" s="181">
        <v>196</v>
      </c>
      <c r="C7" s="181">
        <v>53874</v>
      </c>
      <c r="D7" s="181">
        <f>B7</f>
        <v>196</v>
      </c>
      <c r="E7" s="181">
        <f>C7</f>
        <v>53874</v>
      </c>
      <c r="F7" s="181"/>
      <c r="G7" s="181">
        <f>E7</f>
        <v>53874</v>
      </c>
      <c r="H7" s="181"/>
      <c r="I7" s="181"/>
      <c r="J7" s="181"/>
      <c r="K7" s="181"/>
      <c r="L7" s="181">
        <f>E7-J7</f>
        <v>53874</v>
      </c>
      <c r="M7" s="181"/>
    </row>
    <row r="8" spans="1:13" ht="39.75" customHeight="1">
      <c r="A8" s="365">
        <v>42401</v>
      </c>
      <c r="B8" s="181">
        <v>120</v>
      </c>
      <c r="C8" s="181">
        <v>31200</v>
      </c>
      <c r="D8" s="181">
        <f t="shared" ref="D8:D27" si="0">D7+B8</f>
        <v>316</v>
      </c>
      <c r="E8" s="181">
        <f t="shared" ref="E8:E27" si="1">E7+C8</f>
        <v>85074</v>
      </c>
      <c r="F8" s="181"/>
      <c r="G8" s="181">
        <f>E8</f>
        <v>85074</v>
      </c>
      <c r="H8" s="181"/>
      <c r="I8" s="181"/>
      <c r="J8" s="181"/>
      <c r="K8" s="181">
        <f t="shared" ref="K8:K28" si="2">K7+H8-I8</f>
        <v>0</v>
      </c>
      <c r="L8" s="181">
        <f t="shared" ref="L8:L27" si="3">E8-J8</f>
        <v>85074</v>
      </c>
      <c r="M8" s="181"/>
    </row>
    <row r="9" spans="1:13" ht="39.75" customHeight="1">
      <c r="A9" s="365">
        <v>42430</v>
      </c>
      <c r="B9" s="181">
        <v>9285.2199999999993</v>
      </c>
      <c r="C9" s="181">
        <v>2804708.4</v>
      </c>
      <c r="D9" s="181">
        <f t="shared" si="0"/>
        <v>9601.2199999999993</v>
      </c>
      <c r="E9" s="181">
        <f t="shared" si="1"/>
        <v>2889782.4</v>
      </c>
      <c r="F9" s="181"/>
      <c r="G9" s="181">
        <f>C7*0.2+C8+C9</f>
        <v>2846683.1999999997</v>
      </c>
      <c r="H9" s="181"/>
      <c r="I9" s="181"/>
      <c r="J9" s="181"/>
      <c r="K9" s="181">
        <f t="shared" si="2"/>
        <v>0</v>
      </c>
      <c r="L9" s="181">
        <f t="shared" si="3"/>
        <v>2889782.4</v>
      </c>
      <c r="M9" s="412"/>
    </row>
    <row r="10" spans="1:13" ht="39.75" customHeight="1">
      <c r="A10" s="365">
        <v>42461</v>
      </c>
      <c r="B10" s="181">
        <v>5233</v>
      </c>
      <c r="C10" s="181">
        <v>1720820</v>
      </c>
      <c r="D10" s="181">
        <f t="shared" si="0"/>
        <v>14834.22</v>
      </c>
      <c r="E10" s="181">
        <f t="shared" si="1"/>
        <v>4610602.4000000004</v>
      </c>
      <c r="F10" s="181"/>
      <c r="G10" s="181">
        <f t="shared" ref="G10:G27" si="4">E8*0.2+C9+C10</f>
        <v>4542543.1999999993</v>
      </c>
      <c r="H10" s="181">
        <f t="shared" ref="H10:H28" si="5">C7*0.8</f>
        <v>43099.200000000004</v>
      </c>
      <c r="I10" s="181"/>
      <c r="J10" s="181"/>
      <c r="K10" s="181">
        <f t="shared" si="2"/>
        <v>43099.200000000004</v>
      </c>
      <c r="L10" s="181">
        <f t="shared" si="3"/>
        <v>4610602.4000000004</v>
      </c>
      <c r="M10" s="181"/>
    </row>
    <row r="11" spans="1:13" ht="39.75" customHeight="1">
      <c r="A11" s="365">
        <v>42491</v>
      </c>
      <c r="B11" s="181">
        <v>4142</v>
      </c>
      <c r="C11" s="181">
        <v>1421161</v>
      </c>
      <c r="D11" s="181">
        <f t="shared" si="0"/>
        <v>18976.22</v>
      </c>
      <c r="E11" s="181">
        <f t="shared" si="1"/>
        <v>6031763.4000000004</v>
      </c>
      <c r="F11" s="181"/>
      <c r="G11" s="181">
        <f t="shared" si="4"/>
        <v>3719937.48</v>
      </c>
      <c r="H11" s="181">
        <f t="shared" si="5"/>
        <v>24960</v>
      </c>
      <c r="I11" s="181"/>
      <c r="J11" s="181"/>
      <c r="K11" s="181">
        <f t="shared" si="2"/>
        <v>68059.200000000012</v>
      </c>
      <c r="L11" s="181">
        <f t="shared" si="3"/>
        <v>6031763.4000000004</v>
      </c>
      <c r="M11" s="181"/>
    </row>
    <row r="12" spans="1:13" ht="39.75" customHeight="1">
      <c r="A12" s="365">
        <v>42522</v>
      </c>
      <c r="B12" s="181">
        <v>3063.5</v>
      </c>
      <c r="C12" s="181">
        <v>1022188.5</v>
      </c>
      <c r="D12" s="181">
        <f t="shared" si="0"/>
        <v>22039.72</v>
      </c>
      <c r="E12" s="181">
        <f t="shared" si="1"/>
        <v>7053951.9000000004</v>
      </c>
      <c r="F12" s="1229"/>
      <c r="G12" s="181">
        <f t="shared" si="4"/>
        <v>3365469.98</v>
      </c>
      <c r="H12" s="181">
        <f t="shared" si="5"/>
        <v>2243766.7200000002</v>
      </c>
      <c r="I12" s="181">
        <f>68059.2</f>
        <v>68059.199999999997</v>
      </c>
      <c r="J12" s="181">
        <f>I12</f>
        <v>68059.199999999997</v>
      </c>
      <c r="K12" s="181">
        <f t="shared" si="2"/>
        <v>2243766.7200000002</v>
      </c>
      <c r="L12" s="181">
        <f t="shared" si="3"/>
        <v>6985892.7000000002</v>
      </c>
      <c r="M12" s="487" t="s">
        <v>1346</v>
      </c>
    </row>
    <row r="13" spans="1:13" ht="39.75" customHeight="1">
      <c r="A13" s="365">
        <v>42552</v>
      </c>
      <c r="B13" s="181">
        <v>3661</v>
      </c>
      <c r="C13" s="181">
        <v>1302151</v>
      </c>
      <c r="D13" s="181">
        <f t="shared" si="0"/>
        <v>25700.720000000001</v>
      </c>
      <c r="E13" s="181">
        <f t="shared" si="1"/>
        <v>8356102.9000000004</v>
      </c>
      <c r="F13" s="181"/>
      <c r="G13" s="181">
        <f t="shared" si="4"/>
        <v>3530692.18</v>
      </c>
      <c r="H13" s="181">
        <f t="shared" si="5"/>
        <v>1376656</v>
      </c>
      <c r="I13" s="181"/>
      <c r="J13" s="181">
        <f t="shared" ref="J13:J27" si="6">I13+J12</f>
        <v>68059.199999999997</v>
      </c>
      <c r="K13" s="181">
        <f t="shared" si="2"/>
        <v>3620422.72</v>
      </c>
      <c r="L13" s="181">
        <f t="shared" si="3"/>
        <v>8288043.7000000002</v>
      </c>
      <c r="M13" s="180" t="s">
        <v>1347</v>
      </c>
    </row>
    <row r="14" spans="1:13" ht="39.75" customHeight="1">
      <c r="A14" s="365">
        <v>42583</v>
      </c>
      <c r="B14" s="181">
        <v>4996</v>
      </c>
      <c r="C14" s="181">
        <v>1720161</v>
      </c>
      <c r="D14" s="181">
        <f t="shared" si="0"/>
        <v>30696.720000000001</v>
      </c>
      <c r="E14" s="181">
        <f t="shared" si="1"/>
        <v>10076263.9</v>
      </c>
      <c r="F14" s="181"/>
      <c r="G14" s="181">
        <f t="shared" si="4"/>
        <v>4433102.38</v>
      </c>
      <c r="H14" s="181">
        <f t="shared" si="5"/>
        <v>1136928.8</v>
      </c>
      <c r="I14" s="181">
        <f>1000000+1254541.52+1376656</f>
        <v>3631197.52</v>
      </c>
      <c r="J14" s="181">
        <f t="shared" si="6"/>
        <v>3699256.72</v>
      </c>
      <c r="K14" s="181">
        <f t="shared" si="2"/>
        <v>1126154.0000000005</v>
      </c>
      <c r="L14" s="181">
        <f t="shared" si="3"/>
        <v>6377007.1799999997</v>
      </c>
      <c r="M14" s="181"/>
    </row>
    <row r="15" spans="1:13" ht="39.75" customHeight="1">
      <c r="A15" s="365">
        <v>42614</v>
      </c>
      <c r="B15" s="181">
        <v>5218</v>
      </c>
      <c r="C15" s="181">
        <v>1732787.5</v>
      </c>
      <c r="D15" s="181">
        <f t="shared" si="0"/>
        <v>35914.720000000001</v>
      </c>
      <c r="E15" s="181">
        <f t="shared" si="1"/>
        <v>11809051.4</v>
      </c>
      <c r="F15" s="181"/>
      <c r="G15" s="181">
        <f t="shared" si="4"/>
        <v>5124169.08</v>
      </c>
      <c r="H15" s="181">
        <f t="shared" si="5"/>
        <v>817750.8</v>
      </c>
      <c r="I15" s="181">
        <v>500000</v>
      </c>
      <c r="J15" s="181">
        <f t="shared" si="6"/>
        <v>4199256.7200000007</v>
      </c>
      <c r="K15" s="181">
        <f t="shared" si="2"/>
        <v>1443904.8000000005</v>
      </c>
      <c r="L15" s="181">
        <f t="shared" si="3"/>
        <v>7609794.6799999997</v>
      </c>
      <c r="M15" s="181" t="s">
        <v>1201</v>
      </c>
    </row>
    <row r="16" spans="1:13" ht="39.75" customHeight="1">
      <c r="A16" s="365">
        <v>42644</v>
      </c>
      <c r="B16" s="181">
        <v>7140</v>
      </c>
      <c r="C16" s="181">
        <v>2178638</v>
      </c>
      <c r="D16" s="181">
        <f t="shared" si="0"/>
        <v>43054.720000000001</v>
      </c>
      <c r="E16" s="181">
        <f t="shared" si="1"/>
        <v>13987689.4</v>
      </c>
      <c r="F16" s="181"/>
      <c r="G16" s="181">
        <f t="shared" si="4"/>
        <v>5926678.2800000003</v>
      </c>
      <c r="H16" s="181">
        <f t="shared" si="5"/>
        <v>1041720.8</v>
      </c>
      <c r="I16" s="181">
        <v>636928.80000000005</v>
      </c>
      <c r="J16" s="181">
        <f t="shared" si="6"/>
        <v>4836185.5200000005</v>
      </c>
      <c r="K16" s="181">
        <f t="shared" si="2"/>
        <v>1848696.8000000005</v>
      </c>
      <c r="L16" s="181">
        <f t="shared" si="3"/>
        <v>9151503.879999999</v>
      </c>
      <c r="M16" s="181" t="s">
        <v>1348</v>
      </c>
    </row>
    <row r="17" spans="1:13" ht="39.75" customHeight="1">
      <c r="A17" s="365">
        <v>42675</v>
      </c>
      <c r="B17" s="181">
        <v>5765.5</v>
      </c>
      <c r="C17" s="181">
        <v>1765640</v>
      </c>
      <c r="D17" s="181">
        <f t="shared" si="0"/>
        <v>48820.22</v>
      </c>
      <c r="E17" s="181">
        <f t="shared" si="1"/>
        <v>15753329.4</v>
      </c>
      <c r="F17" s="181"/>
      <c r="G17" s="181">
        <f t="shared" si="4"/>
        <v>6306088.2800000003</v>
      </c>
      <c r="H17" s="181">
        <f t="shared" si="5"/>
        <v>1376128.8</v>
      </c>
      <c r="I17" s="181">
        <v>817750.8</v>
      </c>
      <c r="J17" s="181">
        <f t="shared" si="6"/>
        <v>5653936.3200000003</v>
      </c>
      <c r="K17" s="181">
        <f t="shared" si="2"/>
        <v>2407074.8000000007</v>
      </c>
      <c r="L17" s="181">
        <f t="shared" si="3"/>
        <v>10099393.08</v>
      </c>
      <c r="M17" s="181" t="s">
        <v>1349</v>
      </c>
    </row>
    <row r="18" spans="1:13" ht="39.75" customHeight="1">
      <c r="A18" s="365">
        <v>42705</v>
      </c>
      <c r="B18" s="181">
        <v>4103.5</v>
      </c>
      <c r="C18" s="181">
        <v>1361680.5</v>
      </c>
      <c r="D18" s="181">
        <f t="shared" si="0"/>
        <v>52923.72</v>
      </c>
      <c r="E18" s="181">
        <f t="shared" si="1"/>
        <v>17115009.899999999</v>
      </c>
      <c r="F18" s="181"/>
      <c r="G18" s="181">
        <f t="shared" si="4"/>
        <v>5924858.3800000008</v>
      </c>
      <c r="H18" s="181">
        <f t="shared" si="5"/>
        <v>1386230</v>
      </c>
      <c r="I18" s="181">
        <f>1041720.8+1376128.8</f>
        <v>2417849.6</v>
      </c>
      <c r="J18" s="181">
        <f t="shared" si="6"/>
        <v>8071785.9199999999</v>
      </c>
      <c r="K18" s="181">
        <f t="shared" si="2"/>
        <v>1375455.2000000007</v>
      </c>
      <c r="L18" s="181">
        <f t="shared" si="3"/>
        <v>9043223.9799999986</v>
      </c>
      <c r="M18" s="180" t="s">
        <v>1350</v>
      </c>
    </row>
    <row r="19" spans="1:13" ht="39.75" customHeight="1">
      <c r="A19" s="365">
        <v>42736</v>
      </c>
      <c r="B19" s="181">
        <v>2620.5</v>
      </c>
      <c r="C19" s="181">
        <v>918110</v>
      </c>
      <c r="D19" s="181">
        <f t="shared" si="0"/>
        <v>55544.22</v>
      </c>
      <c r="E19" s="181">
        <f t="shared" si="1"/>
        <v>18033119.899999999</v>
      </c>
      <c r="F19" s="181"/>
      <c r="G19" s="181">
        <f t="shared" si="4"/>
        <v>5430456.3800000008</v>
      </c>
      <c r="H19" s="181">
        <f t="shared" si="5"/>
        <v>1742910.4000000001</v>
      </c>
      <c r="I19" s="181">
        <v>3129140.4</v>
      </c>
      <c r="J19" s="181">
        <f t="shared" si="6"/>
        <v>11200926.32</v>
      </c>
      <c r="K19" s="181">
        <f t="shared" si="2"/>
        <v>-10774.799999999348</v>
      </c>
      <c r="L19" s="181">
        <f t="shared" si="3"/>
        <v>6832193.5799999982</v>
      </c>
      <c r="M19" s="181" t="s">
        <v>1351</v>
      </c>
    </row>
    <row r="20" spans="1:13" ht="39.75" customHeight="1">
      <c r="A20" s="365">
        <v>42767</v>
      </c>
      <c r="B20" s="181">
        <v>1055.5</v>
      </c>
      <c r="C20" s="181">
        <v>373022</v>
      </c>
      <c r="D20" s="181">
        <f t="shared" si="0"/>
        <v>56599.72</v>
      </c>
      <c r="E20" s="181">
        <f t="shared" si="1"/>
        <v>18406141.899999999</v>
      </c>
      <c r="F20" s="181"/>
      <c r="G20" s="181">
        <f t="shared" si="4"/>
        <v>4714133.9800000004</v>
      </c>
      <c r="H20" s="181">
        <f t="shared" si="5"/>
        <v>1412512</v>
      </c>
      <c r="I20" s="181"/>
      <c r="J20" s="181">
        <f t="shared" si="6"/>
        <v>11200926.32</v>
      </c>
      <c r="K20" s="181">
        <f t="shared" si="2"/>
        <v>1401737.2000000007</v>
      </c>
      <c r="L20" s="181">
        <f t="shared" si="3"/>
        <v>7205215.5799999982</v>
      </c>
      <c r="M20" s="181"/>
    </row>
    <row r="21" spans="1:13" ht="39.75" customHeight="1">
      <c r="A21" s="365">
        <v>42795</v>
      </c>
      <c r="B21" s="181">
        <v>2602</v>
      </c>
      <c r="C21" s="181">
        <v>837311</v>
      </c>
      <c r="D21" s="181">
        <f t="shared" si="0"/>
        <v>59201.72</v>
      </c>
      <c r="E21" s="181">
        <f t="shared" si="1"/>
        <v>19243452.899999999</v>
      </c>
      <c r="F21" s="181"/>
      <c r="G21" s="181">
        <f t="shared" si="4"/>
        <v>4816956.9800000004</v>
      </c>
      <c r="H21" s="181">
        <f t="shared" si="5"/>
        <v>1089344.4000000001</v>
      </c>
      <c r="I21" s="181"/>
      <c r="J21" s="181">
        <f t="shared" si="6"/>
        <v>11200926.32</v>
      </c>
      <c r="K21" s="181">
        <f t="shared" si="2"/>
        <v>2491081.6000000006</v>
      </c>
      <c r="L21" s="181">
        <f t="shared" si="3"/>
        <v>8042526.5799999982</v>
      </c>
      <c r="M21" s="181"/>
    </row>
    <row r="22" spans="1:13" ht="39.75" customHeight="1">
      <c r="A22" s="365">
        <v>42826</v>
      </c>
      <c r="B22" s="181">
        <v>500</v>
      </c>
      <c r="C22" s="181">
        <v>155827</v>
      </c>
      <c r="D22" s="181">
        <f t="shared" si="0"/>
        <v>59701.72</v>
      </c>
      <c r="E22" s="181">
        <f t="shared" si="1"/>
        <v>19399279.899999999</v>
      </c>
      <c r="F22" s="181"/>
      <c r="G22" s="181">
        <f t="shared" si="4"/>
        <v>4674366.38</v>
      </c>
      <c r="H22" s="181">
        <f t="shared" si="5"/>
        <v>734488</v>
      </c>
      <c r="I22" s="181"/>
      <c r="J22" s="181">
        <f t="shared" si="6"/>
        <v>11200926.32</v>
      </c>
      <c r="K22" s="181">
        <f t="shared" si="2"/>
        <v>3225569.6000000006</v>
      </c>
      <c r="L22" s="181">
        <f t="shared" si="3"/>
        <v>8198353.5799999982</v>
      </c>
      <c r="M22" s="181" t="s">
        <v>1352</v>
      </c>
    </row>
    <row r="23" spans="1:13" ht="39.75" customHeight="1">
      <c r="A23" s="365">
        <v>42856</v>
      </c>
      <c r="B23" s="181">
        <v>491.5</v>
      </c>
      <c r="C23" s="181">
        <v>157121</v>
      </c>
      <c r="D23" s="181">
        <f t="shared" si="0"/>
        <v>60193.22</v>
      </c>
      <c r="E23" s="181">
        <f t="shared" si="1"/>
        <v>19556400.899999999</v>
      </c>
      <c r="F23" s="181"/>
      <c r="G23" s="181">
        <f t="shared" si="4"/>
        <v>4161638.58</v>
      </c>
      <c r="H23" s="181">
        <f t="shared" si="5"/>
        <v>298417.60000000003</v>
      </c>
      <c r="I23" s="181">
        <v>1500000</v>
      </c>
      <c r="J23" s="181">
        <f t="shared" si="6"/>
        <v>12700926.32</v>
      </c>
      <c r="K23" s="181">
        <f t="shared" si="2"/>
        <v>2023987.2000000007</v>
      </c>
      <c r="L23" s="181">
        <f t="shared" si="3"/>
        <v>6855474.5799999982</v>
      </c>
      <c r="M23" s="181" t="s">
        <v>1353</v>
      </c>
    </row>
    <row r="24" spans="1:13" ht="39.75" customHeight="1">
      <c r="A24" s="365">
        <v>42887</v>
      </c>
      <c r="B24" s="181">
        <v>567</v>
      </c>
      <c r="C24" s="181">
        <v>179069</v>
      </c>
      <c r="D24" s="181">
        <f t="shared" si="0"/>
        <v>60760.22</v>
      </c>
      <c r="E24" s="181">
        <f t="shared" si="1"/>
        <v>19735469.899999999</v>
      </c>
      <c r="F24" s="181"/>
      <c r="G24" s="181">
        <f t="shared" si="4"/>
        <v>4216045.9800000004</v>
      </c>
      <c r="H24" s="181">
        <f t="shared" si="5"/>
        <v>669848.80000000005</v>
      </c>
      <c r="I24" s="181"/>
      <c r="J24" s="181">
        <f t="shared" si="6"/>
        <v>12700926.32</v>
      </c>
      <c r="K24" s="181">
        <f t="shared" si="2"/>
        <v>2693836.0000000009</v>
      </c>
      <c r="L24" s="181">
        <f t="shared" si="3"/>
        <v>7034543.5799999982</v>
      </c>
      <c r="M24" s="181"/>
    </row>
    <row r="25" spans="1:13" ht="39.75" customHeight="1">
      <c r="A25" s="405" t="s">
        <v>1354</v>
      </c>
      <c r="B25" s="181"/>
      <c r="C25" s="181">
        <v>196047</v>
      </c>
      <c r="D25" s="181">
        <f t="shared" si="0"/>
        <v>60760.22</v>
      </c>
      <c r="E25" s="181">
        <f t="shared" si="1"/>
        <v>19931516.899999999</v>
      </c>
      <c r="F25" s="181"/>
      <c r="G25" s="181">
        <f t="shared" si="4"/>
        <v>4286396.18</v>
      </c>
      <c r="H25" s="181">
        <f t="shared" si="5"/>
        <v>124661.6</v>
      </c>
      <c r="I25" s="181"/>
      <c r="J25" s="181">
        <f t="shared" si="6"/>
        <v>12700926.32</v>
      </c>
      <c r="K25" s="181">
        <f t="shared" si="2"/>
        <v>2818497.600000001</v>
      </c>
      <c r="L25" s="181">
        <f t="shared" si="3"/>
        <v>7230590.5799999982</v>
      </c>
      <c r="M25" s="181"/>
    </row>
    <row r="26" spans="1:13" ht="39.75" customHeight="1">
      <c r="A26" s="365">
        <v>42917</v>
      </c>
      <c r="B26" s="181">
        <v>612</v>
      </c>
      <c r="C26" s="181">
        <v>200723</v>
      </c>
      <c r="D26" s="181">
        <f t="shared" si="0"/>
        <v>61372.22</v>
      </c>
      <c r="E26" s="181">
        <f t="shared" si="1"/>
        <v>20132239.899999999</v>
      </c>
      <c r="F26" s="181"/>
      <c r="G26" s="181">
        <f t="shared" si="4"/>
        <v>4343863.9800000004</v>
      </c>
      <c r="H26" s="181">
        <f t="shared" si="5"/>
        <v>125696.8</v>
      </c>
      <c r="I26" s="181">
        <v>1000000</v>
      </c>
      <c r="J26" s="181">
        <f t="shared" si="6"/>
        <v>13700926.32</v>
      </c>
      <c r="K26" s="181">
        <f t="shared" si="2"/>
        <v>1944194.4000000008</v>
      </c>
      <c r="L26" s="181">
        <f t="shared" si="3"/>
        <v>6431313.5799999982</v>
      </c>
      <c r="M26" s="181" t="s">
        <v>1355</v>
      </c>
    </row>
    <row r="27" spans="1:13" ht="39.75" customHeight="1">
      <c r="A27" s="365">
        <v>42948</v>
      </c>
      <c r="B27" s="181">
        <v>215</v>
      </c>
      <c r="C27" s="181">
        <v>65273</v>
      </c>
      <c r="D27" s="181">
        <f t="shared" si="0"/>
        <v>61587.22</v>
      </c>
      <c r="E27" s="181">
        <f t="shared" si="1"/>
        <v>20197512.899999999</v>
      </c>
      <c r="F27" s="181"/>
      <c r="G27" s="181">
        <f t="shared" si="4"/>
        <v>4252299.38</v>
      </c>
      <c r="H27" s="181">
        <f t="shared" si="5"/>
        <v>143255.20000000001</v>
      </c>
      <c r="I27" s="181">
        <v>1033622</v>
      </c>
      <c r="J27" s="181">
        <f t="shared" si="6"/>
        <v>14734548.32</v>
      </c>
      <c r="K27" s="181">
        <f t="shared" si="2"/>
        <v>1053827.6000000008</v>
      </c>
      <c r="L27" s="181">
        <f t="shared" si="3"/>
        <v>5462964.5799999982</v>
      </c>
      <c r="M27" s="181" t="s">
        <v>1356</v>
      </c>
    </row>
    <row r="28" spans="1:13" ht="39.75" customHeight="1">
      <c r="A28" s="365"/>
      <c r="B28" s="181"/>
      <c r="C28" s="181"/>
      <c r="D28" s="181"/>
      <c r="E28" s="181"/>
      <c r="F28" s="181"/>
      <c r="G28" s="181"/>
      <c r="H28" s="181">
        <f t="shared" si="5"/>
        <v>156837.6</v>
      </c>
      <c r="I28" s="181"/>
      <c r="J28" s="181"/>
      <c r="K28" s="181">
        <f t="shared" si="2"/>
        <v>1210665.2000000009</v>
      </c>
      <c r="L28" s="181"/>
      <c r="M28" s="181"/>
    </row>
    <row r="29" spans="1:13" ht="39.75" customHeight="1">
      <c r="A29" s="365"/>
      <c r="B29" s="181"/>
      <c r="C29" s="181"/>
      <c r="D29" s="181"/>
      <c r="E29" s="181"/>
      <c r="F29" s="181"/>
      <c r="G29" s="181"/>
      <c r="H29" s="181"/>
      <c r="I29" s="181"/>
      <c r="J29" s="181"/>
      <c r="K29" s="181"/>
      <c r="L29" s="181"/>
      <c r="M29" s="181"/>
    </row>
    <row r="30" spans="1:13" ht="39.75" customHeight="1">
      <c r="A30" s="365"/>
      <c r="B30" s="181"/>
      <c r="C30" s="181"/>
      <c r="D30" s="181"/>
      <c r="E30" s="181"/>
      <c r="F30" s="181"/>
      <c r="G30" s="181"/>
      <c r="H30" s="181"/>
      <c r="I30" s="181"/>
      <c r="J30" s="181"/>
      <c r="K30" s="181"/>
      <c r="L30" s="181"/>
      <c r="M30" s="181"/>
    </row>
  </sheetData>
  <mergeCells count="14">
    <mergeCell ref="B3:C3"/>
    <mergeCell ref="B4:G4"/>
    <mergeCell ref="H4:J4"/>
    <mergeCell ref="K4:M4"/>
    <mergeCell ref="B5:E5"/>
    <mergeCell ref="F5:H5"/>
    <mergeCell ref="I5:L5"/>
    <mergeCell ref="C1:D1"/>
    <mergeCell ref="E1:G1"/>
    <mergeCell ref="I1:J1"/>
    <mergeCell ref="K1:M1"/>
    <mergeCell ref="B2:C2"/>
    <mergeCell ref="E2:F2"/>
    <mergeCell ref="H2:I2"/>
  </mergeCells>
  <phoneticPr fontId="84" type="noConversion"/>
  <pageMargins left="0.75" right="0.75" top="1" bottom="1" header="0.5" footer="0.5"/>
  <pageSetup paperSize="9" orientation="portrait" verticalDpi="0"/>
  <headerFooter scaleWithDoc="0" alignWithMargins="0"/>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1"/>
  <sheetViews>
    <sheetView topLeftCell="A13" workbookViewId="0">
      <selection activeCell="M18" sqref="M18"/>
    </sheetView>
  </sheetViews>
  <sheetFormatPr defaultColWidth="9" defaultRowHeight="14.25"/>
  <cols>
    <col min="1" max="1" width="17.625" customWidth="1"/>
    <col min="2" max="2" width="13.125" customWidth="1"/>
    <col min="3" max="3" width="19" customWidth="1"/>
    <col min="4" max="4" width="13.125" customWidth="1"/>
    <col min="5" max="5" width="16.25" customWidth="1"/>
    <col min="6" max="6" width="14.75" customWidth="1"/>
    <col min="7" max="7" width="13.125" customWidth="1"/>
    <col min="8" max="8" width="13.875" customWidth="1"/>
    <col min="9" max="9" width="13.25" customWidth="1"/>
    <col min="10" max="10" width="20.25" customWidth="1"/>
    <col min="11" max="11" width="13.625" customWidth="1"/>
    <col min="12" max="12" width="13.125" customWidth="1"/>
    <col min="13" max="13" width="22" customWidth="1"/>
  </cols>
  <sheetData>
    <row r="1" spans="1:13" ht="101.1" customHeight="1">
      <c r="A1" s="1032" t="s">
        <v>556</v>
      </c>
      <c r="B1" s="1216" t="s">
        <v>1357</v>
      </c>
      <c r="C1" s="1811" t="s">
        <v>1358</v>
      </c>
      <c r="D1" s="1811"/>
      <c r="E1" s="1831" t="s">
        <v>1359</v>
      </c>
      <c r="F1" s="1831"/>
      <c r="G1" s="1831"/>
      <c r="H1" s="1129" t="s">
        <v>1301</v>
      </c>
      <c r="I1" s="1665" t="s">
        <v>1360</v>
      </c>
      <c r="J1" s="1820"/>
      <c r="K1" s="1812" t="s">
        <v>1361</v>
      </c>
      <c r="L1" s="1812"/>
      <c r="M1" s="1812"/>
    </row>
    <row r="2" spans="1:13" ht="63" customHeight="1">
      <c r="A2" s="39" t="s">
        <v>240</v>
      </c>
      <c r="B2" s="1637" t="s">
        <v>1362</v>
      </c>
      <c r="C2" s="1637"/>
      <c r="D2" s="41" t="s">
        <v>242</v>
      </c>
      <c r="E2" s="1832"/>
      <c r="F2" s="1833"/>
      <c r="G2" s="90"/>
      <c r="H2" s="1665"/>
      <c r="I2" s="1665"/>
      <c r="J2" s="41" t="s">
        <v>243</v>
      </c>
      <c r="K2" s="1005">
        <v>0.05</v>
      </c>
      <c r="L2" s="103" t="s">
        <v>245</v>
      </c>
      <c r="M2" s="1083" t="s">
        <v>1339</v>
      </c>
    </row>
    <row r="3" spans="1:13" ht="41.1" customHeight="1">
      <c r="A3" s="39" t="s">
        <v>247</v>
      </c>
      <c r="B3" s="1637" t="s">
        <v>1363</v>
      </c>
      <c r="C3" s="1637"/>
      <c r="D3" s="41" t="s">
        <v>249</v>
      </c>
      <c r="E3" s="1228"/>
      <c r="F3" s="1225" t="s">
        <v>1177</v>
      </c>
      <c r="G3" s="41"/>
      <c r="H3" s="41" t="s">
        <v>252</v>
      </c>
      <c r="I3" s="41"/>
      <c r="J3" s="91" t="s">
        <v>253</v>
      </c>
      <c r="K3" s="15" t="s">
        <v>1364</v>
      </c>
      <c r="L3" s="15" t="s">
        <v>255</v>
      </c>
      <c r="M3" s="92" t="s">
        <v>1365</v>
      </c>
    </row>
    <row r="4" spans="1:13" ht="57" customHeight="1">
      <c r="A4" s="39" t="s">
        <v>260</v>
      </c>
      <c r="B4" s="1762" t="s">
        <v>1366</v>
      </c>
      <c r="C4" s="1762"/>
      <c r="D4" s="1762"/>
      <c r="E4" s="1762"/>
      <c r="F4" s="1762"/>
      <c r="G4" s="1762"/>
      <c r="H4" s="1762" t="s">
        <v>1330</v>
      </c>
      <c r="I4" s="1762"/>
      <c r="J4" s="1762"/>
      <c r="K4" s="1649"/>
      <c r="L4" s="1650"/>
      <c r="M4" s="1825"/>
    </row>
    <row r="5" spans="1:13" ht="50.1"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9.75" customHeight="1">
      <c r="A7" s="405">
        <v>42430</v>
      </c>
      <c r="B7" s="181">
        <v>52</v>
      </c>
      <c r="C7" s="181">
        <v>13920</v>
      </c>
      <c r="D7" s="181">
        <f>B7</f>
        <v>52</v>
      </c>
      <c r="E7" s="181">
        <f>C7</f>
        <v>13920</v>
      </c>
      <c r="F7" s="181"/>
      <c r="G7" s="181">
        <f>E7</f>
        <v>13920</v>
      </c>
      <c r="H7" s="181"/>
      <c r="I7" s="181"/>
      <c r="J7" s="181"/>
      <c r="K7" s="181"/>
      <c r="L7" s="181">
        <f>E7-J7</f>
        <v>13920</v>
      </c>
      <c r="M7" s="181"/>
    </row>
    <row r="8" spans="1:13" ht="39.75" customHeight="1">
      <c r="A8" s="365">
        <v>42461</v>
      </c>
      <c r="B8" s="181">
        <v>127</v>
      </c>
      <c r="C8" s="181">
        <v>28755</v>
      </c>
      <c r="D8" s="181">
        <f t="shared" ref="D8:D19" si="0">D7+B8</f>
        <v>179</v>
      </c>
      <c r="E8" s="181">
        <f t="shared" ref="E8:E19" si="1">E7+C8</f>
        <v>42675</v>
      </c>
      <c r="F8" s="181"/>
      <c r="G8" s="181">
        <f>C8</f>
        <v>28755</v>
      </c>
      <c r="H8" s="181"/>
      <c r="I8" s="181"/>
      <c r="J8" s="181"/>
      <c r="K8" s="181">
        <f t="shared" ref="K8:K19" si="2">K7+H8-I8</f>
        <v>0</v>
      </c>
      <c r="L8" s="181">
        <f t="shared" ref="L8:L19" si="3">E8-J8</f>
        <v>42675</v>
      </c>
      <c r="M8" s="181"/>
    </row>
    <row r="9" spans="1:13" ht="39.75" customHeight="1">
      <c r="A9" s="365">
        <v>42491</v>
      </c>
      <c r="B9" s="181">
        <v>829</v>
      </c>
      <c r="C9" s="181">
        <v>207245</v>
      </c>
      <c r="D9" s="181">
        <f t="shared" si="0"/>
        <v>1008</v>
      </c>
      <c r="E9" s="181">
        <f t="shared" si="1"/>
        <v>249920</v>
      </c>
      <c r="F9" s="181"/>
      <c r="G9" s="181">
        <f t="shared" ref="G9:G17" si="4">C9</f>
        <v>207245</v>
      </c>
      <c r="H9" s="181">
        <f t="shared" ref="H9:H18" si="5">C7</f>
        <v>13920</v>
      </c>
      <c r="I9" s="181">
        <v>13920</v>
      </c>
      <c r="J9" s="181">
        <f t="shared" ref="J9:J19" si="6">I9+J8</f>
        <v>13920</v>
      </c>
      <c r="K9" s="181">
        <f t="shared" si="2"/>
        <v>0</v>
      </c>
      <c r="L9" s="181">
        <f t="shared" si="3"/>
        <v>236000</v>
      </c>
      <c r="M9" s="412" t="s">
        <v>1367</v>
      </c>
    </row>
    <row r="10" spans="1:13" ht="39.75" customHeight="1">
      <c r="A10" s="365">
        <v>42522</v>
      </c>
      <c r="B10" s="181">
        <v>2686.5</v>
      </c>
      <c r="C10" s="181">
        <v>683402.5</v>
      </c>
      <c r="D10" s="181">
        <f t="shared" si="0"/>
        <v>3694.5</v>
      </c>
      <c r="E10" s="181">
        <f t="shared" si="1"/>
        <v>933322.5</v>
      </c>
      <c r="F10" s="181"/>
      <c r="G10" s="181">
        <f t="shared" si="4"/>
        <v>683402.5</v>
      </c>
      <c r="H10" s="181">
        <f t="shared" si="5"/>
        <v>28755</v>
      </c>
      <c r="I10" s="181"/>
      <c r="J10" s="181">
        <f t="shared" si="6"/>
        <v>13920</v>
      </c>
      <c r="K10" s="181">
        <f t="shared" si="2"/>
        <v>28755</v>
      </c>
      <c r="L10" s="181">
        <f t="shared" si="3"/>
        <v>919402.5</v>
      </c>
      <c r="M10" s="181" t="s">
        <v>1368</v>
      </c>
    </row>
    <row r="11" spans="1:13" ht="39.75" customHeight="1">
      <c r="A11" s="365">
        <v>42552</v>
      </c>
      <c r="B11" s="181">
        <v>2153</v>
      </c>
      <c r="C11" s="181">
        <v>557445</v>
      </c>
      <c r="D11" s="181">
        <f t="shared" si="0"/>
        <v>5847.5</v>
      </c>
      <c r="E11" s="181">
        <f t="shared" si="1"/>
        <v>1490767.5</v>
      </c>
      <c r="F11" s="181"/>
      <c r="G11" s="181">
        <f t="shared" si="4"/>
        <v>557445</v>
      </c>
      <c r="H11" s="181">
        <f t="shared" si="5"/>
        <v>207245</v>
      </c>
      <c r="I11" s="181">
        <v>235820</v>
      </c>
      <c r="J11" s="181">
        <f t="shared" si="6"/>
        <v>249740</v>
      </c>
      <c r="K11" s="181">
        <f t="shared" si="2"/>
        <v>180</v>
      </c>
      <c r="L11" s="181">
        <f t="shared" si="3"/>
        <v>1241027.5</v>
      </c>
      <c r="M11" s="181"/>
    </row>
    <row r="12" spans="1:13" ht="39.75" customHeight="1">
      <c r="A12" s="365">
        <v>42583</v>
      </c>
      <c r="B12" s="181">
        <v>1969</v>
      </c>
      <c r="C12" s="181">
        <v>540135</v>
      </c>
      <c r="D12" s="181">
        <f t="shared" si="0"/>
        <v>7816.5</v>
      </c>
      <c r="E12" s="181">
        <f t="shared" si="1"/>
        <v>2030902.5</v>
      </c>
      <c r="F12" s="1229"/>
      <c r="G12" s="181">
        <f t="shared" si="4"/>
        <v>540135</v>
      </c>
      <c r="H12" s="181">
        <f t="shared" si="5"/>
        <v>683402.5</v>
      </c>
      <c r="I12" s="181"/>
      <c r="J12" s="181">
        <f t="shared" si="6"/>
        <v>249740</v>
      </c>
      <c r="K12" s="181">
        <f t="shared" si="2"/>
        <v>683582.5</v>
      </c>
      <c r="L12" s="181">
        <f t="shared" si="3"/>
        <v>1781162.5</v>
      </c>
      <c r="M12" s="181"/>
    </row>
    <row r="13" spans="1:13" ht="39.75" customHeight="1">
      <c r="A13" s="365">
        <v>42614</v>
      </c>
      <c r="B13" s="181">
        <v>603.5</v>
      </c>
      <c r="C13" s="181">
        <v>170582.5</v>
      </c>
      <c r="D13" s="181">
        <f t="shared" si="0"/>
        <v>8420</v>
      </c>
      <c r="E13" s="181">
        <f t="shared" si="1"/>
        <v>2201485</v>
      </c>
      <c r="F13" s="181"/>
      <c r="G13" s="181">
        <f t="shared" si="4"/>
        <v>170582.5</v>
      </c>
      <c r="H13" s="181">
        <f t="shared" si="5"/>
        <v>557445</v>
      </c>
      <c r="I13" s="181">
        <v>480000</v>
      </c>
      <c r="J13" s="181">
        <f t="shared" si="6"/>
        <v>729740</v>
      </c>
      <c r="K13" s="181">
        <f t="shared" si="2"/>
        <v>761027.5</v>
      </c>
      <c r="L13" s="181">
        <f t="shared" si="3"/>
        <v>1471745</v>
      </c>
      <c r="M13" s="487" t="s">
        <v>1369</v>
      </c>
    </row>
    <row r="14" spans="1:13" ht="39.75" customHeight="1">
      <c r="A14" s="365">
        <v>42644</v>
      </c>
      <c r="B14" s="181">
        <v>174</v>
      </c>
      <c r="C14" s="181">
        <v>50300</v>
      </c>
      <c r="D14" s="181">
        <f t="shared" si="0"/>
        <v>8594</v>
      </c>
      <c r="E14" s="181">
        <f t="shared" si="1"/>
        <v>2251785</v>
      </c>
      <c r="F14" s="181"/>
      <c r="G14" s="181">
        <f t="shared" si="4"/>
        <v>50300</v>
      </c>
      <c r="H14" s="181">
        <f t="shared" si="5"/>
        <v>540135</v>
      </c>
      <c r="I14" s="181">
        <v>50000</v>
      </c>
      <c r="J14" s="181">
        <f t="shared" si="6"/>
        <v>779740</v>
      </c>
      <c r="K14" s="181">
        <f t="shared" si="2"/>
        <v>1251162.5</v>
      </c>
      <c r="L14" s="181">
        <f t="shared" si="3"/>
        <v>1472045</v>
      </c>
      <c r="M14" s="487" t="s">
        <v>1370</v>
      </c>
    </row>
    <row r="15" spans="1:13" ht="39.75" customHeight="1">
      <c r="A15" s="365">
        <v>42675</v>
      </c>
      <c r="B15" s="181">
        <v>0</v>
      </c>
      <c r="C15" s="181">
        <v>0</v>
      </c>
      <c r="D15" s="181">
        <f t="shared" si="0"/>
        <v>8594</v>
      </c>
      <c r="E15" s="181">
        <f t="shared" si="1"/>
        <v>2251785</v>
      </c>
      <c r="F15" s="181"/>
      <c r="G15" s="181">
        <f t="shared" si="4"/>
        <v>0</v>
      </c>
      <c r="H15" s="181">
        <f t="shared" si="5"/>
        <v>170582.5</v>
      </c>
      <c r="I15" s="181">
        <v>200000</v>
      </c>
      <c r="J15" s="181">
        <f t="shared" si="6"/>
        <v>979740</v>
      </c>
      <c r="K15" s="181">
        <f t="shared" si="2"/>
        <v>1221745</v>
      </c>
      <c r="L15" s="181">
        <f t="shared" si="3"/>
        <v>1272045</v>
      </c>
      <c r="M15" s="487" t="s">
        <v>1371</v>
      </c>
    </row>
    <row r="16" spans="1:13" ht="39.75" customHeight="1">
      <c r="A16" s="365">
        <v>42705</v>
      </c>
      <c r="B16" s="181">
        <v>0</v>
      </c>
      <c r="C16" s="181">
        <v>0</v>
      </c>
      <c r="D16" s="181">
        <f t="shared" si="0"/>
        <v>8594</v>
      </c>
      <c r="E16" s="181">
        <f t="shared" si="1"/>
        <v>2251785</v>
      </c>
      <c r="F16" s="181"/>
      <c r="G16" s="181">
        <f t="shared" si="4"/>
        <v>0</v>
      </c>
      <c r="H16" s="181">
        <f t="shared" si="5"/>
        <v>50300</v>
      </c>
      <c r="I16" s="181">
        <v>550000</v>
      </c>
      <c r="J16" s="181">
        <f t="shared" si="6"/>
        <v>1529740</v>
      </c>
      <c r="K16" s="181">
        <f t="shared" si="2"/>
        <v>722045</v>
      </c>
      <c r="L16" s="181">
        <f t="shared" si="3"/>
        <v>722045</v>
      </c>
      <c r="M16" s="181" t="s">
        <v>1372</v>
      </c>
    </row>
    <row r="17" spans="1:13" ht="39.75" customHeight="1">
      <c r="A17" s="365">
        <v>42856</v>
      </c>
      <c r="B17" s="181">
        <v>0</v>
      </c>
      <c r="C17" s="181">
        <v>0</v>
      </c>
      <c r="D17" s="181">
        <f t="shared" si="0"/>
        <v>8594</v>
      </c>
      <c r="E17" s="181">
        <f t="shared" si="1"/>
        <v>2251785</v>
      </c>
      <c r="F17" s="181"/>
      <c r="G17" s="181">
        <f t="shared" si="4"/>
        <v>0</v>
      </c>
      <c r="H17" s="181">
        <f t="shared" si="5"/>
        <v>0</v>
      </c>
      <c r="I17" s="181">
        <v>100000</v>
      </c>
      <c r="J17" s="181">
        <f t="shared" si="6"/>
        <v>1629740</v>
      </c>
      <c r="K17" s="181">
        <f t="shared" si="2"/>
        <v>622045</v>
      </c>
      <c r="L17" s="181">
        <f t="shared" si="3"/>
        <v>622045</v>
      </c>
      <c r="M17" s="181" t="s">
        <v>1373</v>
      </c>
    </row>
    <row r="18" spans="1:13" ht="39.75" customHeight="1">
      <c r="A18" s="365">
        <v>42887</v>
      </c>
      <c r="B18" s="181"/>
      <c r="C18" s="181"/>
      <c r="D18" s="181">
        <f t="shared" si="0"/>
        <v>8594</v>
      </c>
      <c r="E18" s="181">
        <f t="shared" si="1"/>
        <v>2251785</v>
      </c>
      <c r="F18" s="181"/>
      <c r="G18" s="181"/>
      <c r="H18" s="181">
        <f t="shared" si="5"/>
        <v>0</v>
      </c>
      <c r="I18" s="181">
        <v>200000</v>
      </c>
      <c r="J18" s="181">
        <f t="shared" si="6"/>
        <v>1829740</v>
      </c>
      <c r="K18" s="181">
        <f t="shared" si="2"/>
        <v>422045</v>
      </c>
      <c r="L18" s="181">
        <f t="shared" si="3"/>
        <v>422045</v>
      </c>
      <c r="M18" s="180" t="s">
        <v>1374</v>
      </c>
    </row>
    <row r="19" spans="1:13" ht="39.75" customHeight="1">
      <c r="A19" s="365">
        <v>42917</v>
      </c>
      <c r="B19" s="181"/>
      <c r="C19" s="181"/>
      <c r="D19" s="181">
        <f t="shared" si="0"/>
        <v>8594</v>
      </c>
      <c r="E19" s="181">
        <f t="shared" si="1"/>
        <v>2251785</v>
      </c>
      <c r="F19" s="181"/>
      <c r="G19" s="181"/>
      <c r="H19" s="181"/>
      <c r="I19" s="181"/>
      <c r="J19" s="181">
        <f t="shared" si="6"/>
        <v>1829740</v>
      </c>
      <c r="K19" s="181">
        <f t="shared" si="2"/>
        <v>422045</v>
      </c>
      <c r="L19" s="181">
        <f t="shared" si="3"/>
        <v>422045</v>
      </c>
      <c r="M19" s="181"/>
    </row>
    <row r="20" spans="1:13">
      <c r="K20" s="181"/>
      <c r="L20" s="181"/>
    </row>
    <row r="21" spans="1:13">
      <c r="K21" s="181"/>
    </row>
  </sheetData>
  <mergeCells count="14">
    <mergeCell ref="B3:C3"/>
    <mergeCell ref="B4:G4"/>
    <mergeCell ref="H4:J4"/>
    <mergeCell ref="K4:M4"/>
    <mergeCell ref="B5:E5"/>
    <mergeCell ref="F5:H5"/>
    <mergeCell ref="I5:L5"/>
    <mergeCell ref="C1:D1"/>
    <mergeCell ref="E1:G1"/>
    <mergeCell ref="I1:J1"/>
    <mergeCell ref="K1:M1"/>
    <mergeCell ref="B2:C2"/>
    <mergeCell ref="E2:F2"/>
    <mergeCell ref="H2:I2"/>
  </mergeCells>
  <phoneticPr fontId="84" type="noConversion"/>
  <pageMargins left="0.75" right="0.75" top="1" bottom="1" header="0.5" footer="0.5"/>
  <pageSetup paperSize="9" orientation="portrait" verticalDpi="0"/>
  <headerFooter scaleWithDoc="0" alignWithMargins="0"/>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8"/>
  <sheetViews>
    <sheetView topLeftCell="A7" workbookViewId="0">
      <selection activeCell="B12" sqref="B12:M12"/>
    </sheetView>
  </sheetViews>
  <sheetFormatPr defaultColWidth="9" defaultRowHeight="14.25"/>
  <cols>
    <col min="1" max="1" width="17.625" customWidth="1"/>
    <col min="2" max="2" width="13.125" customWidth="1"/>
    <col min="3" max="3" width="19" customWidth="1"/>
    <col min="4" max="4" width="13.125" customWidth="1"/>
    <col min="5" max="5" width="16.25" customWidth="1"/>
    <col min="6" max="6" width="14.75" customWidth="1"/>
    <col min="7" max="7" width="13.125" customWidth="1"/>
    <col min="8" max="8" width="13.875" customWidth="1"/>
    <col min="9" max="9" width="13.25" customWidth="1"/>
    <col min="10" max="10" width="20.25" customWidth="1"/>
    <col min="11" max="11" width="13.625" customWidth="1"/>
    <col min="12" max="12" width="13.125" customWidth="1"/>
    <col min="13" max="13" width="22" customWidth="1"/>
  </cols>
  <sheetData>
    <row r="1" spans="1:13" ht="72.95" customHeight="1">
      <c r="A1" s="1032" t="s">
        <v>556</v>
      </c>
      <c r="B1" s="1216">
        <v>42461</v>
      </c>
      <c r="C1" s="1811" t="s">
        <v>1375</v>
      </c>
      <c r="D1" s="1811"/>
      <c r="E1" s="1834" t="s">
        <v>1376</v>
      </c>
      <c r="F1" s="1834"/>
      <c r="G1" s="1834"/>
      <c r="H1" s="1129" t="s">
        <v>1301</v>
      </c>
      <c r="I1" s="1665" t="s">
        <v>1377</v>
      </c>
      <c r="J1" s="1820"/>
      <c r="K1" s="1812" t="s">
        <v>1378</v>
      </c>
      <c r="L1" s="1812"/>
      <c r="M1" s="1812"/>
    </row>
    <row r="2" spans="1:13" ht="63" customHeight="1">
      <c r="A2" s="39" t="s">
        <v>240</v>
      </c>
      <c r="B2" s="1637" t="s">
        <v>1379</v>
      </c>
      <c r="C2" s="1637"/>
      <c r="D2" s="41" t="s">
        <v>242</v>
      </c>
      <c r="E2" s="1832"/>
      <c r="F2" s="1833"/>
      <c r="G2" s="1803" t="s">
        <v>1380</v>
      </c>
      <c r="H2" s="1804"/>
      <c r="I2" s="1805"/>
      <c r="J2" s="41" t="s">
        <v>243</v>
      </c>
      <c r="K2" s="1005" t="s">
        <v>421</v>
      </c>
      <c r="L2" s="103" t="s">
        <v>245</v>
      </c>
      <c r="M2" s="1083" t="s">
        <v>1306</v>
      </c>
    </row>
    <row r="3" spans="1:13" ht="63" customHeight="1">
      <c r="A3" s="39" t="s">
        <v>247</v>
      </c>
      <c r="B3" s="1637" t="s">
        <v>1381</v>
      </c>
      <c r="C3" s="1637"/>
      <c r="D3" s="41" t="s">
        <v>249</v>
      </c>
      <c r="E3" s="1228" t="s">
        <v>1382</v>
      </c>
      <c r="F3" s="1225" t="s">
        <v>1177</v>
      </c>
      <c r="G3" s="41"/>
      <c r="H3" s="41" t="s">
        <v>252</v>
      </c>
      <c r="I3" s="41"/>
      <c r="J3" s="91" t="s">
        <v>253</v>
      </c>
      <c r="K3" s="15" t="s">
        <v>1383</v>
      </c>
      <c r="L3" s="15" t="s">
        <v>255</v>
      </c>
      <c r="M3" s="92"/>
    </row>
    <row r="4" spans="1:13" ht="57" customHeight="1">
      <c r="A4" s="39" t="s">
        <v>260</v>
      </c>
      <c r="B4" s="1762" t="s">
        <v>1384</v>
      </c>
      <c r="C4" s="1762"/>
      <c r="D4" s="1762"/>
      <c r="E4" s="1762"/>
      <c r="F4" s="1762"/>
      <c r="G4" s="1762"/>
      <c r="H4" s="1762" t="s">
        <v>1385</v>
      </c>
      <c r="I4" s="1762"/>
      <c r="J4" s="1762"/>
      <c r="K4" s="1649"/>
      <c r="L4" s="1650"/>
      <c r="M4" s="1825"/>
    </row>
    <row r="5" spans="1:13" ht="50.1"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9.75" customHeight="1">
      <c r="A7" s="405" t="s">
        <v>1386</v>
      </c>
      <c r="B7" s="181">
        <v>613.5</v>
      </c>
      <c r="C7" s="181">
        <v>155817.5</v>
      </c>
      <c r="D7" s="181">
        <f>B7</f>
        <v>613.5</v>
      </c>
      <c r="E7" s="181">
        <f>C7</f>
        <v>155817.5</v>
      </c>
      <c r="F7" s="181"/>
      <c r="G7" s="181">
        <f>C7</f>
        <v>155817.5</v>
      </c>
      <c r="H7" s="181"/>
      <c r="I7" s="181"/>
      <c r="J7" s="181"/>
      <c r="K7" s="181"/>
      <c r="L7" s="181">
        <f>E7-J7</f>
        <v>155817.5</v>
      </c>
      <c r="M7" s="181"/>
    </row>
    <row r="8" spans="1:13" ht="39.75" customHeight="1">
      <c r="A8" s="365"/>
      <c r="B8" s="181"/>
      <c r="C8" s="181"/>
      <c r="D8" s="181">
        <f t="shared" ref="D8:E10" si="0">D7+B8</f>
        <v>613.5</v>
      </c>
      <c r="E8" s="181">
        <f t="shared" si="0"/>
        <v>155817.5</v>
      </c>
      <c r="F8" s="181"/>
      <c r="G8" s="181">
        <f>C8</f>
        <v>0</v>
      </c>
      <c r="H8" s="181">
        <f>C7</f>
        <v>155817.5</v>
      </c>
      <c r="I8" s="181">
        <v>155817.5</v>
      </c>
      <c r="J8" s="181">
        <f>I8</f>
        <v>155817.5</v>
      </c>
      <c r="K8" s="181">
        <f>K7+H8-I8</f>
        <v>0</v>
      </c>
      <c r="L8" s="181">
        <f>E8-J8</f>
        <v>0</v>
      </c>
      <c r="M8" s="181" t="s">
        <v>1387</v>
      </c>
    </row>
    <row r="9" spans="1:13" ht="39.75" customHeight="1">
      <c r="A9" s="365"/>
      <c r="B9" s="181"/>
      <c r="C9" s="181"/>
      <c r="D9" s="181">
        <f t="shared" si="0"/>
        <v>613.5</v>
      </c>
      <c r="E9" s="181">
        <f t="shared" si="0"/>
        <v>155817.5</v>
      </c>
      <c r="F9" s="181"/>
      <c r="G9" s="181">
        <f>C9</f>
        <v>0</v>
      </c>
      <c r="H9" s="181">
        <f>C8</f>
        <v>0</v>
      </c>
      <c r="I9" s="181"/>
      <c r="J9" s="181"/>
      <c r="K9" s="181">
        <f>K8+H9-I9</f>
        <v>0</v>
      </c>
      <c r="L9" s="181">
        <f>E9-J9</f>
        <v>155817.5</v>
      </c>
      <c r="M9" s="412"/>
    </row>
    <row r="10" spans="1:13" ht="39.75" customHeight="1">
      <c r="A10" s="365"/>
      <c r="B10" s="181"/>
      <c r="C10" s="181"/>
      <c r="D10" s="181">
        <f t="shared" si="0"/>
        <v>613.5</v>
      </c>
      <c r="E10" s="181">
        <f t="shared" si="0"/>
        <v>155817.5</v>
      </c>
      <c r="F10" s="181"/>
      <c r="G10" s="181">
        <f>C10</f>
        <v>0</v>
      </c>
      <c r="H10" s="181">
        <f>C9</f>
        <v>0</v>
      </c>
      <c r="I10" s="181"/>
      <c r="J10" s="181"/>
      <c r="K10" s="181">
        <f>K9+H10-I10</f>
        <v>0</v>
      </c>
      <c r="L10" s="181">
        <f>E10-J10</f>
        <v>155817.5</v>
      </c>
      <c r="M10" s="181"/>
    </row>
    <row r="11" spans="1:13" ht="39.75" customHeight="1">
      <c r="A11" s="365"/>
      <c r="B11" s="181"/>
      <c r="C11" s="181"/>
      <c r="D11" s="181"/>
      <c r="E11" s="181"/>
      <c r="F11" s="181"/>
      <c r="G11" s="181"/>
      <c r="H11" s="181">
        <f>C10</f>
        <v>0</v>
      </c>
      <c r="I11" s="181"/>
      <c r="J11" s="181"/>
      <c r="K11" s="181">
        <f>K10+H11-I11</f>
        <v>0</v>
      </c>
      <c r="L11" s="181">
        <f>E11-J11</f>
        <v>0</v>
      </c>
      <c r="M11" s="181"/>
    </row>
    <row r="12" spans="1:13" ht="39.75" customHeight="1">
      <c r="A12" s="365">
        <v>42979</v>
      </c>
      <c r="B12" s="181">
        <v>613.5</v>
      </c>
      <c r="C12" s="181">
        <v>155817.5</v>
      </c>
      <c r="D12" s="181">
        <v>613.5</v>
      </c>
      <c r="E12" s="181">
        <v>155817.5</v>
      </c>
      <c r="F12" s="1229"/>
      <c r="G12" s="181">
        <v>155817.5</v>
      </c>
      <c r="H12" s="181"/>
      <c r="I12" s="181"/>
      <c r="J12" s="181"/>
      <c r="K12" s="181"/>
      <c r="L12" s="181">
        <v>155817.5</v>
      </c>
      <c r="M12" s="181"/>
    </row>
    <row r="13" spans="1:13" ht="39.75" customHeight="1">
      <c r="A13" s="365"/>
      <c r="B13" s="181"/>
      <c r="C13" s="181"/>
      <c r="D13" s="181"/>
      <c r="E13" s="181"/>
      <c r="F13" s="181"/>
      <c r="G13" s="181"/>
      <c r="H13" s="181"/>
      <c r="I13" s="181"/>
      <c r="J13" s="181"/>
      <c r="K13" s="181"/>
      <c r="L13" s="181"/>
      <c r="M13" s="181"/>
    </row>
    <row r="14" spans="1:13" ht="39.75" customHeight="1">
      <c r="A14" s="365"/>
      <c r="B14" s="181"/>
      <c r="C14" s="181"/>
      <c r="D14" s="181"/>
      <c r="E14" s="181"/>
      <c r="F14" s="181"/>
      <c r="G14" s="181"/>
      <c r="H14" s="181"/>
      <c r="I14" s="181"/>
      <c r="J14" s="181"/>
      <c r="K14" s="181"/>
      <c r="L14" s="181"/>
      <c r="M14" s="181"/>
    </row>
    <row r="28" spans="9:9">
      <c r="I28" s="434"/>
    </row>
  </sheetData>
  <mergeCells count="14">
    <mergeCell ref="B3:C3"/>
    <mergeCell ref="B4:G4"/>
    <mergeCell ref="H4:J4"/>
    <mergeCell ref="K4:M4"/>
    <mergeCell ref="B5:E5"/>
    <mergeCell ref="F5:H5"/>
    <mergeCell ref="I5:L5"/>
    <mergeCell ref="C1:D1"/>
    <mergeCell ref="E1:G1"/>
    <mergeCell ref="I1:J1"/>
    <mergeCell ref="K1:M1"/>
    <mergeCell ref="B2:C2"/>
    <mergeCell ref="E2:F2"/>
    <mergeCell ref="G2:I2"/>
  </mergeCells>
  <phoneticPr fontId="84" type="noConversion"/>
  <pageMargins left="0.75" right="0.75" top="1" bottom="1" header="0.5" footer="0.5"/>
  <pageSetup paperSize="9" orientation="portrait" verticalDpi="0"/>
  <headerFooter scaleWithDoc="0"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topLeftCell="A13" workbookViewId="0">
      <selection activeCell="A19" sqref="A19"/>
    </sheetView>
  </sheetViews>
  <sheetFormatPr defaultColWidth="9" defaultRowHeight="14.25"/>
  <cols>
    <col min="1" max="1" width="17.625" customWidth="1"/>
    <col min="2" max="2" width="13.125" customWidth="1"/>
    <col min="3" max="3" width="19" customWidth="1"/>
    <col min="4" max="4" width="13.125" customWidth="1"/>
    <col min="5" max="5" width="16.25" customWidth="1"/>
    <col min="6" max="6" width="14.75" customWidth="1"/>
    <col min="7" max="7" width="13.125" customWidth="1"/>
    <col min="8" max="8" width="13.875" customWidth="1"/>
    <col min="9" max="9" width="13.25" customWidth="1"/>
    <col min="10" max="10" width="13.375" customWidth="1"/>
    <col min="11" max="11" width="13.625" customWidth="1"/>
    <col min="12" max="12" width="13.125" customWidth="1"/>
    <col min="13" max="13" width="31.25" customWidth="1"/>
  </cols>
  <sheetData>
    <row r="1" spans="1:13" ht="72.95" customHeight="1">
      <c r="A1" s="1032" t="s">
        <v>556</v>
      </c>
      <c r="B1" s="1216"/>
      <c r="C1" s="1811" t="s">
        <v>1388</v>
      </c>
      <c r="D1" s="1811"/>
      <c r="E1" s="1831" t="s">
        <v>1389</v>
      </c>
      <c r="F1" s="1831"/>
      <c r="G1" s="1831"/>
      <c r="H1" s="1129" t="s">
        <v>1301</v>
      </c>
      <c r="I1" s="1665" t="s">
        <v>1390</v>
      </c>
      <c r="J1" s="1820"/>
      <c r="K1" s="1835" t="s">
        <v>1391</v>
      </c>
      <c r="L1" s="1835"/>
      <c r="M1" s="1835"/>
    </row>
    <row r="2" spans="1:13" ht="63" customHeight="1">
      <c r="A2" s="39" t="s">
        <v>240</v>
      </c>
      <c r="B2" s="1637" t="s">
        <v>1392</v>
      </c>
      <c r="C2" s="1637"/>
      <c r="D2" s="41" t="s">
        <v>242</v>
      </c>
      <c r="E2" s="1832"/>
      <c r="F2" s="1833"/>
      <c r="G2" s="90"/>
      <c r="H2" s="1665" t="s">
        <v>1393</v>
      </c>
      <c r="I2" s="1665"/>
      <c r="J2" s="41" t="s">
        <v>243</v>
      </c>
      <c r="K2" s="1005" t="s">
        <v>421</v>
      </c>
      <c r="L2" s="103" t="s">
        <v>245</v>
      </c>
      <c r="M2" s="1083" t="s">
        <v>402</v>
      </c>
    </row>
    <row r="3" spans="1:13" ht="63" customHeight="1">
      <c r="A3" s="39" t="s">
        <v>247</v>
      </c>
      <c r="B3" s="1637" t="s">
        <v>1394</v>
      </c>
      <c r="C3" s="1637"/>
      <c r="D3" s="41" t="s">
        <v>249</v>
      </c>
      <c r="E3" s="1217" t="s">
        <v>1395</v>
      </c>
      <c r="F3" s="1225" t="s">
        <v>1177</v>
      </c>
      <c r="G3" s="41"/>
      <c r="H3" s="41" t="s">
        <v>252</v>
      </c>
      <c r="I3" s="41"/>
      <c r="J3" s="91" t="s">
        <v>253</v>
      </c>
      <c r="K3" s="15" t="s">
        <v>1396</v>
      </c>
      <c r="L3" s="15" t="s">
        <v>255</v>
      </c>
      <c r="M3" s="92" t="s">
        <v>1397</v>
      </c>
    </row>
    <row r="4" spans="1:13" ht="87" customHeight="1">
      <c r="A4" s="39" t="s">
        <v>260</v>
      </c>
      <c r="B4" s="1762" t="s">
        <v>1398</v>
      </c>
      <c r="C4" s="1762"/>
      <c r="D4" s="1762"/>
      <c r="E4" s="1762"/>
      <c r="F4" s="1762"/>
      <c r="G4" s="1762"/>
      <c r="H4" s="1762" t="s">
        <v>1399</v>
      </c>
      <c r="I4" s="1762"/>
      <c r="J4" s="1762"/>
      <c r="K4" s="1649"/>
      <c r="L4" s="1650"/>
      <c r="M4" s="1825"/>
    </row>
    <row r="5" spans="1:13" ht="50.1" customHeight="1">
      <c r="A5" s="39" t="s">
        <v>1022</v>
      </c>
      <c r="B5" s="1648"/>
      <c r="C5" s="1648"/>
      <c r="D5" s="1648"/>
      <c r="E5" s="1648"/>
      <c r="F5" s="1648"/>
      <c r="G5" s="1648"/>
      <c r="H5" s="1648"/>
      <c r="I5" s="1820"/>
      <c r="J5" s="1821"/>
      <c r="K5" s="1821"/>
      <c r="L5" s="1827"/>
      <c r="M5" s="104"/>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9.75" customHeight="1">
      <c r="A7" s="405">
        <v>42491</v>
      </c>
      <c r="B7" s="181">
        <v>253</v>
      </c>
      <c r="C7" s="181">
        <v>61985</v>
      </c>
      <c r="D7" s="181">
        <f>B7</f>
        <v>253</v>
      </c>
      <c r="E7" s="181">
        <f>C7</f>
        <v>61985</v>
      </c>
      <c r="F7" s="181"/>
      <c r="G7" s="181">
        <f>E7</f>
        <v>61985</v>
      </c>
      <c r="H7" s="181"/>
      <c r="I7" s="181"/>
      <c r="J7" s="181"/>
      <c r="K7" s="181"/>
      <c r="L7" s="181">
        <f t="shared" ref="L7:L18" si="0">E7-J7</f>
        <v>61985</v>
      </c>
      <c r="M7" s="181"/>
    </row>
    <row r="8" spans="1:13" ht="39.75" customHeight="1">
      <c r="A8" s="365">
        <v>42522</v>
      </c>
      <c r="B8" s="181">
        <v>722</v>
      </c>
      <c r="C8" s="181">
        <v>205310</v>
      </c>
      <c r="D8" s="181">
        <f>D7+B8</f>
        <v>975</v>
      </c>
      <c r="E8" s="181">
        <f t="shared" ref="E8:E18" si="1">E7+C8</f>
        <v>267295</v>
      </c>
      <c r="F8" s="181"/>
      <c r="G8" s="181">
        <f>E7*0.05+C8</f>
        <v>208409.25</v>
      </c>
      <c r="H8" s="181"/>
      <c r="I8" s="181"/>
      <c r="J8" s="181"/>
      <c r="K8" s="181"/>
      <c r="L8" s="181">
        <f t="shared" si="0"/>
        <v>267295</v>
      </c>
      <c r="M8" s="181"/>
    </row>
    <row r="9" spans="1:13" ht="39.75" customHeight="1">
      <c r="A9" s="365">
        <v>42552</v>
      </c>
      <c r="B9" s="181">
        <v>1210.5</v>
      </c>
      <c r="C9" s="181">
        <v>344992.5</v>
      </c>
      <c r="D9" s="181">
        <f>D8+B9</f>
        <v>2185.5</v>
      </c>
      <c r="E9" s="181">
        <f t="shared" si="1"/>
        <v>612287.5</v>
      </c>
      <c r="F9" s="181"/>
      <c r="G9" s="181">
        <f>C9</f>
        <v>344992.5</v>
      </c>
      <c r="H9" s="181">
        <f>C7*0.95</f>
        <v>58885.75</v>
      </c>
      <c r="I9" s="181"/>
      <c r="J9" s="181"/>
      <c r="K9" s="181">
        <f t="shared" ref="K9:K19" si="2">K8+H9-I9</f>
        <v>58885.75</v>
      </c>
      <c r="L9" s="181">
        <f t="shared" si="0"/>
        <v>612287.5</v>
      </c>
      <c r="M9" s="412"/>
    </row>
    <row r="10" spans="1:13" ht="39.75" customHeight="1">
      <c r="A10" s="365">
        <v>42583</v>
      </c>
      <c r="B10" s="181">
        <v>180</v>
      </c>
      <c r="C10" s="181">
        <v>52200</v>
      </c>
      <c r="D10" s="181">
        <f>D9+污水处理系统管网!B15</f>
        <v>2305</v>
      </c>
      <c r="E10" s="181">
        <f t="shared" si="1"/>
        <v>664487.5</v>
      </c>
      <c r="F10" s="181"/>
      <c r="G10" s="181">
        <f>C9*0.05+C10</f>
        <v>69449.625</v>
      </c>
      <c r="H10" s="181">
        <f>C8+C7*0.05</f>
        <v>208409.25</v>
      </c>
      <c r="I10" s="181"/>
      <c r="J10" s="181"/>
      <c r="K10" s="181">
        <f t="shared" si="2"/>
        <v>267295</v>
      </c>
      <c r="L10" s="181">
        <f t="shared" si="0"/>
        <v>664487.5</v>
      </c>
      <c r="M10" s="1220" t="s">
        <v>1400</v>
      </c>
    </row>
    <row r="11" spans="1:13" ht="39.75" customHeight="1">
      <c r="A11" s="365">
        <v>42614</v>
      </c>
      <c r="B11" s="181">
        <v>341</v>
      </c>
      <c r="C11" s="181">
        <v>96530</v>
      </c>
      <c r="D11" s="181">
        <f>D10+污水处理系统管网!B16</f>
        <v>2341</v>
      </c>
      <c r="E11" s="181">
        <f t="shared" si="1"/>
        <v>761017.5</v>
      </c>
      <c r="F11" s="181"/>
      <c r="G11" s="181">
        <f>(C9+C10)*0.05+C11</f>
        <v>116389.625</v>
      </c>
      <c r="H11" s="181">
        <f>C9*0.95</f>
        <v>327742.875</v>
      </c>
      <c r="I11" s="181">
        <v>590570</v>
      </c>
      <c r="J11" s="181">
        <f t="shared" ref="J11:J18" si="3">I11+J10</f>
        <v>590570</v>
      </c>
      <c r="K11" s="181">
        <f t="shared" si="2"/>
        <v>4467.875</v>
      </c>
      <c r="L11" s="181">
        <f t="shared" si="0"/>
        <v>170447.5</v>
      </c>
      <c r="M11" s="181"/>
    </row>
    <row r="12" spans="1:13" ht="39.75" customHeight="1">
      <c r="A12" s="365">
        <v>42644</v>
      </c>
      <c r="B12" s="181">
        <v>434.5</v>
      </c>
      <c r="C12" s="181">
        <v>123357.5</v>
      </c>
      <c r="D12" s="181">
        <f>D11+污水处理系统管网!B17</f>
        <v>2374</v>
      </c>
      <c r="E12" s="181">
        <f t="shared" si="1"/>
        <v>884375</v>
      </c>
      <c r="F12" s="181"/>
      <c r="G12" s="181">
        <f>C12</f>
        <v>123357.5</v>
      </c>
      <c r="H12" s="294">
        <f>C10*0.95</f>
        <v>49590</v>
      </c>
      <c r="I12" s="181"/>
      <c r="J12" s="181">
        <f t="shared" si="3"/>
        <v>590570</v>
      </c>
      <c r="K12" s="181">
        <f t="shared" si="2"/>
        <v>54057.875</v>
      </c>
      <c r="L12" s="181">
        <f t="shared" si="0"/>
        <v>293805</v>
      </c>
      <c r="M12" s="181" t="s">
        <v>1401</v>
      </c>
    </row>
    <row r="13" spans="1:13" ht="39.75" customHeight="1">
      <c r="A13" s="365">
        <v>42675</v>
      </c>
      <c r="B13" s="181">
        <v>456</v>
      </c>
      <c r="C13" s="181">
        <v>129960</v>
      </c>
      <c r="D13" s="181">
        <f>D12+污水处理系统管网!B18</f>
        <v>2374</v>
      </c>
      <c r="E13" s="181">
        <f t="shared" si="1"/>
        <v>1014335</v>
      </c>
      <c r="F13" s="181"/>
      <c r="G13" s="294">
        <f>C12*0.05+C13</f>
        <v>136127.875</v>
      </c>
      <c r="H13" s="294">
        <f>C11+(C10+C9)*0.05</f>
        <v>116389.625</v>
      </c>
      <c r="I13" s="181">
        <v>293805</v>
      </c>
      <c r="J13" s="181">
        <f t="shared" si="3"/>
        <v>884375</v>
      </c>
      <c r="K13" s="181">
        <f t="shared" si="2"/>
        <v>-123357.5</v>
      </c>
      <c r="L13" s="181">
        <f t="shared" si="0"/>
        <v>129960</v>
      </c>
      <c r="M13" s="181"/>
    </row>
    <row r="14" spans="1:13" ht="39.75" customHeight="1">
      <c r="A14" s="365">
        <v>42705</v>
      </c>
      <c r="B14" s="181">
        <v>13</v>
      </c>
      <c r="C14" s="181">
        <v>4510</v>
      </c>
      <c r="D14" s="181">
        <f>D13+污水处理系统管网!B19</f>
        <v>2511</v>
      </c>
      <c r="E14" s="181">
        <f t="shared" si="1"/>
        <v>1018845</v>
      </c>
      <c r="F14" s="181"/>
      <c r="G14" s="294">
        <f>C13*0.05+C14+C12*0.05</f>
        <v>17175.875</v>
      </c>
      <c r="H14" s="294">
        <f t="shared" ref="H14:H19" si="4">C12*0.95</f>
        <v>117189.625</v>
      </c>
      <c r="I14" s="181">
        <v>220000</v>
      </c>
      <c r="J14" s="181">
        <f t="shared" si="3"/>
        <v>1104375</v>
      </c>
      <c r="K14" s="181">
        <f t="shared" si="2"/>
        <v>-226167.875</v>
      </c>
      <c r="L14" s="181">
        <f t="shared" si="0"/>
        <v>-85530</v>
      </c>
      <c r="M14" s="181" t="s">
        <v>1402</v>
      </c>
    </row>
    <row r="15" spans="1:13" ht="39.75" customHeight="1">
      <c r="A15" s="405" t="s">
        <v>1403</v>
      </c>
      <c r="B15" s="181"/>
      <c r="C15" s="181">
        <v>12120.5</v>
      </c>
      <c r="D15" s="181">
        <f>D14+污水处理系统管网!B20</f>
        <v>2511</v>
      </c>
      <c r="E15" s="181">
        <f t="shared" si="1"/>
        <v>1030965.5</v>
      </c>
      <c r="F15" s="181"/>
      <c r="G15" s="294">
        <f>C14*0.05+C15+C13*0.05</f>
        <v>18844</v>
      </c>
      <c r="H15" s="294">
        <f>C13</f>
        <v>129960</v>
      </c>
      <c r="I15" s="181"/>
      <c r="J15" s="181">
        <f t="shared" si="3"/>
        <v>1104375</v>
      </c>
      <c r="K15" s="181">
        <f t="shared" si="2"/>
        <v>-96207.875</v>
      </c>
      <c r="L15" s="181">
        <f t="shared" si="0"/>
        <v>-73409.5</v>
      </c>
      <c r="M15" s="181"/>
    </row>
    <row r="16" spans="1:13" ht="39.75" customHeight="1">
      <c r="A16" s="405" t="s">
        <v>1404</v>
      </c>
      <c r="B16" s="181"/>
      <c r="C16" s="181">
        <v>14462</v>
      </c>
      <c r="D16" s="181">
        <f>D15+污水处理系统管网!B21</f>
        <v>2550</v>
      </c>
      <c r="E16" s="181">
        <f t="shared" si="1"/>
        <v>1045427.5</v>
      </c>
      <c r="F16" s="181"/>
      <c r="G16" s="294">
        <f>C15*0.05+C16+C14*0.05</f>
        <v>15293.525</v>
      </c>
      <c r="H16" s="294">
        <f>C14*0.95</f>
        <v>4284.5</v>
      </c>
      <c r="I16" s="181"/>
      <c r="J16" s="181">
        <f t="shared" si="3"/>
        <v>1104375</v>
      </c>
      <c r="K16" s="181">
        <f t="shared" si="2"/>
        <v>-91923.375</v>
      </c>
      <c r="L16" s="181">
        <f t="shared" si="0"/>
        <v>-58947.5</v>
      </c>
      <c r="M16" s="181"/>
    </row>
    <row r="17" spans="1:13" ht="39.75" customHeight="1">
      <c r="A17" s="365">
        <v>42795</v>
      </c>
      <c r="B17" s="181">
        <v>0</v>
      </c>
      <c r="C17" s="181">
        <v>0</v>
      </c>
      <c r="D17" s="181">
        <f>D16+污水处理系统管网!B22</f>
        <v>2608.5</v>
      </c>
      <c r="E17" s="181">
        <f t="shared" si="1"/>
        <v>1045427.5</v>
      </c>
      <c r="F17" s="181"/>
      <c r="G17" s="294">
        <f>C16*0.05+C17+C15*0.05</f>
        <v>1329.125</v>
      </c>
      <c r="H17" s="294">
        <v>6393.38</v>
      </c>
      <c r="I17" s="181"/>
      <c r="J17" s="181">
        <f t="shared" si="3"/>
        <v>1104375</v>
      </c>
      <c r="K17" s="181">
        <f t="shared" si="2"/>
        <v>-85529.994999999995</v>
      </c>
      <c r="L17" s="181">
        <f t="shared" si="0"/>
        <v>-58947.5</v>
      </c>
      <c r="M17" s="181"/>
    </row>
    <row r="18" spans="1:13" ht="39.75" customHeight="1">
      <c r="A18" s="365">
        <v>42856</v>
      </c>
      <c r="B18" s="181">
        <v>0</v>
      </c>
      <c r="C18" s="181">
        <v>0</v>
      </c>
      <c r="D18" s="181">
        <f>D17+污水处理系统管网!B23</f>
        <v>2608.5</v>
      </c>
      <c r="E18" s="181">
        <f t="shared" si="1"/>
        <v>1045427.5</v>
      </c>
      <c r="F18" s="181"/>
      <c r="G18" s="294">
        <f>C17*0.05+C18+C16*0.05</f>
        <v>723.1</v>
      </c>
      <c r="H18" s="294">
        <f t="shared" si="4"/>
        <v>13738.9</v>
      </c>
      <c r="I18" s="181"/>
      <c r="J18" s="181">
        <f t="shared" si="3"/>
        <v>1104375</v>
      </c>
      <c r="K18" s="181">
        <f t="shared" si="2"/>
        <v>-71791.095000000001</v>
      </c>
      <c r="L18" s="181">
        <f t="shared" si="0"/>
        <v>-58947.5</v>
      </c>
      <c r="M18" s="181"/>
    </row>
    <row r="19" spans="1:13" ht="39.75" customHeight="1">
      <c r="A19" s="365"/>
      <c r="B19" s="181"/>
      <c r="C19" s="181"/>
      <c r="D19" s="181"/>
      <c r="E19" s="181"/>
      <c r="F19" s="181"/>
      <c r="G19" s="181"/>
      <c r="H19" s="294">
        <f t="shared" si="4"/>
        <v>0</v>
      </c>
      <c r="I19" s="181"/>
      <c r="J19" s="181"/>
      <c r="K19" s="181">
        <f t="shared" si="2"/>
        <v>-71791.095000000001</v>
      </c>
      <c r="L19" s="181"/>
      <c r="M19" s="181"/>
    </row>
    <row r="20" spans="1:13" ht="39.75" customHeight="1">
      <c r="A20" s="365"/>
      <c r="B20" s="181"/>
      <c r="C20" s="181"/>
      <c r="D20" s="181"/>
      <c r="E20" s="181"/>
      <c r="F20" s="181"/>
      <c r="G20" s="181"/>
      <c r="H20" s="294"/>
      <c r="I20" s="181"/>
      <c r="J20" s="181"/>
      <c r="K20" s="181"/>
      <c r="L20" s="181"/>
      <c r="M20" s="181"/>
    </row>
    <row r="21" spans="1:13" ht="39.75" customHeight="1">
      <c r="A21" s="365"/>
      <c r="B21" s="181"/>
      <c r="C21" s="181"/>
      <c r="D21" s="181"/>
      <c r="E21" s="181"/>
      <c r="F21" s="181"/>
      <c r="G21" s="181"/>
      <c r="H21" s="294"/>
      <c r="I21" s="181"/>
      <c r="J21" s="181"/>
      <c r="K21" s="181"/>
      <c r="L21" s="181"/>
      <c r="M21" s="181"/>
    </row>
    <row r="22" spans="1:13" ht="39.75" customHeight="1">
      <c r="A22" s="365"/>
      <c r="B22" s="181"/>
      <c r="C22" s="181"/>
      <c r="D22" s="181"/>
      <c r="E22" s="181"/>
      <c r="F22" s="181"/>
      <c r="G22" s="181"/>
      <c r="H22" s="294"/>
      <c r="I22" s="181"/>
      <c r="J22" s="181"/>
      <c r="K22" s="181"/>
      <c r="L22" s="181"/>
      <c r="M22" s="181"/>
    </row>
    <row r="23" spans="1:13" ht="39.75" customHeight="1">
      <c r="A23" s="365"/>
      <c r="B23" s="181"/>
      <c r="C23" s="181"/>
      <c r="D23" s="181"/>
      <c r="E23" s="181"/>
      <c r="F23" s="181"/>
      <c r="G23" s="181"/>
      <c r="H23" s="294"/>
      <c r="I23" s="181"/>
      <c r="J23" s="181"/>
      <c r="K23" s="181"/>
      <c r="L23" s="181"/>
      <c r="M23" s="181"/>
    </row>
    <row r="24" spans="1:13" ht="39.75" customHeight="1">
      <c r="A24" s="365"/>
      <c r="B24" s="181"/>
      <c r="C24" s="181"/>
      <c r="D24" s="181"/>
      <c r="E24" s="181"/>
      <c r="F24" s="181"/>
      <c r="G24" s="181"/>
      <c r="H24" s="294"/>
      <c r="I24" s="181"/>
      <c r="J24" s="181"/>
      <c r="K24" s="181"/>
      <c r="L24" s="181"/>
      <c r="M24" s="181"/>
    </row>
    <row r="25" spans="1:13" ht="39.75" customHeight="1">
      <c r="A25" s="365"/>
      <c r="B25" s="181"/>
      <c r="C25" s="181"/>
      <c r="D25" s="181"/>
      <c r="E25" s="181"/>
      <c r="F25" s="181"/>
      <c r="G25" s="181"/>
      <c r="H25" s="294"/>
      <c r="I25" s="181"/>
      <c r="J25" s="181"/>
      <c r="K25" s="181"/>
      <c r="L25" s="181"/>
      <c r="M25" s="181"/>
    </row>
    <row r="40" spans="5:5">
      <c r="E40" s="758"/>
    </row>
  </sheetData>
  <mergeCells count="14">
    <mergeCell ref="B3:C3"/>
    <mergeCell ref="B4:G4"/>
    <mergeCell ref="H4:J4"/>
    <mergeCell ref="K4:M4"/>
    <mergeCell ref="B5:E5"/>
    <mergeCell ref="F5:H5"/>
    <mergeCell ref="I5:L5"/>
    <mergeCell ref="C1:D1"/>
    <mergeCell ref="E1:G1"/>
    <mergeCell ref="I1:J1"/>
    <mergeCell ref="K1:M1"/>
    <mergeCell ref="B2:C2"/>
    <mergeCell ref="E2:F2"/>
    <mergeCell ref="H2:I2"/>
  </mergeCells>
  <phoneticPr fontId="84" type="noConversion"/>
  <pageMargins left="0.75" right="0.75" top="1" bottom="1" header="0.5" footer="0.5"/>
  <pageSetup paperSize="9" orientation="portrait" verticalDpi="0"/>
  <headerFooter scaleWithDoc="0"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31"/>
  <sheetViews>
    <sheetView topLeftCell="A16" workbookViewId="0">
      <selection activeCell="B22" sqref="B22:M22"/>
    </sheetView>
  </sheetViews>
  <sheetFormatPr defaultColWidth="9" defaultRowHeight="14.25"/>
  <cols>
    <col min="1" max="1" width="17.625" customWidth="1"/>
    <col min="2" max="2" width="13.125" customWidth="1"/>
    <col min="3" max="3" width="19" customWidth="1"/>
    <col min="4" max="4" width="13.125" customWidth="1"/>
    <col min="5" max="5" width="16.25" customWidth="1"/>
    <col min="6" max="6" width="14.75" customWidth="1"/>
    <col min="7" max="7" width="16.25" customWidth="1"/>
    <col min="8" max="8" width="15.375" customWidth="1"/>
    <col min="9" max="9" width="16.25" customWidth="1"/>
    <col min="10" max="10" width="20.25" customWidth="1"/>
    <col min="11" max="11" width="13.625" customWidth="1"/>
    <col min="12" max="12" width="13.125" customWidth="1"/>
    <col min="13" max="13" width="30" customWidth="1"/>
    <col min="15" max="15" width="13.75" bestFit="1" customWidth="1"/>
    <col min="16" max="16" width="12.625" bestFit="1" customWidth="1"/>
    <col min="17" max="17" width="10.375" bestFit="1" customWidth="1"/>
  </cols>
  <sheetData>
    <row r="1" spans="1:16" ht="90" customHeight="1">
      <c r="A1" s="1032" t="s">
        <v>556</v>
      </c>
      <c r="B1" s="1216" t="s">
        <v>1405</v>
      </c>
      <c r="C1" s="1811" t="s">
        <v>1406</v>
      </c>
      <c r="D1" s="1811"/>
      <c r="E1" s="1839" t="s">
        <v>1407</v>
      </c>
      <c r="F1" s="1839"/>
      <c r="G1" s="1839"/>
      <c r="H1" s="1129" t="s">
        <v>1301</v>
      </c>
      <c r="I1" s="1665" t="s">
        <v>1408</v>
      </c>
      <c r="J1" s="1820"/>
      <c r="K1" s="1840" t="s">
        <v>1409</v>
      </c>
      <c r="L1" s="1840"/>
      <c r="M1" s="1840"/>
    </row>
    <row r="2" spans="1:16" ht="63" customHeight="1">
      <c r="A2" s="39" t="s">
        <v>240</v>
      </c>
      <c r="B2" s="1637" t="s">
        <v>1410</v>
      </c>
      <c r="C2" s="1637"/>
      <c r="D2" s="41" t="s">
        <v>242</v>
      </c>
      <c r="E2" s="1832" t="s">
        <v>1411</v>
      </c>
      <c r="F2" s="1833"/>
      <c r="G2" s="90" t="s">
        <v>1412</v>
      </c>
      <c r="H2" s="103" t="s">
        <v>1413</v>
      </c>
      <c r="I2" s="1828" t="s">
        <v>1414</v>
      </c>
      <c r="J2" s="1836"/>
      <c r="K2" s="1836"/>
      <c r="L2" s="1836"/>
      <c r="M2" s="1837"/>
    </row>
    <row r="3" spans="1:16" ht="63" customHeight="1">
      <c r="A3" s="39" t="s">
        <v>247</v>
      </c>
      <c r="B3" s="1637" t="s">
        <v>1415</v>
      </c>
      <c r="C3" s="1637"/>
      <c r="D3" s="41" t="s">
        <v>249</v>
      </c>
      <c r="E3" s="1217" t="s">
        <v>1416</v>
      </c>
      <c r="F3" s="1218" t="s">
        <v>1177</v>
      </c>
      <c r="G3" s="41" t="s">
        <v>1417</v>
      </c>
      <c r="H3" s="41" t="s">
        <v>252</v>
      </c>
      <c r="I3" s="41"/>
      <c r="J3" s="91" t="s">
        <v>253</v>
      </c>
      <c r="K3" s="15"/>
      <c r="L3" s="15" t="s">
        <v>255</v>
      </c>
      <c r="M3" s="92" t="s">
        <v>1418</v>
      </c>
    </row>
    <row r="4" spans="1:16" ht="51" customHeight="1">
      <c r="A4" s="39" t="s">
        <v>260</v>
      </c>
      <c r="B4" s="1762" t="s">
        <v>1419</v>
      </c>
      <c r="C4" s="1762"/>
      <c r="D4" s="1762"/>
      <c r="E4" s="1762"/>
      <c r="F4" s="1762"/>
      <c r="G4" s="1762"/>
      <c r="H4" s="150"/>
      <c r="I4" s="150"/>
      <c r="J4" s="41" t="s">
        <v>243</v>
      </c>
      <c r="K4" s="1005">
        <v>0.03</v>
      </c>
      <c r="L4" s="103" t="s">
        <v>245</v>
      </c>
      <c r="M4" s="1083" t="s">
        <v>1420</v>
      </c>
    </row>
    <row r="5" spans="1:16" ht="48.95" customHeight="1">
      <c r="A5" s="39" t="s">
        <v>1022</v>
      </c>
      <c r="B5" s="1648"/>
      <c r="C5" s="1648"/>
      <c r="D5" s="1648"/>
      <c r="E5" s="1648"/>
      <c r="F5" s="1664" t="s">
        <v>1421</v>
      </c>
      <c r="G5" s="1664"/>
      <c r="H5" s="1664"/>
      <c r="I5" s="91"/>
      <c r="J5" s="15"/>
      <c r="K5" s="15"/>
      <c r="L5" s="1676"/>
      <c r="M5" s="1838"/>
    </row>
    <row r="6" spans="1:16" ht="36.950000000000003" customHeight="1">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6" ht="39.75" customHeight="1">
      <c r="A7" s="405" t="s">
        <v>1422</v>
      </c>
      <c r="B7" s="181">
        <v>2999.5</v>
      </c>
      <c r="C7" s="181">
        <v>825686.2</v>
      </c>
      <c r="D7" s="181">
        <f>B7</f>
        <v>2999.5</v>
      </c>
      <c r="E7" s="181">
        <f>C7</f>
        <v>825686.2</v>
      </c>
      <c r="F7" s="181"/>
      <c r="G7" s="294">
        <f>E7*0.15</f>
        <v>123852.93</v>
      </c>
      <c r="H7" s="181"/>
      <c r="I7" s="181"/>
      <c r="J7" s="181"/>
      <c r="K7" s="181"/>
      <c r="L7" s="181">
        <f t="shared" ref="L7:L20" si="0">E7-J7</f>
        <v>825686.2</v>
      </c>
      <c r="M7" s="181"/>
    </row>
    <row r="8" spans="1:16" ht="39.75" customHeight="1">
      <c r="A8" s="405" t="s">
        <v>1423</v>
      </c>
      <c r="B8" s="181">
        <v>148.5</v>
      </c>
      <c r="C8" s="181">
        <v>41833.699999999997</v>
      </c>
      <c r="D8" s="181">
        <f t="shared" ref="D8:D20" si="1">D7+B8</f>
        <v>3148</v>
      </c>
      <c r="E8" s="181">
        <f t="shared" ref="E8:E20" si="2">E7+C8</f>
        <v>867519.89999999991</v>
      </c>
      <c r="F8" s="181"/>
      <c r="G8" s="294">
        <f>E8*0.15</f>
        <v>130127.98499999999</v>
      </c>
      <c r="H8" s="181">
        <f>C7*0.85</f>
        <v>701833.2699999999</v>
      </c>
      <c r="I8" s="181"/>
      <c r="J8" s="181"/>
      <c r="K8" s="294">
        <f t="shared" ref="K8:K21" si="3">K7+H8-I8</f>
        <v>701833.2699999999</v>
      </c>
      <c r="L8" s="181">
        <f t="shared" si="0"/>
        <v>867519.89999999991</v>
      </c>
      <c r="M8" s="181"/>
    </row>
    <row r="9" spans="1:16" ht="39.75" customHeight="1">
      <c r="A9" s="405" t="s">
        <v>1424</v>
      </c>
      <c r="B9" s="181">
        <v>8939.5</v>
      </c>
      <c r="C9" s="181">
        <v>2524811.36</v>
      </c>
      <c r="D9" s="181">
        <f t="shared" si="1"/>
        <v>12087.5</v>
      </c>
      <c r="E9" s="181">
        <f t="shared" si="2"/>
        <v>3392331.26</v>
      </c>
      <c r="F9" s="181"/>
      <c r="G9" s="294">
        <f>C8*0.15+C9*0.15</f>
        <v>384996.75899999996</v>
      </c>
      <c r="H9" s="294">
        <f>C8*0.85</f>
        <v>35558.644999999997</v>
      </c>
      <c r="I9" s="181">
        <v>701833.27</v>
      </c>
      <c r="J9" s="181">
        <f t="shared" ref="J9:J20" si="4">I9+J8</f>
        <v>701833.27</v>
      </c>
      <c r="K9" s="294">
        <f t="shared" si="3"/>
        <v>35558.644999999902</v>
      </c>
      <c r="L9" s="181">
        <f t="shared" si="0"/>
        <v>2690497.9899999998</v>
      </c>
      <c r="M9" s="412" t="s">
        <v>1425</v>
      </c>
    </row>
    <row r="10" spans="1:16" ht="39.75" customHeight="1">
      <c r="A10" s="405" t="s">
        <v>1426</v>
      </c>
      <c r="B10" s="181">
        <v>6075</v>
      </c>
      <c r="C10" s="181">
        <v>1663492.87</v>
      </c>
      <c r="D10" s="181">
        <f t="shared" si="1"/>
        <v>18162.5</v>
      </c>
      <c r="E10" s="181">
        <f t="shared" si="2"/>
        <v>5055824.13</v>
      </c>
      <c r="F10" s="181"/>
      <c r="G10" s="294">
        <f>C9*0.15+C10*0.15</f>
        <v>628245.63449999993</v>
      </c>
      <c r="H10" s="294">
        <f>C9*0.85+C7*0.15</f>
        <v>2269942.5860000001</v>
      </c>
      <c r="I10" s="181">
        <f>2146089.66+35558.65</f>
        <v>2181648.31</v>
      </c>
      <c r="J10" s="181">
        <f t="shared" si="4"/>
        <v>2883481.58</v>
      </c>
      <c r="K10" s="294">
        <f t="shared" si="3"/>
        <v>123852.92100000009</v>
      </c>
      <c r="L10" s="181">
        <f t="shared" si="0"/>
        <v>2172342.5499999998</v>
      </c>
      <c r="M10" s="1220" t="s">
        <v>1427</v>
      </c>
      <c r="O10" s="1221">
        <v>674543.9</v>
      </c>
      <c r="P10">
        <f>I9-O10-O11</f>
        <v>0</v>
      </c>
    </row>
    <row r="11" spans="1:16" ht="39.75" customHeight="1">
      <c r="A11" s="405" t="s">
        <v>1428</v>
      </c>
      <c r="B11" s="181">
        <v>3125.5</v>
      </c>
      <c r="C11" s="181">
        <v>869899.04</v>
      </c>
      <c r="D11" s="181">
        <f t="shared" si="1"/>
        <v>21288</v>
      </c>
      <c r="E11" s="181">
        <f t="shared" si="2"/>
        <v>5925723.1699999999</v>
      </c>
      <c r="F11" s="181"/>
      <c r="G11" s="294">
        <f>C10*0.15+C11*0.15</f>
        <v>380008.78650000005</v>
      </c>
      <c r="H11" s="294">
        <f>C10*0.85+C8*0.15</f>
        <v>1420243.9945</v>
      </c>
      <c r="I11" s="181"/>
      <c r="J11" s="181">
        <f t="shared" si="4"/>
        <v>2883481.58</v>
      </c>
      <c r="K11" s="294">
        <f t="shared" si="3"/>
        <v>1544096.9155000001</v>
      </c>
      <c r="L11" s="181">
        <f t="shared" si="0"/>
        <v>3042241.59</v>
      </c>
      <c r="M11" s="181"/>
      <c r="O11" s="1222">
        <v>27289.37</v>
      </c>
    </row>
    <row r="12" spans="1:16" ht="39.75" customHeight="1">
      <c r="A12" s="405" t="s">
        <v>1429</v>
      </c>
      <c r="B12" s="181"/>
      <c r="C12" s="181">
        <v>534300</v>
      </c>
      <c r="D12" s="181">
        <f t="shared" si="1"/>
        <v>21288</v>
      </c>
      <c r="E12" s="181">
        <f t="shared" si="2"/>
        <v>6460023.1699999999</v>
      </c>
      <c r="F12" s="181"/>
      <c r="G12" s="294"/>
      <c r="H12" s="294">
        <f>C11*0.85+C9*0.15</f>
        <v>1118135.888</v>
      </c>
      <c r="I12" s="181"/>
      <c r="J12" s="181">
        <f t="shared" si="4"/>
        <v>2883481.58</v>
      </c>
      <c r="K12" s="294">
        <f t="shared" si="3"/>
        <v>2662232.8035000004</v>
      </c>
      <c r="L12" s="181">
        <f t="shared" si="0"/>
        <v>3576541.59</v>
      </c>
      <c r="M12" s="181"/>
      <c r="O12" s="1223">
        <v>35558.65</v>
      </c>
    </row>
    <row r="13" spans="1:16" ht="39.75" customHeight="1">
      <c r="A13" s="405" t="s">
        <v>672</v>
      </c>
      <c r="B13" s="181"/>
      <c r="C13" s="181">
        <v>522.91999999999996</v>
      </c>
      <c r="D13" s="181">
        <f t="shared" si="1"/>
        <v>21288</v>
      </c>
      <c r="E13" s="181">
        <f t="shared" si="2"/>
        <v>6460546.0899999999</v>
      </c>
      <c r="F13" s="181"/>
      <c r="G13" s="294"/>
      <c r="H13" s="294">
        <f>C13</f>
        <v>522.91999999999996</v>
      </c>
      <c r="I13" s="181"/>
      <c r="J13" s="181">
        <f t="shared" si="4"/>
        <v>2883481.58</v>
      </c>
      <c r="K13" s="294">
        <f t="shared" si="3"/>
        <v>2662755.7235000003</v>
      </c>
      <c r="L13" s="181">
        <f t="shared" si="0"/>
        <v>3577064.51</v>
      </c>
      <c r="M13" s="181"/>
      <c r="O13" s="1223">
        <v>215713.56</v>
      </c>
    </row>
    <row r="14" spans="1:16" ht="39.75" customHeight="1">
      <c r="A14" s="405" t="s">
        <v>433</v>
      </c>
      <c r="B14" s="181"/>
      <c r="C14" s="181">
        <v>174134.36</v>
      </c>
      <c r="D14" s="181">
        <f t="shared" si="1"/>
        <v>21288</v>
      </c>
      <c r="E14" s="181">
        <f t="shared" si="2"/>
        <v>6634680.4500000002</v>
      </c>
      <c r="F14" s="181"/>
      <c r="G14" s="294"/>
      <c r="H14" s="294">
        <f>C14</f>
        <v>174134.36</v>
      </c>
      <c r="I14" s="181"/>
      <c r="J14" s="181">
        <f t="shared" si="4"/>
        <v>2883481.58</v>
      </c>
      <c r="K14" s="294">
        <f t="shared" si="3"/>
        <v>2836890.0835000002</v>
      </c>
      <c r="L14" s="181">
        <f t="shared" si="0"/>
        <v>3751198.87</v>
      </c>
      <c r="M14" s="181"/>
      <c r="O14" s="1223">
        <v>964964</v>
      </c>
    </row>
    <row r="15" spans="1:16" ht="39.75" customHeight="1">
      <c r="A15" s="405" t="s">
        <v>434</v>
      </c>
      <c r="B15" s="181"/>
      <c r="C15" s="181">
        <v>82138.559999999998</v>
      </c>
      <c r="D15" s="181">
        <f t="shared" si="1"/>
        <v>21288</v>
      </c>
      <c r="E15" s="181">
        <f t="shared" si="2"/>
        <v>6716819.0099999998</v>
      </c>
      <c r="F15" s="181"/>
      <c r="G15" s="294">
        <f>C11*0.15+C12*0.15</f>
        <v>210629.856</v>
      </c>
      <c r="H15" s="294">
        <f>C15</f>
        <v>82138.559999999998</v>
      </c>
      <c r="I15" s="181"/>
      <c r="J15" s="181">
        <f t="shared" si="4"/>
        <v>2883481.58</v>
      </c>
      <c r="K15" s="294">
        <f t="shared" si="3"/>
        <v>2919028.6435000002</v>
      </c>
      <c r="L15" s="181">
        <f t="shared" si="0"/>
        <v>3833337.4299999997</v>
      </c>
      <c r="M15" s="181"/>
      <c r="O15" s="1223">
        <v>965412.1</v>
      </c>
      <c r="P15">
        <f>I10-O12-O13-O14-O15</f>
        <v>0</v>
      </c>
    </row>
    <row r="16" spans="1:16" ht="39.75" customHeight="1">
      <c r="A16" s="405" t="s">
        <v>1430</v>
      </c>
      <c r="B16" s="181">
        <v>3557.5</v>
      </c>
      <c r="C16" s="181">
        <v>981183</v>
      </c>
      <c r="D16" s="181">
        <f t="shared" si="1"/>
        <v>24845.5</v>
      </c>
      <c r="E16" s="181">
        <f t="shared" si="2"/>
        <v>7698002.0099999998</v>
      </c>
      <c r="F16" s="181"/>
      <c r="G16" s="294">
        <f>C12*0.15+C16*0.15</f>
        <v>227322.44999999998</v>
      </c>
      <c r="H16" s="294">
        <f>C12*0.85+C10*0.15</f>
        <v>703678.93050000002</v>
      </c>
      <c r="I16" s="181">
        <v>1413968.94</v>
      </c>
      <c r="J16" s="181">
        <f t="shared" si="4"/>
        <v>4297450.5199999996</v>
      </c>
      <c r="K16" s="294">
        <f t="shared" si="3"/>
        <v>2208738.6340000001</v>
      </c>
      <c r="L16" s="181">
        <f t="shared" si="0"/>
        <v>3400551.49</v>
      </c>
      <c r="M16" s="487" t="s">
        <v>1431</v>
      </c>
      <c r="O16" s="1221">
        <v>1024034.32</v>
      </c>
    </row>
    <row r="17" spans="1:18" ht="39.75" customHeight="1">
      <c r="A17" s="405" t="s">
        <v>1432</v>
      </c>
      <c r="B17" s="181">
        <v>704</v>
      </c>
      <c r="C17" s="181">
        <v>190882.09</v>
      </c>
      <c r="D17" s="181">
        <f t="shared" si="1"/>
        <v>25549.5</v>
      </c>
      <c r="E17" s="181">
        <f t="shared" si="2"/>
        <v>7888884.0999999996</v>
      </c>
      <c r="F17" s="294">
        <f>C17*0.15</f>
        <v>28632.3135</v>
      </c>
      <c r="G17" s="294">
        <f>C16*0.15+C17*0.15</f>
        <v>175809.76349999997</v>
      </c>
      <c r="H17" s="294">
        <f>C11*0.15+C16*0.85</f>
        <v>964490.40599999996</v>
      </c>
      <c r="I17" s="181">
        <f>1498354.44+1292872.25</f>
        <v>2791226.69</v>
      </c>
      <c r="J17" s="181">
        <f t="shared" si="4"/>
        <v>7088677.209999999</v>
      </c>
      <c r="K17" s="294">
        <f t="shared" si="3"/>
        <v>382002.35000000009</v>
      </c>
      <c r="L17" s="181">
        <f t="shared" si="0"/>
        <v>800206.8900000006</v>
      </c>
      <c r="M17" s="180" t="s">
        <v>1433</v>
      </c>
      <c r="O17" s="1221">
        <v>389934.62</v>
      </c>
      <c r="P17">
        <f>I16-O16-O17</f>
        <v>0</v>
      </c>
    </row>
    <row r="18" spans="1:18" ht="39.75" customHeight="1">
      <c r="A18" s="405" t="s">
        <v>1434</v>
      </c>
      <c r="B18" s="181">
        <v>247.5</v>
      </c>
      <c r="C18" s="181">
        <v>68373.759999999995</v>
      </c>
      <c r="D18" s="181">
        <f t="shared" si="1"/>
        <v>25797</v>
      </c>
      <c r="E18" s="181">
        <f t="shared" si="2"/>
        <v>7957257.8599999994</v>
      </c>
      <c r="F18" s="1219">
        <f>C18*0.15</f>
        <v>10256.063999999998</v>
      </c>
      <c r="G18" s="294">
        <f>C17*0.15+C18*0.15</f>
        <v>38888.377500000002</v>
      </c>
      <c r="H18" s="294">
        <f>C12*0.15+C17*0.85</f>
        <v>242394.77650000001</v>
      </c>
      <c r="I18" s="181">
        <v>411773.71</v>
      </c>
      <c r="J18" s="181">
        <f t="shared" si="4"/>
        <v>7500450.919999999</v>
      </c>
      <c r="K18" s="294">
        <f t="shared" si="3"/>
        <v>212623.41650000011</v>
      </c>
      <c r="L18" s="181">
        <f t="shared" si="0"/>
        <v>456806.94000000041</v>
      </c>
      <c r="M18" s="181" t="s">
        <v>1435</v>
      </c>
      <c r="O18" s="513">
        <v>921149.68</v>
      </c>
    </row>
    <row r="19" spans="1:18" ht="39.75" customHeight="1">
      <c r="A19" s="405" t="s">
        <v>687</v>
      </c>
      <c r="B19" s="181"/>
      <c r="C19" s="181">
        <v>3516.02</v>
      </c>
      <c r="D19" s="181">
        <f t="shared" si="1"/>
        <v>25797</v>
      </c>
      <c r="E19" s="181">
        <f t="shared" si="2"/>
        <v>7960773.879999999</v>
      </c>
      <c r="F19" s="181"/>
      <c r="G19" s="294">
        <f>C18*0.15+C19*0.15</f>
        <v>10783.466999999999</v>
      </c>
      <c r="H19" s="294">
        <f>C16*0.15+C18*0.85</f>
        <v>205295.14599999998</v>
      </c>
      <c r="I19" s="181">
        <v>186890.46</v>
      </c>
      <c r="J19" s="181">
        <f t="shared" si="4"/>
        <v>7687341.379999999</v>
      </c>
      <c r="K19" s="294">
        <f t="shared" si="3"/>
        <v>231028.10250000012</v>
      </c>
      <c r="L19" s="181">
        <f t="shared" si="0"/>
        <v>273432.5</v>
      </c>
      <c r="M19" s="181" t="s">
        <v>1436</v>
      </c>
      <c r="O19" s="513">
        <v>577204.76</v>
      </c>
    </row>
    <row r="20" spans="1:18" ht="39.75" customHeight="1">
      <c r="A20" s="405" t="s">
        <v>1437</v>
      </c>
      <c r="B20" s="181"/>
      <c r="C20" s="181">
        <v>16839.09</v>
      </c>
      <c r="D20" s="181">
        <f t="shared" si="1"/>
        <v>25797</v>
      </c>
      <c r="E20" s="181">
        <f t="shared" si="2"/>
        <v>7977612.9699999988</v>
      </c>
      <c r="F20" s="181"/>
      <c r="G20" s="294">
        <f>C19*0.15+C20*0.15</f>
        <v>3053.2664999999997</v>
      </c>
      <c r="H20" s="294">
        <f>C17*0.15+C19*0.85</f>
        <v>31620.930499999999</v>
      </c>
      <c r="I20" s="181">
        <v>229316.01</v>
      </c>
      <c r="J20" s="181">
        <f t="shared" si="4"/>
        <v>7916657.3899999987</v>
      </c>
      <c r="K20" s="294">
        <f t="shared" si="3"/>
        <v>33333.023000000103</v>
      </c>
      <c r="L20" s="181">
        <f t="shared" si="0"/>
        <v>60955.580000000075</v>
      </c>
      <c r="M20" s="181" t="s">
        <v>1438</v>
      </c>
      <c r="O20" s="513">
        <v>368103.09</v>
      </c>
    </row>
    <row r="21" spans="1:18" ht="39.75" customHeight="1">
      <c r="A21" s="405"/>
      <c r="B21" s="181"/>
      <c r="C21" s="181"/>
      <c r="D21" s="181"/>
      <c r="E21" s="181"/>
      <c r="F21" s="181"/>
      <c r="G21" s="181"/>
      <c r="H21" s="294">
        <f>C18*0.15+C20*0.85</f>
        <v>24569.290499999996</v>
      </c>
      <c r="I21" s="181"/>
      <c r="J21" s="181"/>
      <c r="K21" s="294">
        <f t="shared" si="3"/>
        <v>57902.313500000098</v>
      </c>
      <c r="L21" s="181"/>
      <c r="M21" s="181"/>
      <c r="O21" s="513">
        <v>924769.16</v>
      </c>
      <c r="P21">
        <f>I17-O18-O20-O19-O21</f>
        <v>0</v>
      </c>
    </row>
    <row r="22" spans="1:18" ht="39.75" customHeight="1">
      <c r="A22" s="405">
        <v>42979</v>
      </c>
      <c r="B22" s="181"/>
      <c r="C22" s="181">
        <v>16839.09</v>
      </c>
      <c r="D22" s="181">
        <v>25797</v>
      </c>
      <c r="E22" s="181">
        <v>7977612.9699999988</v>
      </c>
      <c r="F22" s="181"/>
      <c r="G22" s="181">
        <v>3053.2664999999997</v>
      </c>
      <c r="H22" s="181">
        <v>31620.930499999999</v>
      </c>
      <c r="I22" s="181">
        <v>229316.01</v>
      </c>
      <c r="J22" s="180">
        <v>7916657.3899999987</v>
      </c>
      <c r="K22" s="181">
        <v>33333.023000000103</v>
      </c>
      <c r="L22" s="181">
        <v>60955.580000000075</v>
      </c>
      <c r="M22" s="181" t="s">
        <v>1438</v>
      </c>
      <c r="O22" s="1223">
        <v>249551.85</v>
      </c>
      <c r="P22">
        <f>I18-O22-O23</f>
        <v>0</v>
      </c>
    </row>
    <row r="23" spans="1:18">
      <c r="O23" s="1223">
        <v>162221.85999999999</v>
      </c>
    </row>
    <row r="24" spans="1:18">
      <c r="Q24">
        <v>420977.36</v>
      </c>
      <c r="R24" t="s">
        <v>1439</v>
      </c>
    </row>
    <row r="25" spans="1:18">
      <c r="O25" s="1221">
        <v>63904.51</v>
      </c>
    </row>
    <row r="26" spans="1:18">
      <c r="O26" s="1221">
        <v>124698.04</v>
      </c>
      <c r="P26">
        <f>I20-O25-O26</f>
        <v>40713.460000000006</v>
      </c>
    </row>
    <row r="27" spans="1:18">
      <c r="O27" s="1224"/>
      <c r="Q27" s="1224">
        <v>11413.89</v>
      </c>
      <c r="R27" t="s">
        <v>1440</v>
      </c>
    </row>
    <row r="28" spans="1:18">
      <c r="O28">
        <v>144271.44</v>
      </c>
      <c r="Q28">
        <f>Q27*0.15</f>
        <v>1712.0835</v>
      </c>
    </row>
    <row r="29" spans="1:18">
      <c r="O29">
        <v>85044.57</v>
      </c>
    </row>
    <row r="30" spans="1:18">
      <c r="O30">
        <f>SUM(O10:O29)</f>
        <v>7918369.4799999995</v>
      </c>
    </row>
    <row r="31" spans="1:18">
      <c r="E31" s="434"/>
    </row>
  </sheetData>
  <mergeCells count="12">
    <mergeCell ref="C1:D1"/>
    <mergeCell ref="E1:G1"/>
    <mergeCell ref="I1:J1"/>
    <mergeCell ref="K1:M1"/>
    <mergeCell ref="B2:C2"/>
    <mergeCell ref="E2:F2"/>
    <mergeCell ref="I2:M2"/>
    <mergeCell ref="B3:C3"/>
    <mergeCell ref="B4:G4"/>
    <mergeCell ref="B5:E5"/>
    <mergeCell ref="F5:H5"/>
    <mergeCell ref="L5:M5"/>
  </mergeCells>
  <phoneticPr fontId="84" type="noConversion"/>
  <pageMargins left="0.75" right="0.75" top="1" bottom="1" header="0.5" footer="0.5"/>
  <pageSetup paperSize="9" orientation="portrait" verticalDpi="0"/>
  <headerFooter scaleWithDoc="0" alignWithMargins="0"/>
  <legacyDrawing r:id="rId1"/>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24"/>
  <sheetViews>
    <sheetView topLeftCell="A16" zoomScaleSheetLayoutView="100" workbookViewId="0">
      <selection activeCell="L32" sqref="L32"/>
    </sheetView>
  </sheetViews>
  <sheetFormatPr defaultColWidth="9" defaultRowHeight="14.25"/>
  <cols>
    <col min="1" max="1" width="15.5" customWidth="1"/>
    <col min="2" max="2" width="14" customWidth="1"/>
    <col min="3" max="3" width="14.875" customWidth="1"/>
    <col min="4" max="4" width="14.375" customWidth="1"/>
    <col min="5" max="5" width="18.25" customWidth="1"/>
    <col min="6" max="6" width="17.875" customWidth="1"/>
    <col min="7" max="7" width="14.25" customWidth="1"/>
    <col min="8" max="8" width="16.75" customWidth="1"/>
    <col min="9" max="9" width="16.25" customWidth="1"/>
    <col min="10" max="10" width="17.125" customWidth="1"/>
    <col min="11" max="11" width="13.5" customWidth="1"/>
    <col min="12" max="12" width="13.375" customWidth="1"/>
    <col min="13" max="13" width="24.75" customWidth="1"/>
  </cols>
  <sheetData>
    <row r="1" spans="1:13" ht="35.1" customHeight="1">
      <c r="A1" s="130" t="s">
        <v>1441</v>
      </c>
      <c r="B1" s="131"/>
      <c r="C1" s="132" t="s">
        <v>1442</v>
      </c>
      <c r="D1" s="131" t="s">
        <v>236</v>
      </c>
      <c r="E1" s="1841"/>
      <c r="F1" s="1841"/>
      <c r="G1" s="1841"/>
      <c r="H1" s="1841"/>
      <c r="I1" s="164" t="s">
        <v>237</v>
      </c>
      <c r="J1" s="1842" t="s">
        <v>1443</v>
      </c>
      <c r="K1" s="1842"/>
      <c r="L1" s="1842" t="s">
        <v>1444</v>
      </c>
      <c r="M1" s="1843"/>
    </row>
    <row r="2" spans="1:13" ht="36" customHeight="1">
      <c r="A2" s="133" t="s">
        <v>240</v>
      </c>
      <c r="B2" s="1682" t="s">
        <v>1445</v>
      </c>
      <c r="C2" s="1682"/>
      <c r="D2" s="134" t="s">
        <v>242</v>
      </c>
      <c r="E2" s="1689" t="s">
        <v>1446</v>
      </c>
      <c r="F2" s="1689"/>
      <c r="G2" s="1689"/>
      <c r="H2" s="1689"/>
      <c r="I2" s="166" t="s">
        <v>243</v>
      </c>
      <c r="J2" s="21"/>
      <c r="K2" s="166" t="s">
        <v>245</v>
      </c>
      <c r="L2" s="1844"/>
      <c r="M2" s="1845"/>
    </row>
    <row r="3" spans="1:13" ht="36.950000000000003" customHeight="1">
      <c r="A3" s="133" t="s">
        <v>247</v>
      </c>
      <c r="B3" s="1682" t="s">
        <v>1447</v>
      </c>
      <c r="C3" s="1682"/>
      <c r="D3" s="134" t="s">
        <v>249</v>
      </c>
      <c r="E3" s="136" t="s">
        <v>305</v>
      </c>
      <c r="F3" s="134" t="s">
        <v>251</v>
      </c>
      <c r="G3" s="134" t="s">
        <v>1448</v>
      </c>
      <c r="H3" s="134" t="s">
        <v>252</v>
      </c>
      <c r="I3" s="15">
        <v>13903044155</v>
      </c>
      <c r="J3" s="15" t="s">
        <v>565</v>
      </c>
      <c r="K3" s="15" t="s">
        <v>1448</v>
      </c>
      <c r="L3" s="15" t="s">
        <v>255</v>
      </c>
      <c r="M3" s="92" t="s">
        <v>1448</v>
      </c>
    </row>
    <row r="4" spans="1:13" ht="36.950000000000003" customHeight="1">
      <c r="A4" s="133" t="s">
        <v>260</v>
      </c>
      <c r="B4" s="1726" t="s">
        <v>1449</v>
      </c>
      <c r="C4" s="1726"/>
      <c r="D4" s="1726"/>
      <c r="E4" s="1726"/>
      <c r="F4" s="1726"/>
      <c r="G4" s="1726"/>
      <c r="H4" s="1726"/>
      <c r="I4" s="1726"/>
      <c r="J4" s="1697" t="s">
        <v>1450</v>
      </c>
      <c r="K4" s="1697"/>
      <c r="L4" s="1697"/>
      <c r="M4" s="1846"/>
    </row>
    <row r="5" spans="1:13" ht="42.95" customHeight="1">
      <c r="A5" s="1688" t="s">
        <v>660</v>
      </c>
      <c r="B5" s="1689"/>
      <c r="C5" s="1689"/>
      <c r="D5" s="1726" t="s">
        <v>1451</v>
      </c>
      <c r="E5" s="1726"/>
      <c r="F5" s="1726"/>
      <c r="G5" s="1690"/>
      <c r="H5" s="1690"/>
      <c r="I5" s="1690"/>
      <c r="J5" s="1847"/>
      <c r="K5" s="1847"/>
      <c r="L5" s="1847"/>
      <c r="M5" s="1848"/>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3" customHeight="1">
      <c r="A7" s="139">
        <v>41153</v>
      </c>
      <c r="B7" s="140">
        <v>916</v>
      </c>
      <c r="C7" s="140">
        <v>238160</v>
      </c>
      <c r="D7" s="140">
        <f>B7</f>
        <v>916</v>
      </c>
      <c r="E7" s="140">
        <f>C7</f>
        <v>238160</v>
      </c>
      <c r="F7" s="140">
        <f t="shared" ref="F7:F21" si="0">30000-D7</f>
        <v>29084</v>
      </c>
      <c r="G7" s="46"/>
      <c r="H7" s="141"/>
      <c r="I7" s="140"/>
      <c r="J7" s="140"/>
      <c r="K7" s="140"/>
      <c r="L7" s="140">
        <f t="shared" ref="L7:L21" si="1">E7-J7</f>
        <v>238160</v>
      </c>
      <c r="M7" s="171" t="s">
        <v>1452</v>
      </c>
    </row>
    <row r="8" spans="1:13" ht="33" customHeight="1">
      <c r="A8" s="139">
        <v>41183</v>
      </c>
      <c r="B8" s="140">
        <v>1476.5</v>
      </c>
      <c r="C8" s="140">
        <v>385760</v>
      </c>
      <c r="D8" s="140">
        <f t="shared" ref="D8:D21" si="2">D7+B8</f>
        <v>2392.5</v>
      </c>
      <c r="E8" s="140">
        <f t="shared" ref="E8:E21" si="3">E7+C8</f>
        <v>623920</v>
      </c>
      <c r="F8" s="140">
        <f t="shared" si="0"/>
        <v>27607.5</v>
      </c>
      <c r="G8" s="46"/>
      <c r="H8" s="141">
        <f t="shared" ref="H8:H21" si="4">C7</f>
        <v>238160</v>
      </c>
      <c r="I8" s="140">
        <f>C7</f>
        <v>238160</v>
      </c>
      <c r="J8" s="140">
        <f>I8</f>
        <v>238160</v>
      </c>
      <c r="K8" s="140">
        <f t="shared" ref="K8:K21" si="5">K7+H8-I8</f>
        <v>0</v>
      </c>
      <c r="L8" s="140">
        <f t="shared" si="1"/>
        <v>385760</v>
      </c>
      <c r="M8" s="171"/>
    </row>
    <row r="9" spans="1:13" ht="33" customHeight="1">
      <c r="A9" s="139">
        <v>41214</v>
      </c>
      <c r="B9" s="140">
        <v>1504</v>
      </c>
      <c r="C9" s="140">
        <v>388840</v>
      </c>
      <c r="D9" s="140">
        <f t="shared" si="2"/>
        <v>3896.5</v>
      </c>
      <c r="E9" s="140">
        <f t="shared" si="3"/>
        <v>1012760</v>
      </c>
      <c r="F9" s="140">
        <f t="shared" si="0"/>
        <v>26103.5</v>
      </c>
      <c r="G9" s="46"/>
      <c r="H9" s="141">
        <f t="shared" si="4"/>
        <v>385760</v>
      </c>
      <c r="I9" s="140">
        <v>0</v>
      </c>
      <c r="J9" s="140">
        <f t="shared" ref="J9:J21" si="6">J8+I9</f>
        <v>238160</v>
      </c>
      <c r="K9" s="140">
        <f t="shared" si="5"/>
        <v>385760</v>
      </c>
      <c r="L9" s="140">
        <f t="shared" si="1"/>
        <v>774600</v>
      </c>
      <c r="M9" s="171" t="s">
        <v>1453</v>
      </c>
    </row>
    <row r="10" spans="1:13" ht="33" customHeight="1">
      <c r="A10" s="139">
        <v>41244</v>
      </c>
      <c r="B10" s="140">
        <v>1642.5</v>
      </c>
      <c r="C10" s="140">
        <v>418775</v>
      </c>
      <c r="D10" s="140">
        <f t="shared" si="2"/>
        <v>5539</v>
      </c>
      <c r="E10" s="140">
        <f t="shared" si="3"/>
        <v>1431535</v>
      </c>
      <c r="F10" s="140">
        <f t="shared" si="0"/>
        <v>24461</v>
      </c>
      <c r="G10" s="46"/>
      <c r="H10" s="141">
        <f t="shared" si="4"/>
        <v>388840</v>
      </c>
      <c r="I10" s="140">
        <v>385760</v>
      </c>
      <c r="J10" s="140">
        <f t="shared" si="6"/>
        <v>623920</v>
      </c>
      <c r="K10" s="140">
        <f t="shared" si="5"/>
        <v>388840</v>
      </c>
      <c r="L10" s="140">
        <f t="shared" si="1"/>
        <v>807615</v>
      </c>
      <c r="M10" s="171" t="s">
        <v>1454</v>
      </c>
    </row>
    <row r="11" spans="1:13" ht="33" customHeight="1">
      <c r="A11" s="139">
        <v>41275</v>
      </c>
      <c r="B11" s="140">
        <v>1394.5</v>
      </c>
      <c r="C11" s="140">
        <v>418062.5</v>
      </c>
      <c r="D11" s="140">
        <f t="shared" si="2"/>
        <v>6933.5</v>
      </c>
      <c r="E11" s="140">
        <f t="shared" si="3"/>
        <v>1849597.5</v>
      </c>
      <c r="F11" s="140">
        <f t="shared" si="0"/>
        <v>23066.5</v>
      </c>
      <c r="G11" s="46"/>
      <c r="H11" s="141">
        <f t="shared" si="4"/>
        <v>418775</v>
      </c>
      <c r="I11" s="140">
        <f>388840+418775</f>
        <v>807615</v>
      </c>
      <c r="J11" s="140">
        <f t="shared" si="6"/>
        <v>1431535</v>
      </c>
      <c r="K11" s="140">
        <f t="shared" si="5"/>
        <v>0</v>
      </c>
      <c r="L11" s="140">
        <f t="shared" si="1"/>
        <v>418062.5</v>
      </c>
      <c r="M11" s="171" t="s">
        <v>1455</v>
      </c>
    </row>
    <row r="12" spans="1:13" ht="33" customHeight="1">
      <c r="A12" s="139">
        <v>41306</v>
      </c>
      <c r="B12" s="140">
        <v>214.5</v>
      </c>
      <c r="C12" s="140">
        <v>61242.5</v>
      </c>
      <c r="D12" s="140">
        <f t="shared" si="2"/>
        <v>7148</v>
      </c>
      <c r="E12" s="140">
        <f t="shared" si="3"/>
        <v>1910840</v>
      </c>
      <c r="F12" s="140">
        <f t="shared" si="0"/>
        <v>22852</v>
      </c>
      <c r="G12" s="46"/>
      <c r="H12" s="141">
        <f t="shared" si="4"/>
        <v>418062.5</v>
      </c>
      <c r="I12" s="140">
        <v>0</v>
      </c>
      <c r="J12" s="140">
        <f t="shared" si="6"/>
        <v>1431535</v>
      </c>
      <c r="K12" s="140">
        <f t="shared" si="5"/>
        <v>418062.5</v>
      </c>
      <c r="L12" s="140">
        <f t="shared" si="1"/>
        <v>479305</v>
      </c>
      <c r="M12" s="171"/>
    </row>
    <row r="13" spans="1:13" ht="33" customHeight="1">
      <c r="A13" s="139">
        <v>41334</v>
      </c>
      <c r="B13" s="140">
        <v>895.5</v>
      </c>
      <c r="C13" s="140">
        <v>254047.5</v>
      </c>
      <c r="D13" s="140">
        <f t="shared" si="2"/>
        <v>8043.5</v>
      </c>
      <c r="E13" s="140">
        <f t="shared" si="3"/>
        <v>2164887.5</v>
      </c>
      <c r="F13" s="140">
        <f t="shared" si="0"/>
        <v>21956.5</v>
      </c>
      <c r="G13" s="46"/>
      <c r="H13" s="141">
        <f t="shared" si="4"/>
        <v>61242.5</v>
      </c>
      <c r="I13" s="140">
        <v>0</v>
      </c>
      <c r="J13" s="140">
        <f t="shared" si="6"/>
        <v>1431535</v>
      </c>
      <c r="K13" s="140">
        <f t="shared" si="5"/>
        <v>479305</v>
      </c>
      <c r="L13" s="140">
        <f t="shared" si="1"/>
        <v>733352.5</v>
      </c>
      <c r="M13" s="171" t="s">
        <v>1456</v>
      </c>
    </row>
    <row r="14" spans="1:13" ht="33" customHeight="1">
      <c r="A14" s="139">
        <v>41365</v>
      </c>
      <c r="B14" s="140">
        <v>544</v>
      </c>
      <c r="C14" s="140">
        <v>159740</v>
      </c>
      <c r="D14" s="140">
        <f t="shared" si="2"/>
        <v>8587.5</v>
      </c>
      <c r="E14" s="140">
        <f t="shared" si="3"/>
        <v>2324627.5</v>
      </c>
      <c r="F14" s="140">
        <f t="shared" si="0"/>
        <v>21412.5</v>
      </c>
      <c r="G14" s="46"/>
      <c r="H14" s="141">
        <f t="shared" si="4"/>
        <v>254047.5</v>
      </c>
      <c r="I14" s="140">
        <v>418062</v>
      </c>
      <c r="J14" s="140">
        <f t="shared" si="6"/>
        <v>1849597</v>
      </c>
      <c r="K14" s="140">
        <f t="shared" si="5"/>
        <v>315290.5</v>
      </c>
      <c r="L14" s="140">
        <f t="shared" si="1"/>
        <v>475030.5</v>
      </c>
      <c r="M14" s="171"/>
    </row>
    <row r="15" spans="1:13" ht="33" customHeight="1">
      <c r="A15" s="139">
        <v>41395</v>
      </c>
      <c r="B15" s="140">
        <v>470</v>
      </c>
      <c r="C15" s="140">
        <v>140365</v>
      </c>
      <c r="D15" s="140">
        <f t="shared" si="2"/>
        <v>9057.5</v>
      </c>
      <c r="E15" s="140">
        <f t="shared" si="3"/>
        <v>2464992.5</v>
      </c>
      <c r="F15" s="140">
        <f t="shared" si="0"/>
        <v>20942.5</v>
      </c>
      <c r="G15" s="46"/>
      <c r="H15" s="141">
        <f t="shared" si="4"/>
        <v>159740</v>
      </c>
      <c r="I15" s="140">
        <v>0</v>
      </c>
      <c r="J15" s="140">
        <f t="shared" si="6"/>
        <v>1849597</v>
      </c>
      <c r="K15" s="140">
        <f t="shared" si="5"/>
        <v>475030.5</v>
      </c>
      <c r="L15" s="140">
        <f t="shared" si="1"/>
        <v>615395.5</v>
      </c>
      <c r="M15" s="171"/>
    </row>
    <row r="16" spans="1:13" ht="33" customHeight="1">
      <c r="A16" s="1214">
        <v>41426</v>
      </c>
      <c r="B16" s="140">
        <f>164.5+648.5</f>
        <v>813</v>
      </c>
      <c r="C16" s="140">
        <f>49777.5+200707.5</f>
        <v>250485</v>
      </c>
      <c r="D16" s="140">
        <f t="shared" si="2"/>
        <v>9870.5</v>
      </c>
      <c r="E16" s="140">
        <f t="shared" si="3"/>
        <v>2715477.5</v>
      </c>
      <c r="F16" s="140">
        <f t="shared" si="0"/>
        <v>20129.5</v>
      </c>
      <c r="G16" s="46"/>
      <c r="H16" s="141">
        <f t="shared" si="4"/>
        <v>140365</v>
      </c>
      <c r="I16" s="140">
        <v>0</v>
      </c>
      <c r="J16" s="140">
        <f t="shared" si="6"/>
        <v>1849597</v>
      </c>
      <c r="K16" s="140">
        <f t="shared" si="5"/>
        <v>615395.5</v>
      </c>
      <c r="L16" s="140">
        <f t="shared" si="1"/>
        <v>865880.5</v>
      </c>
      <c r="M16" s="171"/>
    </row>
    <row r="17" spans="1:13" ht="33" customHeight="1">
      <c r="A17" s="139">
        <v>41456</v>
      </c>
      <c r="B17" s="140">
        <v>361.5</v>
      </c>
      <c r="C17" s="337">
        <v>98867.5</v>
      </c>
      <c r="D17" s="140">
        <f t="shared" si="2"/>
        <v>10232</v>
      </c>
      <c r="E17" s="140">
        <f t="shared" si="3"/>
        <v>2814345</v>
      </c>
      <c r="F17" s="140">
        <f t="shared" si="0"/>
        <v>19768</v>
      </c>
      <c r="G17" s="46"/>
      <c r="H17" s="141">
        <f t="shared" si="4"/>
        <v>250485</v>
      </c>
      <c r="I17" s="140">
        <v>0</v>
      </c>
      <c r="J17" s="140">
        <f t="shared" si="6"/>
        <v>1849597</v>
      </c>
      <c r="K17" s="140">
        <f t="shared" si="5"/>
        <v>865880.5</v>
      </c>
      <c r="L17" s="140">
        <f t="shared" si="1"/>
        <v>964748</v>
      </c>
      <c r="M17" s="171"/>
    </row>
    <row r="18" spans="1:13" ht="33" customHeight="1">
      <c r="A18" s="139">
        <v>41487</v>
      </c>
      <c r="B18" s="140">
        <v>10</v>
      </c>
      <c r="C18" s="337">
        <v>3850</v>
      </c>
      <c r="D18" s="140">
        <f t="shared" si="2"/>
        <v>10242</v>
      </c>
      <c r="E18" s="140">
        <f t="shared" si="3"/>
        <v>2818195</v>
      </c>
      <c r="F18" s="140">
        <f t="shared" si="0"/>
        <v>19758</v>
      </c>
      <c r="G18" s="46"/>
      <c r="H18" s="141">
        <f t="shared" si="4"/>
        <v>98867.5</v>
      </c>
      <c r="I18" s="140">
        <v>0</v>
      </c>
      <c r="J18" s="140">
        <f t="shared" si="6"/>
        <v>1849597</v>
      </c>
      <c r="K18" s="140">
        <f t="shared" si="5"/>
        <v>964748</v>
      </c>
      <c r="L18" s="140">
        <f t="shared" si="1"/>
        <v>968598</v>
      </c>
      <c r="M18" s="171"/>
    </row>
    <row r="19" spans="1:13" ht="33" customHeight="1">
      <c r="A19" s="725">
        <v>41518</v>
      </c>
      <c r="B19" s="612">
        <v>114.5</v>
      </c>
      <c r="C19" s="735">
        <v>26587.5</v>
      </c>
      <c r="D19" s="140">
        <f t="shared" si="2"/>
        <v>10356.5</v>
      </c>
      <c r="E19" s="140">
        <f t="shared" si="3"/>
        <v>2844782.5</v>
      </c>
      <c r="F19" s="140">
        <f t="shared" si="0"/>
        <v>19643.5</v>
      </c>
      <c r="G19" s="46"/>
      <c r="H19" s="141">
        <f t="shared" si="4"/>
        <v>3850</v>
      </c>
      <c r="I19" s="140">
        <v>0</v>
      </c>
      <c r="J19" s="140">
        <f t="shared" si="6"/>
        <v>1849597</v>
      </c>
      <c r="K19" s="140">
        <f t="shared" si="5"/>
        <v>968598</v>
      </c>
      <c r="L19" s="140">
        <f t="shared" si="1"/>
        <v>995185.5</v>
      </c>
      <c r="M19" s="740" t="s">
        <v>1457</v>
      </c>
    </row>
    <row r="20" spans="1:13" ht="33" customHeight="1">
      <c r="A20" s="725">
        <v>41640</v>
      </c>
      <c r="B20" s="612">
        <v>0</v>
      </c>
      <c r="C20" s="735">
        <v>0</v>
      </c>
      <c r="D20" s="140">
        <f t="shared" si="2"/>
        <v>10356.5</v>
      </c>
      <c r="E20" s="140">
        <f t="shared" si="3"/>
        <v>2844782.5</v>
      </c>
      <c r="F20" s="140">
        <f t="shared" si="0"/>
        <v>19643.5</v>
      </c>
      <c r="G20" s="128"/>
      <c r="H20" s="141">
        <f t="shared" si="4"/>
        <v>26587.5</v>
      </c>
      <c r="I20" s="612">
        <v>210765.5</v>
      </c>
      <c r="J20" s="140">
        <f t="shared" si="6"/>
        <v>2060362.5</v>
      </c>
      <c r="K20" s="140">
        <f t="shared" si="5"/>
        <v>784420</v>
      </c>
      <c r="L20" s="140">
        <f t="shared" si="1"/>
        <v>784420</v>
      </c>
      <c r="M20" s="740"/>
    </row>
    <row r="21" spans="1:13" ht="33" customHeight="1">
      <c r="A21" s="725">
        <v>41671</v>
      </c>
      <c r="B21" s="612">
        <v>0</v>
      </c>
      <c r="C21" s="735">
        <v>0</v>
      </c>
      <c r="D21" s="140">
        <f t="shared" si="2"/>
        <v>10356.5</v>
      </c>
      <c r="E21" s="140">
        <f t="shared" si="3"/>
        <v>2844782.5</v>
      </c>
      <c r="F21" s="140">
        <f t="shared" si="0"/>
        <v>19643.5</v>
      </c>
      <c r="G21" s="128"/>
      <c r="H21" s="141">
        <f t="shared" si="4"/>
        <v>0</v>
      </c>
      <c r="I21" s="612">
        <v>0</v>
      </c>
      <c r="J21" s="140">
        <f t="shared" si="6"/>
        <v>2060362.5</v>
      </c>
      <c r="K21" s="140">
        <f t="shared" si="5"/>
        <v>784420</v>
      </c>
      <c r="L21" s="140">
        <f t="shared" si="1"/>
        <v>784420</v>
      </c>
      <c r="M21" s="740" t="s">
        <v>1458</v>
      </c>
    </row>
    <row r="22" spans="1:13" ht="33" customHeight="1"/>
    <row r="23" spans="1:13" ht="33" customHeight="1"/>
    <row r="24" spans="1:13" ht="33" customHeight="1"/>
  </sheetData>
  <mergeCells count="13">
    <mergeCell ref="B3:C3"/>
    <mergeCell ref="B4:I4"/>
    <mergeCell ref="J4:M4"/>
    <mergeCell ref="A5:C5"/>
    <mergeCell ref="D5:F5"/>
    <mergeCell ref="G5:I5"/>
    <mergeCell ref="J5:M5"/>
    <mergeCell ref="E1:H1"/>
    <mergeCell ref="J1:K1"/>
    <mergeCell ref="L1:M1"/>
    <mergeCell ref="B2:C2"/>
    <mergeCell ref="E2:H2"/>
    <mergeCell ref="L2:M2"/>
  </mergeCells>
  <phoneticPr fontId="84" type="noConversion"/>
  <pageMargins left="0.75" right="0.75" top="1" bottom="1" header="0.51" footer="0.51"/>
  <legacy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2"/>
  <sheetViews>
    <sheetView topLeftCell="A40" zoomScaleSheetLayoutView="100" workbookViewId="0">
      <selection activeCell="A50" sqref="A50"/>
    </sheetView>
  </sheetViews>
  <sheetFormatPr defaultColWidth="9" defaultRowHeight="14.25"/>
  <cols>
    <col min="1" max="2" width="14.75" customWidth="1"/>
    <col min="3" max="3" width="13.25" customWidth="1"/>
    <col min="4" max="4" width="15.5" customWidth="1"/>
    <col min="5" max="5" width="13.875" customWidth="1"/>
    <col min="6" max="6" width="12.25" customWidth="1"/>
    <col min="7" max="7" width="14.875" customWidth="1"/>
    <col min="8" max="8" width="12.25" customWidth="1"/>
    <col min="9" max="9" width="16" customWidth="1"/>
    <col min="10" max="10" width="12.375" customWidth="1"/>
    <col min="11" max="11" width="13.375" customWidth="1"/>
    <col min="12" max="12" width="15.125" customWidth="1"/>
    <col min="13" max="13" width="27.375" customWidth="1"/>
  </cols>
  <sheetData>
    <row r="1" spans="1:13" ht="65.099999999999994" customHeight="1">
      <c r="A1" s="34" t="s">
        <v>556</v>
      </c>
      <c r="B1" s="176"/>
      <c r="C1" s="1849" t="s">
        <v>1459</v>
      </c>
      <c r="D1" s="1849"/>
      <c r="E1" s="38" t="s">
        <v>236</v>
      </c>
      <c r="F1" s="1790" t="s">
        <v>1460</v>
      </c>
      <c r="G1" s="1790"/>
      <c r="H1" s="57" t="s">
        <v>1461</v>
      </c>
      <c r="I1" s="1791" t="s">
        <v>1462</v>
      </c>
      <c r="J1" s="1791"/>
      <c r="K1" s="1791"/>
      <c r="L1" s="1209"/>
      <c r="M1" s="1210"/>
    </row>
    <row r="2" spans="1:13" ht="36" customHeight="1">
      <c r="A2" s="39" t="s">
        <v>240</v>
      </c>
      <c r="B2" s="1637" t="s">
        <v>1463</v>
      </c>
      <c r="C2" s="1637"/>
      <c r="D2" s="41" t="s">
        <v>242</v>
      </c>
      <c r="E2" s="1746"/>
      <c r="F2" s="1746"/>
      <c r="G2" s="1746"/>
      <c r="H2" s="1746"/>
      <c r="I2" s="41" t="s">
        <v>243</v>
      </c>
      <c r="J2" s="1637" t="s">
        <v>1464</v>
      </c>
      <c r="K2" s="1637"/>
      <c r="L2" s="177" t="s">
        <v>245</v>
      </c>
      <c r="M2" s="1200" t="s">
        <v>1465</v>
      </c>
    </row>
    <row r="3" spans="1:13" ht="41.1" customHeight="1">
      <c r="A3" s="39" t="s">
        <v>247</v>
      </c>
      <c r="B3" s="1637" t="s">
        <v>1466</v>
      </c>
      <c r="C3" s="1637"/>
      <c r="D3" s="41" t="s">
        <v>249</v>
      </c>
      <c r="E3" s="40" t="s">
        <v>1467</v>
      </c>
      <c r="F3" s="41" t="s">
        <v>251</v>
      </c>
      <c r="G3" s="40"/>
      <c r="H3" s="177" t="s">
        <v>252</v>
      </c>
      <c r="I3" s="1170">
        <v>13425009899</v>
      </c>
      <c r="J3" s="91" t="s">
        <v>253</v>
      </c>
      <c r="K3" s="15" t="s">
        <v>1468</v>
      </c>
      <c r="L3" s="15" t="s">
        <v>1469</v>
      </c>
      <c r="M3" s="92" t="s">
        <v>1470</v>
      </c>
    </row>
    <row r="4" spans="1:13" ht="68.099999999999994" customHeight="1">
      <c r="A4" s="39" t="s">
        <v>260</v>
      </c>
      <c r="B4" s="1850" t="s">
        <v>1471</v>
      </c>
      <c r="C4" s="1850"/>
      <c r="D4" s="1850"/>
      <c r="E4" s="1850"/>
      <c r="F4" s="1851" t="s">
        <v>1472</v>
      </c>
      <c r="G4" s="1851"/>
      <c r="H4" s="1852"/>
      <c r="I4" s="1850" t="s">
        <v>1473</v>
      </c>
      <c r="J4" s="1850"/>
      <c r="K4" s="1211"/>
      <c r="L4" s="1850"/>
      <c r="M4" s="1853"/>
    </row>
    <row r="5" spans="1:13" ht="24" customHeight="1">
      <c r="A5" s="39" t="s">
        <v>258</v>
      </c>
      <c r="B5" s="1765"/>
      <c r="C5" s="1765"/>
      <c r="D5" s="1765"/>
      <c r="E5" s="1765"/>
      <c r="F5" s="1765"/>
      <c r="G5" s="1765"/>
      <c r="H5" s="1786"/>
      <c r="I5" s="1786"/>
      <c r="J5" s="1786"/>
      <c r="K5" s="1786"/>
      <c r="L5" s="178"/>
      <c r="M5" s="1134"/>
    </row>
    <row r="6" spans="1:13" ht="39" customHeight="1">
      <c r="A6" s="19" t="s">
        <v>266</v>
      </c>
      <c r="B6" s="20" t="s">
        <v>1474</v>
      </c>
      <c r="C6" s="20" t="s">
        <v>268</v>
      </c>
      <c r="D6" s="20" t="s">
        <v>1475</v>
      </c>
      <c r="E6" s="20" t="s">
        <v>270</v>
      </c>
      <c r="F6" s="20" t="s">
        <v>1476</v>
      </c>
      <c r="G6" s="21" t="s">
        <v>272</v>
      </c>
      <c r="H6" s="22" t="s">
        <v>273</v>
      </c>
      <c r="I6" s="20" t="s">
        <v>274</v>
      </c>
      <c r="J6" s="70" t="s">
        <v>275</v>
      </c>
      <c r="K6" s="70" t="s">
        <v>276</v>
      </c>
      <c r="L6" s="20" t="s">
        <v>277</v>
      </c>
      <c r="M6" s="71" t="s">
        <v>278</v>
      </c>
    </row>
    <row r="7" spans="1:13" ht="27" customHeight="1">
      <c r="A7" s="45">
        <v>41671</v>
      </c>
      <c r="B7" s="46">
        <v>25</v>
      </c>
      <c r="C7" s="46">
        <v>7125</v>
      </c>
      <c r="D7" s="46">
        <f>B7</f>
        <v>25</v>
      </c>
      <c r="E7" s="46">
        <f>C7</f>
        <v>7125</v>
      </c>
      <c r="F7" s="46"/>
      <c r="G7" s="47"/>
      <c r="H7" s="47"/>
      <c r="I7" s="47"/>
      <c r="J7" s="47"/>
      <c r="K7" s="47"/>
      <c r="L7" s="47">
        <f t="shared" ref="L7:L49" si="0">E7-J7</f>
        <v>7125</v>
      </c>
      <c r="M7" s="989"/>
    </row>
    <row r="8" spans="1:13" ht="27" customHeight="1">
      <c r="A8" s="45">
        <v>41699</v>
      </c>
      <c r="B8" s="46">
        <v>0</v>
      </c>
      <c r="C8" s="46">
        <v>0</v>
      </c>
      <c r="D8" s="46">
        <f t="shared" ref="D8:D49" si="1">D7+B8</f>
        <v>25</v>
      </c>
      <c r="E8" s="46">
        <f t="shared" ref="E8:E49" si="2">E7+C8</f>
        <v>7125</v>
      </c>
      <c r="F8" s="46"/>
      <c r="G8" s="47"/>
      <c r="H8" s="47"/>
      <c r="I8" s="47"/>
      <c r="J8" s="47"/>
      <c r="K8" s="47">
        <f t="shared" ref="K8:K50" si="3">K7+H8-I8</f>
        <v>0</v>
      </c>
      <c r="L8" s="47">
        <f t="shared" si="0"/>
        <v>7125</v>
      </c>
      <c r="M8" s="989"/>
    </row>
    <row r="9" spans="1:13" ht="27" customHeight="1">
      <c r="A9" s="45">
        <v>41730</v>
      </c>
      <c r="B9" s="46">
        <v>24</v>
      </c>
      <c r="C9" s="46">
        <v>7950</v>
      </c>
      <c r="D9" s="46">
        <f t="shared" si="1"/>
        <v>49</v>
      </c>
      <c r="E9" s="46">
        <f t="shared" si="2"/>
        <v>15075</v>
      </c>
      <c r="F9" s="46"/>
      <c r="G9" s="47"/>
      <c r="H9" s="47">
        <f t="shared" ref="H9:H50" si="4">C7</f>
        <v>7125</v>
      </c>
      <c r="I9" s="47"/>
      <c r="J9" s="47"/>
      <c r="K9" s="47">
        <f t="shared" si="3"/>
        <v>7125</v>
      </c>
      <c r="L9" s="47">
        <f t="shared" si="0"/>
        <v>15075</v>
      </c>
      <c r="M9" s="989"/>
    </row>
    <row r="10" spans="1:13" ht="27" customHeight="1">
      <c r="A10" s="1208">
        <v>41760</v>
      </c>
      <c r="B10" s="46">
        <v>41</v>
      </c>
      <c r="C10" s="46">
        <v>12790</v>
      </c>
      <c r="D10" s="46">
        <f t="shared" si="1"/>
        <v>90</v>
      </c>
      <c r="E10" s="46">
        <f t="shared" si="2"/>
        <v>27865</v>
      </c>
      <c r="F10" s="46"/>
      <c r="G10" s="47">
        <f t="shared" ref="G10:G49" si="5">C10</f>
        <v>12790</v>
      </c>
      <c r="H10" s="47">
        <f t="shared" si="4"/>
        <v>0</v>
      </c>
      <c r="I10" s="47"/>
      <c r="J10" s="47"/>
      <c r="K10" s="47">
        <f t="shared" si="3"/>
        <v>7125</v>
      </c>
      <c r="L10" s="47">
        <f t="shared" si="0"/>
        <v>27865</v>
      </c>
      <c r="M10" s="989"/>
    </row>
    <row r="11" spans="1:13" ht="27" customHeight="1">
      <c r="A11" s="985">
        <v>41791</v>
      </c>
      <c r="B11" s="180">
        <v>469</v>
      </c>
      <c r="C11" s="180">
        <v>155708</v>
      </c>
      <c r="D11" s="180">
        <f t="shared" si="1"/>
        <v>559</v>
      </c>
      <c r="E11" s="180">
        <f t="shared" si="2"/>
        <v>183573</v>
      </c>
      <c r="F11" s="180"/>
      <c r="G11" s="181">
        <f t="shared" si="5"/>
        <v>155708</v>
      </c>
      <c r="H11" s="181">
        <f t="shared" si="4"/>
        <v>7950</v>
      </c>
      <c r="I11" s="181"/>
      <c r="J11" s="181"/>
      <c r="K11" s="181">
        <f t="shared" si="3"/>
        <v>15075</v>
      </c>
      <c r="L11" s="181">
        <f t="shared" si="0"/>
        <v>183573</v>
      </c>
      <c r="M11" s="990"/>
    </row>
    <row r="12" spans="1:13" ht="27" customHeight="1">
      <c r="A12" s="985">
        <v>41822</v>
      </c>
      <c r="B12" s="180">
        <v>456</v>
      </c>
      <c r="C12" s="180">
        <v>151392</v>
      </c>
      <c r="D12" s="180">
        <f t="shared" si="1"/>
        <v>1015</v>
      </c>
      <c r="E12" s="180">
        <f t="shared" si="2"/>
        <v>334965</v>
      </c>
      <c r="F12" s="180"/>
      <c r="G12" s="181">
        <f t="shared" si="5"/>
        <v>151392</v>
      </c>
      <c r="H12" s="181">
        <f t="shared" si="4"/>
        <v>12790</v>
      </c>
      <c r="I12" s="181"/>
      <c r="J12" s="181"/>
      <c r="K12" s="181">
        <f t="shared" si="3"/>
        <v>27865</v>
      </c>
      <c r="L12" s="181">
        <f t="shared" si="0"/>
        <v>334965</v>
      </c>
      <c r="M12" s="990"/>
    </row>
    <row r="13" spans="1:13" ht="27" customHeight="1">
      <c r="A13" s="985">
        <v>41853</v>
      </c>
      <c r="B13" s="180">
        <v>349</v>
      </c>
      <c r="C13" s="180">
        <v>115568</v>
      </c>
      <c r="D13" s="180">
        <f t="shared" si="1"/>
        <v>1364</v>
      </c>
      <c r="E13" s="180">
        <f t="shared" si="2"/>
        <v>450533</v>
      </c>
      <c r="F13" s="180"/>
      <c r="G13" s="181">
        <f t="shared" si="5"/>
        <v>115568</v>
      </c>
      <c r="H13" s="181">
        <f t="shared" si="4"/>
        <v>155708</v>
      </c>
      <c r="I13" s="181"/>
      <c r="J13" s="181"/>
      <c r="K13" s="181">
        <f t="shared" si="3"/>
        <v>183573</v>
      </c>
      <c r="L13" s="181">
        <f t="shared" si="0"/>
        <v>450533</v>
      </c>
      <c r="M13" s="990"/>
    </row>
    <row r="14" spans="1:13" ht="27" customHeight="1">
      <c r="A14" s="985">
        <v>41884</v>
      </c>
      <c r="B14" s="340">
        <v>130</v>
      </c>
      <c r="C14" s="340">
        <v>41735</v>
      </c>
      <c r="D14" s="180">
        <f t="shared" si="1"/>
        <v>1494</v>
      </c>
      <c r="E14" s="180">
        <f t="shared" si="2"/>
        <v>492268</v>
      </c>
      <c r="F14" s="340"/>
      <c r="G14" s="181">
        <f t="shared" si="5"/>
        <v>41735</v>
      </c>
      <c r="H14" s="181">
        <f t="shared" si="4"/>
        <v>151392</v>
      </c>
      <c r="I14" s="457"/>
      <c r="J14" s="457"/>
      <c r="K14" s="181">
        <f t="shared" si="3"/>
        <v>334965</v>
      </c>
      <c r="L14" s="181">
        <f t="shared" si="0"/>
        <v>492268</v>
      </c>
      <c r="M14" s="990"/>
    </row>
    <row r="15" spans="1:13" ht="27" customHeight="1">
      <c r="A15" s="985">
        <v>41914</v>
      </c>
      <c r="B15" s="340">
        <v>273</v>
      </c>
      <c r="C15" s="340">
        <v>85941</v>
      </c>
      <c r="D15" s="180">
        <f t="shared" si="1"/>
        <v>1767</v>
      </c>
      <c r="E15" s="180">
        <f t="shared" si="2"/>
        <v>578209</v>
      </c>
      <c r="F15" s="340"/>
      <c r="G15" s="181">
        <f t="shared" si="5"/>
        <v>85941</v>
      </c>
      <c r="H15" s="181">
        <f t="shared" si="4"/>
        <v>115568</v>
      </c>
      <c r="I15" s="457">
        <v>168498</v>
      </c>
      <c r="J15" s="457">
        <f t="shared" ref="J15:J49" si="6">J14+I15</f>
        <v>168498</v>
      </c>
      <c r="K15" s="181">
        <f t="shared" si="3"/>
        <v>282035</v>
      </c>
      <c r="L15" s="360">
        <f t="shared" si="0"/>
        <v>409711</v>
      </c>
      <c r="M15" s="1169" t="s">
        <v>1477</v>
      </c>
    </row>
    <row r="16" spans="1:13" ht="27" customHeight="1">
      <c r="A16" s="985">
        <v>41945</v>
      </c>
      <c r="B16" s="340">
        <v>121</v>
      </c>
      <c r="C16" s="340">
        <v>38157</v>
      </c>
      <c r="D16" s="180">
        <f t="shared" si="1"/>
        <v>1888</v>
      </c>
      <c r="E16" s="180">
        <f t="shared" si="2"/>
        <v>616366</v>
      </c>
      <c r="F16" s="340"/>
      <c r="G16" s="181">
        <f t="shared" si="5"/>
        <v>38157</v>
      </c>
      <c r="H16" s="181">
        <f t="shared" si="4"/>
        <v>41735</v>
      </c>
      <c r="I16" s="457"/>
      <c r="J16" s="457">
        <f t="shared" si="6"/>
        <v>168498</v>
      </c>
      <c r="K16" s="181">
        <f t="shared" si="3"/>
        <v>323770</v>
      </c>
      <c r="L16" s="360">
        <f t="shared" si="0"/>
        <v>447868</v>
      </c>
      <c r="M16" s="1212"/>
    </row>
    <row r="17" spans="1:13" ht="27" customHeight="1">
      <c r="A17" s="985">
        <v>41975</v>
      </c>
      <c r="B17" s="340">
        <v>0</v>
      </c>
      <c r="C17" s="340">
        <v>0</v>
      </c>
      <c r="D17" s="180">
        <f t="shared" si="1"/>
        <v>1888</v>
      </c>
      <c r="E17" s="180">
        <f t="shared" si="2"/>
        <v>616366</v>
      </c>
      <c r="F17" s="340"/>
      <c r="G17" s="181">
        <f t="shared" si="5"/>
        <v>0</v>
      </c>
      <c r="H17" s="181">
        <f t="shared" si="4"/>
        <v>85941</v>
      </c>
      <c r="I17" s="457">
        <v>100000</v>
      </c>
      <c r="J17" s="457">
        <f t="shared" si="6"/>
        <v>268498</v>
      </c>
      <c r="K17" s="181">
        <f t="shared" si="3"/>
        <v>309711</v>
      </c>
      <c r="L17" s="360">
        <f t="shared" si="0"/>
        <v>347868</v>
      </c>
      <c r="M17" s="1169" t="s">
        <v>1478</v>
      </c>
    </row>
    <row r="18" spans="1:13" ht="27" customHeight="1">
      <c r="A18" s="986">
        <v>42005</v>
      </c>
      <c r="B18" s="340">
        <v>65</v>
      </c>
      <c r="C18" s="340">
        <v>20605</v>
      </c>
      <c r="D18" s="180">
        <f t="shared" si="1"/>
        <v>1953</v>
      </c>
      <c r="E18" s="180">
        <f t="shared" si="2"/>
        <v>636971</v>
      </c>
      <c r="F18" s="340"/>
      <c r="G18" s="181">
        <f t="shared" si="5"/>
        <v>20605</v>
      </c>
      <c r="H18" s="181">
        <f t="shared" si="4"/>
        <v>38157</v>
      </c>
      <c r="I18" s="457"/>
      <c r="J18" s="457">
        <f t="shared" si="6"/>
        <v>268498</v>
      </c>
      <c r="K18" s="181">
        <f t="shared" si="3"/>
        <v>347868</v>
      </c>
      <c r="L18" s="360">
        <f t="shared" si="0"/>
        <v>368473</v>
      </c>
      <c r="M18" s="1169"/>
    </row>
    <row r="19" spans="1:13" ht="27" customHeight="1">
      <c r="A19" s="986">
        <v>42037</v>
      </c>
      <c r="B19" s="340">
        <v>0</v>
      </c>
      <c r="C19" s="340">
        <v>0</v>
      </c>
      <c r="D19" s="180">
        <f t="shared" si="1"/>
        <v>1953</v>
      </c>
      <c r="E19" s="180">
        <f t="shared" si="2"/>
        <v>636971</v>
      </c>
      <c r="F19" s="340"/>
      <c r="G19" s="181">
        <f t="shared" si="5"/>
        <v>0</v>
      </c>
      <c r="H19" s="181">
        <f t="shared" si="4"/>
        <v>0</v>
      </c>
      <c r="I19" s="457">
        <v>200000</v>
      </c>
      <c r="J19" s="457">
        <f t="shared" si="6"/>
        <v>468498</v>
      </c>
      <c r="K19" s="181">
        <f t="shared" si="3"/>
        <v>147868</v>
      </c>
      <c r="L19" s="360">
        <f t="shared" si="0"/>
        <v>168473</v>
      </c>
      <c r="M19" s="1169" t="s">
        <v>1479</v>
      </c>
    </row>
    <row r="20" spans="1:13" ht="27" customHeight="1">
      <c r="A20" s="986">
        <v>42069</v>
      </c>
      <c r="B20" s="340">
        <v>154</v>
      </c>
      <c r="C20" s="340">
        <v>48868</v>
      </c>
      <c r="D20" s="180">
        <f t="shared" si="1"/>
        <v>2107</v>
      </c>
      <c r="E20" s="180">
        <f t="shared" si="2"/>
        <v>685839</v>
      </c>
      <c r="F20" s="340"/>
      <c r="G20" s="181">
        <f t="shared" si="5"/>
        <v>48868</v>
      </c>
      <c r="H20" s="181">
        <f t="shared" si="4"/>
        <v>20605</v>
      </c>
      <c r="I20" s="457"/>
      <c r="J20" s="457">
        <f t="shared" si="6"/>
        <v>468498</v>
      </c>
      <c r="K20" s="181">
        <f t="shared" si="3"/>
        <v>168473</v>
      </c>
      <c r="L20" s="360">
        <f t="shared" si="0"/>
        <v>217341</v>
      </c>
      <c r="M20" s="1169"/>
    </row>
    <row r="21" spans="1:13" ht="27" customHeight="1">
      <c r="A21" s="190">
        <v>42095</v>
      </c>
      <c r="B21" s="180">
        <v>95</v>
      </c>
      <c r="C21" s="180">
        <v>30560</v>
      </c>
      <c r="D21" s="180">
        <f t="shared" si="1"/>
        <v>2202</v>
      </c>
      <c r="E21" s="180">
        <f t="shared" si="2"/>
        <v>716399</v>
      </c>
      <c r="F21" s="180"/>
      <c r="G21" s="181">
        <f t="shared" si="5"/>
        <v>30560</v>
      </c>
      <c r="H21" s="181">
        <f t="shared" si="4"/>
        <v>0</v>
      </c>
      <c r="I21" s="181">
        <v>100000</v>
      </c>
      <c r="J21" s="457">
        <f t="shared" si="6"/>
        <v>568498</v>
      </c>
      <c r="K21" s="181">
        <f t="shared" si="3"/>
        <v>68473</v>
      </c>
      <c r="L21" s="360">
        <f t="shared" si="0"/>
        <v>147901</v>
      </c>
      <c r="M21" s="1213" t="s">
        <v>1480</v>
      </c>
    </row>
    <row r="22" spans="1:13" ht="27" customHeight="1">
      <c r="A22" s="190">
        <v>42125</v>
      </c>
      <c r="B22" s="180">
        <v>62</v>
      </c>
      <c r="C22" s="180">
        <v>19824</v>
      </c>
      <c r="D22" s="180">
        <f t="shared" si="1"/>
        <v>2264</v>
      </c>
      <c r="E22" s="180">
        <f t="shared" si="2"/>
        <v>736223</v>
      </c>
      <c r="F22" s="180"/>
      <c r="G22" s="181">
        <f t="shared" si="5"/>
        <v>19824</v>
      </c>
      <c r="H22" s="181">
        <f t="shared" si="4"/>
        <v>48868</v>
      </c>
      <c r="I22" s="181"/>
      <c r="J22" s="457">
        <f t="shared" si="6"/>
        <v>568498</v>
      </c>
      <c r="K22" s="181">
        <f t="shared" si="3"/>
        <v>117341</v>
      </c>
      <c r="L22" s="360">
        <f t="shared" si="0"/>
        <v>167725</v>
      </c>
      <c r="M22" s="1213"/>
    </row>
    <row r="23" spans="1:13" ht="27" customHeight="1">
      <c r="A23" s="190">
        <v>42156</v>
      </c>
      <c r="B23" s="180">
        <v>88</v>
      </c>
      <c r="C23" s="180">
        <v>27856</v>
      </c>
      <c r="D23" s="180">
        <f t="shared" si="1"/>
        <v>2352</v>
      </c>
      <c r="E23" s="180">
        <f t="shared" si="2"/>
        <v>764079</v>
      </c>
      <c r="F23" s="180"/>
      <c r="G23" s="181">
        <f t="shared" si="5"/>
        <v>27856</v>
      </c>
      <c r="H23" s="181">
        <f t="shared" si="4"/>
        <v>30560</v>
      </c>
      <c r="I23" s="181"/>
      <c r="J23" s="457">
        <f t="shared" si="6"/>
        <v>568498</v>
      </c>
      <c r="K23" s="181">
        <f t="shared" si="3"/>
        <v>147901</v>
      </c>
      <c r="L23" s="360">
        <f t="shared" si="0"/>
        <v>195581</v>
      </c>
      <c r="M23" s="1213"/>
    </row>
    <row r="24" spans="1:13" ht="27" customHeight="1">
      <c r="A24" s="190">
        <v>42186</v>
      </c>
      <c r="B24" s="180">
        <v>42</v>
      </c>
      <c r="C24" s="180">
        <v>12954</v>
      </c>
      <c r="D24" s="180">
        <f t="shared" si="1"/>
        <v>2394</v>
      </c>
      <c r="E24" s="180">
        <f t="shared" si="2"/>
        <v>777033</v>
      </c>
      <c r="F24" s="180"/>
      <c r="G24" s="181">
        <f t="shared" si="5"/>
        <v>12954</v>
      </c>
      <c r="H24" s="181">
        <f t="shared" si="4"/>
        <v>19824</v>
      </c>
      <c r="I24" s="181"/>
      <c r="J24" s="457">
        <f t="shared" si="6"/>
        <v>568498</v>
      </c>
      <c r="K24" s="181">
        <f t="shared" si="3"/>
        <v>167725</v>
      </c>
      <c r="L24" s="360">
        <f t="shared" si="0"/>
        <v>208535</v>
      </c>
      <c r="M24" s="1213"/>
    </row>
    <row r="25" spans="1:13" ht="27" customHeight="1">
      <c r="A25" s="190">
        <v>42217</v>
      </c>
      <c r="B25" s="180">
        <v>18</v>
      </c>
      <c r="C25" s="180">
        <v>5796</v>
      </c>
      <c r="D25" s="180">
        <f t="shared" si="1"/>
        <v>2412</v>
      </c>
      <c r="E25" s="180">
        <f t="shared" si="2"/>
        <v>782829</v>
      </c>
      <c r="F25" s="180"/>
      <c r="G25" s="181">
        <f t="shared" si="5"/>
        <v>5796</v>
      </c>
      <c r="H25" s="181">
        <f t="shared" si="4"/>
        <v>27856</v>
      </c>
      <c r="I25" s="181">
        <v>50000</v>
      </c>
      <c r="J25" s="457">
        <f t="shared" si="6"/>
        <v>618498</v>
      </c>
      <c r="K25" s="181">
        <f t="shared" si="3"/>
        <v>145581</v>
      </c>
      <c r="L25" s="360">
        <f t="shared" si="0"/>
        <v>164331</v>
      </c>
      <c r="M25" s="1213" t="s">
        <v>1481</v>
      </c>
    </row>
    <row r="26" spans="1:13" ht="27" customHeight="1">
      <c r="A26" s="190">
        <v>42248</v>
      </c>
      <c r="B26" s="180">
        <v>522.5</v>
      </c>
      <c r="C26" s="180">
        <v>154895</v>
      </c>
      <c r="D26" s="180">
        <f t="shared" si="1"/>
        <v>2934.5</v>
      </c>
      <c r="E26" s="180">
        <f t="shared" si="2"/>
        <v>937724</v>
      </c>
      <c r="F26" s="180"/>
      <c r="G26" s="181">
        <f t="shared" si="5"/>
        <v>154895</v>
      </c>
      <c r="H26" s="181">
        <f t="shared" si="4"/>
        <v>12954</v>
      </c>
      <c r="I26" s="181"/>
      <c r="J26" s="457">
        <f t="shared" si="6"/>
        <v>618498</v>
      </c>
      <c r="K26" s="181">
        <f t="shared" si="3"/>
        <v>158535</v>
      </c>
      <c r="L26" s="360">
        <f t="shared" si="0"/>
        <v>319226</v>
      </c>
      <c r="M26" s="1213"/>
    </row>
    <row r="27" spans="1:13" ht="27" customHeight="1">
      <c r="A27" s="190">
        <v>42278</v>
      </c>
      <c r="B27" s="180">
        <v>587.5</v>
      </c>
      <c r="C27" s="180">
        <v>175120</v>
      </c>
      <c r="D27" s="180">
        <f t="shared" si="1"/>
        <v>3522</v>
      </c>
      <c r="E27" s="180">
        <f t="shared" si="2"/>
        <v>1112844</v>
      </c>
      <c r="F27" s="180"/>
      <c r="G27" s="181">
        <f t="shared" si="5"/>
        <v>175120</v>
      </c>
      <c r="H27" s="181">
        <f t="shared" si="4"/>
        <v>5796</v>
      </c>
      <c r="I27" s="181">
        <v>70448</v>
      </c>
      <c r="J27" s="457">
        <f t="shared" si="6"/>
        <v>688946</v>
      </c>
      <c r="K27" s="181">
        <f t="shared" si="3"/>
        <v>93883</v>
      </c>
      <c r="L27" s="360">
        <f t="shared" si="0"/>
        <v>423898</v>
      </c>
      <c r="M27" s="1213" t="s">
        <v>1482</v>
      </c>
    </row>
    <row r="28" spans="1:13" ht="27" customHeight="1">
      <c r="A28" s="190">
        <v>42309</v>
      </c>
      <c r="B28" s="180">
        <v>272</v>
      </c>
      <c r="C28" s="180">
        <v>74030</v>
      </c>
      <c r="D28" s="180">
        <f t="shared" si="1"/>
        <v>3794</v>
      </c>
      <c r="E28" s="180">
        <f t="shared" si="2"/>
        <v>1186874</v>
      </c>
      <c r="F28" s="180"/>
      <c r="G28" s="181">
        <f t="shared" si="5"/>
        <v>74030</v>
      </c>
      <c r="H28" s="181">
        <f t="shared" si="4"/>
        <v>154895</v>
      </c>
      <c r="I28" s="181"/>
      <c r="J28" s="457">
        <f t="shared" si="6"/>
        <v>688946</v>
      </c>
      <c r="K28" s="181">
        <f t="shared" si="3"/>
        <v>248778</v>
      </c>
      <c r="L28" s="360">
        <f t="shared" si="0"/>
        <v>497928</v>
      </c>
      <c r="M28" s="1213"/>
    </row>
    <row r="29" spans="1:13" ht="27" customHeight="1">
      <c r="A29" s="190">
        <v>42339</v>
      </c>
      <c r="B29" s="180">
        <v>160</v>
      </c>
      <c r="C29" s="180">
        <v>43200</v>
      </c>
      <c r="D29" s="180">
        <f t="shared" si="1"/>
        <v>3954</v>
      </c>
      <c r="E29" s="180">
        <f t="shared" si="2"/>
        <v>1230074</v>
      </c>
      <c r="F29" s="180"/>
      <c r="G29" s="181">
        <f t="shared" si="5"/>
        <v>43200</v>
      </c>
      <c r="H29" s="181">
        <f t="shared" si="4"/>
        <v>175120</v>
      </c>
      <c r="I29" s="181">
        <v>200000</v>
      </c>
      <c r="J29" s="457">
        <f t="shared" si="6"/>
        <v>888946</v>
      </c>
      <c r="K29" s="181">
        <f t="shared" si="3"/>
        <v>223898</v>
      </c>
      <c r="L29" s="360">
        <f t="shared" si="0"/>
        <v>341128</v>
      </c>
      <c r="M29" s="1213" t="s">
        <v>1483</v>
      </c>
    </row>
    <row r="30" spans="1:13" ht="27" customHeight="1">
      <c r="A30" s="190">
        <v>42370</v>
      </c>
      <c r="B30" s="180">
        <v>124</v>
      </c>
      <c r="C30" s="180">
        <v>36130</v>
      </c>
      <c r="D30" s="180">
        <f t="shared" si="1"/>
        <v>4078</v>
      </c>
      <c r="E30" s="180">
        <f t="shared" si="2"/>
        <v>1266204</v>
      </c>
      <c r="F30" s="180"/>
      <c r="G30" s="181">
        <f t="shared" si="5"/>
        <v>36130</v>
      </c>
      <c r="H30" s="181">
        <f t="shared" si="4"/>
        <v>74030</v>
      </c>
      <c r="I30" s="181"/>
      <c r="J30" s="457">
        <f t="shared" si="6"/>
        <v>888946</v>
      </c>
      <c r="K30" s="181">
        <f t="shared" si="3"/>
        <v>297928</v>
      </c>
      <c r="L30" s="360">
        <f t="shared" si="0"/>
        <v>377258</v>
      </c>
      <c r="M30" s="1213" t="s">
        <v>1484</v>
      </c>
    </row>
    <row r="31" spans="1:13" ht="27" customHeight="1">
      <c r="A31" s="190">
        <v>42401</v>
      </c>
      <c r="B31" s="180">
        <v>34</v>
      </c>
      <c r="C31" s="180">
        <v>10620</v>
      </c>
      <c r="D31" s="180">
        <f t="shared" si="1"/>
        <v>4112</v>
      </c>
      <c r="E31" s="180">
        <f t="shared" si="2"/>
        <v>1276824</v>
      </c>
      <c r="F31" s="180"/>
      <c r="G31" s="181">
        <f t="shared" si="5"/>
        <v>10620</v>
      </c>
      <c r="H31" s="181">
        <f t="shared" si="4"/>
        <v>43200</v>
      </c>
      <c r="I31" s="181">
        <v>200000</v>
      </c>
      <c r="J31" s="457">
        <f t="shared" si="6"/>
        <v>1088946</v>
      </c>
      <c r="K31" s="181">
        <f t="shared" si="3"/>
        <v>141128</v>
      </c>
      <c r="L31" s="360">
        <f t="shared" si="0"/>
        <v>187878</v>
      </c>
      <c r="M31" s="1213"/>
    </row>
    <row r="32" spans="1:13" ht="27" customHeight="1">
      <c r="A32" s="190">
        <v>42430</v>
      </c>
      <c r="B32" s="180">
        <v>67</v>
      </c>
      <c r="C32" s="180">
        <v>18840</v>
      </c>
      <c r="D32" s="180">
        <f t="shared" si="1"/>
        <v>4179</v>
      </c>
      <c r="E32" s="180">
        <f t="shared" si="2"/>
        <v>1295664</v>
      </c>
      <c r="F32" s="180"/>
      <c r="G32" s="181">
        <f t="shared" si="5"/>
        <v>18840</v>
      </c>
      <c r="H32" s="181">
        <f t="shared" si="4"/>
        <v>36130</v>
      </c>
      <c r="I32" s="181"/>
      <c r="J32" s="457">
        <f t="shared" si="6"/>
        <v>1088946</v>
      </c>
      <c r="K32" s="181">
        <f t="shared" si="3"/>
        <v>177258</v>
      </c>
      <c r="L32" s="360">
        <f t="shared" si="0"/>
        <v>206718</v>
      </c>
      <c r="M32" s="1213" t="s">
        <v>1485</v>
      </c>
    </row>
    <row r="33" spans="1:13" ht="27" customHeight="1">
      <c r="A33" s="190">
        <v>42461</v>
      </c>
      <c r="B33" s="180">
        <v>125</v>
      </c>
      <c r="C33" s="180">
        <v>33620</v>
      </c>
      <c r="D33" s="180">
        <f t="shared" si="1"/>
        <v>4304</v>
      </c>
      <c r="E33" s="180">
        <f t="shared" si="2"/>
        <v>1329284</v>
      </c>
      <c r="F33" s="180"/>
      <c r="G33" s="181">
        <f t="shared" si="5"/>
        <v>33620</v>
      </c>
      <c r="H33" s="181">
        <f t="shared" si="4"/>
        <v>10620</v>
      </c>
      <c r="I33" s="181">
        <v>100000</v>
      </c>
      <c r="J33" s="457">
        <f t="shared" si="6"/>
        <v>1188946</v>
      </c>
      <c r="K33" s="181">
        <f t="shared" si="3"/>
        <v>87878</v>
      </c>
      <c r="L33" s="360">
        <f t="shared" si="0"/>
        <v>140338</v>
      </c>
      <c r="M33" s="1213"/>
    </row>
    <row r="34" spans="1:13" ht="27" customHeight="1">
      <c r="A34" s="190">
        <v>42491</v>
      </c>
      <c r="B34" s="180">
        <v>121</v>
      </c>
      <c r="C34" s="180">
        <v>32230</v>
      </c>
      <c r="D34" s="180">
        <f t="shared" si="1"/>
        <v>4425</v>
      </c>
      <c r="E34" s="180">
        <f t="shared" si="2"/>
        <v>1361514</v>
      </c>
      <c r="F34" s="180"/>
      <c r="G34" s="181">
        <f t="shared" si="5"/>
        <v>32230</v>
      </c>
      <c r="H34" s="181">
        <f t="shared" si="4"/>
        <v>18840</v>
      </c>
      <c r="I34" s="181"/>
      <c r="J34" s="457">
        <f t="shared" si="6"/>
        <v>1188946</v>
      </c>
      <c r="K34" s="181">
        <f t="shared" si="3"/>
        <v>106718</v>
      </c>
      <c r="L34" s="360">
        <f t="shared" si="0"/>
        <v>172568</v>
      </c>
      <c r="M34" s="1213"/>
    </row>
    <row r="35" spans="1:13" ht="27" customHeight="1">
      <c r="A35" s="190">
        <v>42522</v>
      </c>
      <c r="B35" s="180">
        <v>27</v>
      </c>
      <c r="C35" s="180">
        <v>7220</v>
      </c>
      <c r="D35" s="180">
        <f t="shared" si="1"/>
        <v>4452</v>
      </c>
      <c r="E35" s="180">
        <f t="shared" si="2"/>
        <v>1368734</v>
      </c>
      <c r="F35" s="180"/>
      <c r="G35" s="181">
        <f t="shared" si="5"/>
        <v>7220</v>
      </c>
      <c r="H35" s="181">
        <f t="shared" si="4"/>
        <v>33620</v>
      </c>
      <c r="I35" s="181"/>
      <c r="J35" s="457">
        <f t="shared" si="6"/>
        <v>1188946</v>
      </c>
      <c r="K35" s="181">
        <f t="shared" si="3"/>
        <v>140338</v>
      </c>
      <c r="L35" s="360">
        <f t="shared" si="0"/>
        <v>179788</v>
      </c>
      <c r="M35" s="1213"/>
    </row>
    <row r="36" spans="1:13" ht="27" customHeight="1">
      <c r="A36" s="190">
        <v>42552</v>
      </c>
      <c r="B36" s="180">
        <v>80</v>
      </c>
      <c r="C36" s="180">
        <v>21480</v>
      </c>
      <c r="D36" s="180">
        <f t="shared" si="1"/>
        <v>4532</v>
      </c>
      <c r="E36" s="180">
        <f t="shared" si="2"/>
        <v>1390214</v>
      </c>
      <c r="F36" s="180"/>
      <c r="G36" s="181">
        <f t="shared" si="5"/>
        <v>21480</v>
      </c>
      <c r="H36" s="181">
        <f t="shared" si="4"/>
        <v>32230</v>
      </c>
      <c r="I36" s="181"/>
      <c r="J36" s="457">
        <f t="shared" si="6"/>
        <v>1188946</v>
      </c>
      <c r="K36" s="181">
        <f t="shared" si="3"/>
        <v>172568</v>
      </c>
      <c r="L36" s="360">
        <f t="shared" si="0"/>
        <v>201268</v>
      </c>
      <c r="M36" s="1213" t="s">
        <v>1486</v>
      </c>
    </row>
    <row r="37" spans="1:13" ht="27" customHeight="1">
      <c r="A37" s="190">
        <v>42583</v>
      </c>
      <c r="B37" s="180">
        <v>129</v>
      </c>
      <c r="C37" s="180">
        <v>35215</v>
      </c>
      <c r="D37" s="180">
        <f t="shared" si="1"/>
        <v>4661</v>
      </c>
      <c r="E37" s="180">
        <f t="shared" si="2"/>
        <v>1425429</v>
      </c>
      <c r="F37" s="180"/>
      <c r="G37" s="181">
        <f t="shared" si="5"/>
        <v>35215</v>
      </c>
      <c r="H37" s="181">
        <f t="shared" si="4"/>
        <v>7220</v>
      </c>
      <c r="I37" s="181">
        <v>93870.5</v>
      </c>
      <c r="J37" s="457">
        <f t="shared" si="6"/>
        <v>1282816.5</v>
      </c>
      <c r="K37" s="181">
        <f t="shared" si="3"/>
        <v>85917.5</v>
      </c>
      <c r="L37" s="360">
        <f t="shared" si="0"/>
        <v>142612.5</v>
      </c>
      <c r="M37" s="1213"/>
    </row>
    <row r="38" spans="1:13" ht="27" customHeight="1">
      <c r="A38" s="190">
        <v>42614</v>
      </c>
      <c r="B38" s="180">
        <v>62</v>
      </c>
      <c r="C38" s="180">
        <v>17880</v>
      </c>
      <c r="D38" s="180">
        <f t="shared" si="1"/>
        <v>4723</v>
      </c>
      <c r="E38" s="180">
        <f t="shared" si="2"/>
        <v>1443309</v>
      </c>
      <c r="F38" s="180"/>
      <c r="G38" s="181">
        <f t="shared" si="5"/>
        <v>17880</v>
      </c>
      <c r="H38" s="181">
        <f t="shared" si="4"/>
        <v>21480</v>
      </c>
      <c r="I38" s="181"/>
      <c r="J38" s="457">
        <f t="shared" si="6"/>
        <v>1282816.5</v>
      </c>
      <c r="K38" s="181">
        <f t="shared" si="3"/>
        <v>107397.5</v>
      </c>
      <c r="L38" s="360">
        <f t="shared" si="0"/>
        <v>160492.5</v>
      </c>
      <c r="M38" s="1213"/>
    </row>
    <row r="39" spans="1:13" ht="27" customHeight="1">
      <c r="A39" s="190">
        <v>42644</v>
      </c>
      <c r="B39" s="180">
        <v>18</v>
      </c>
      <c r="C39" s="180">
        <v>4860</v>
      </c>
      <c r="D39" s="180">
        <f t="shared" si="1"/>
        <v>4741</v>
      </c>
      <c r="E39" s="180">
        <f t="shared" si="2"/>
        <v>1448169</v>
      </c>
      <c r="F39" s="180"/>
      <c r="G39" s="181">
        <f t="shared" si="5"/>
        <v>4860</v>
      </c>
      <c r="H39" s="181">
        <f t="shared" si="4"/>
        <v>35215</v>
      </c>
      <c r="I39" s="181"/>
      <c r="J39" s="457">
        <f t="shared" si="6"/>
        <v>1282816.5</v>
      </c>
      <c r="K39" s="181">
        <f t="shared" si="3"/>
        <v>142612.5</v>
      </c>
      <c r="L39" s="360">
        <f t="shared" si="0"/>
        <v>165352.5</v>
      </c>
      <c r="M39" s="1213" t="s">
        <v>1487</v>
      </c>
    </row>
    <row r="40" spans="1:13" ht="29.1" customHeight="1">
      <c r="A40" s="190">
        <v>42675</v>
      </c>
      <c r="B40" s="180">
        <v>20</v>
      </c>
      <c r="C40" s="180">
        <v>5500</v>
      </c>
      <c r="D40" s="180">
        <f t="shared" si="1"/>
        <v>4761</v>
      </c>
      <c r="E40" s="180">
        <f t="shared" si="2"/>
        <v>1453669</v>
      </c>
      <c r="F40" s="180"/>
      <c r="G40" s="181">
        <f t="shared" si="5"/>
        <v>5500</v>
      </c>
      <c r="H40" s="181">
        <f t="shared" si="4"/>
        <v>17880</v>
      </c>
      <c r="I40" s="181">
        <f>100000</f>
        <v>100000</v>
      </c>
      <c r="J40" s="457">
        <f t="shared" si="6"/>
        <v>1382816.5</v>
      </c>
      <c r="K40" s="181">
        <f t="shared" si="3"/>
        <v>60492.5</v>
      </c>
      <c r="L40" s="360">
        <f t="shared" si="0"/>
        <v>70852.5</v>
      </c>
      <c r="M40" s="1213" t="s">
        <v>1488</v>
      </c>
    </row>
    <row r="41" spans="1:13" ht="27" customHeight="1">
      <c r="A41" s="190">
        <v>42705</v>
      </c>
      <c r="B41" s="180">
        <v>25</v>
      </c>
      <c r="C41" s="180">
        <v>9605</v>
      </c>
      <c r="D41" s="180">
        <f t="shared" si="1"/>
        <v>4786</v>
      </c>
      <c r="E41" s="180">
        <f t="shared" si="2"/>
        <v>1463274</v>
      </c>
      <c r="F41" s="180"/>
      <c r="G41" s="181">
        <f t="shared" si="5"/>
        <v>9605</v>
      </c>
      <c r="H41" s="181">
        <f t="shared" si="4"/>
        <v>4860</v>
      </c>
      <c r="I41" s="181"/>
      <c r="J41" s="457">
        <f t="shared" si="6"/>
        <v>1382816.5</v>
      </c>
      <c r="K41" s="181">
        <f t="shared" si="3"/>
        <v>65352.5</v>
      </c>
      <c r="L41" s="360">
        <f t="shared" si="0"/>
        <v>80457.5</v>
      </c>
      <c r="M41" s="1213"/>
    </row>
    <row r="42" spans="1:13" ht="27" customHeight="1">
      <c r="A42" s="190">
        <v>42736</v>
      </c>
      <c r="B42" s="180">
        <v>54</v>
      </c>
      <c r="C42" s="180">
        <v>18055</v>
      </c>
      <c r="D42" s="180">
        <f t="shared" si="1"/>
        <v>4840</v>
      </c>
      <c r="E42" s="180">
        <f t="shared" si="2"/>
        <v>1481329</v>
      </c>
      <c r="F42" s="180"/>
      <c r="G42" s="181">
        <f t="shared" si="5"/>
        <v>18055</v>
      </c>
      <c r="H42" s="181">
        <f t="shared" si="4"/>
        <v>5500</v>
      </c>
      <c r="I42" s="181"/>
      <c r="J42" s="457">
        <f t="shared" si="6"/>
        <v>1382816.5</v>
      </c>
      <c r="K42" s="181">
        <f t="shared" si="3"/>
        <v>70852.5</v>
      </c>
      <c r="L42" s="360">
        <f t="shared" si="0"/>
        <v>98512.5</v>
      </c>
      <c r="M42" s="1213" t="s">
        <v>1489</v>
      </c>
    </row>
    <row r="43" spans="1:13" ht="27" customHeight="1">
      <c r="A43" s="190">
        <v>42767</v>
      </c>
      <c r="B43" s="180">
        <v>0</v>
      </c>
      <c r="C43" s="180">
        <v>0</v>
      </c>
      <c r="D43" s="180">
        <f t="shared" si="1"/>
        <v>4840</v>
      </c>
      <c r="E43" s="180">
        <f t="shared" si="2"/>
        <v>1481329</v>
      </c>
      <c r="F43" s="180"/>
      <c r="G43" s="181">
        <f t="shared" si="5"/>
        <v>0</v>
      </c>
      <c r="H43" s="181">
        <f t="shared" si="4"/>
        <v>9605</v>
      </c>
      <c r="I43" s="181">
        <v>65340</v>
      </c>
      <c r="J43" s="457">
        <f t="shared" si="6"/>
        <v>1448156.5</v>
      </c>
      <c r="K43" s="181">
        <f t="shared" si="3"/>
        <v>15117.5</v>
      </c>
      <c r="L43" s="360">
        <f t="shared" si="0"/>
        <v>33172.5</v>
      </c>
      <c r="M43" s="1213"/>
    </row>
    <row r="44" spans="1:13" ht="27" customHeight="1">
      <c r="A44" s="190">
        <v>42795</v>
      </c>
      <c r="B44" s="180">
        <v>48</v>
      </c>
      <c r="C44" s="180">
        <v>15120</v>
      </c>
      <c r="D44" s="180">
        <f t="shared" si="1"/>
        <v>4888</v>
      </c>
      <c r="E44" s="180">
        <f t="shared" si="2"/>
        <v>1496449</v>
      </c>
      <c r="F44" s="180"/>
      <c r="G44" s="181">
        <f t="shared" si="5"/>
        <v>15120</v>
      </c>
      <c r="H44" s="181">
        <f t="shared" si="4"/>
        <v>18055</v>
      </c>
      <c r="I44" s="181"/>
      <c r="J44" s="457">
        <f t="shared" si="6"/>
        <v>1448156.5</v>
      </c>
      <c r="K44" s="181">
        <f t="shared" si="3"/>
        <v>33172.5</v>
      </c>
      <c r="L44" s="360">
        <f t="shared" si="0"/>
        <v>48292.5</v>
      </c>
      <c r="M44" s="1213"/>
    </row>
    <row r="45" spans="1:13" ht="27" customHeight="1">
      <c r="A45" s="190">
        <v>42826</v>
      </c>
      <c r="B45" s="180">
        <v>0</v>
      </c>
      <c r="C45" s="180">
        <v>0</v>
      </c>
      <c r="D45" s="180">
        <f t="shared" si="1"/>
        <v>4888</v>
      </c>
      <c r="E45" s="180">
        <f t="shared" si="2"/>
        <v>1496449</v>
      </c>
      <c r="F45" s="180"/>
      <c r="G45" s="181">
        <f t="shared" si="5"/>
        <v>0</v>
      </c>
      <c r="H45" s="181">
        <f t="shared" si="4"/>
        <v>0</v>
      </c>
      <c r="I45" s="181"/>
      <c r="J45" s="457">
        <f t="shared" si="6"/>
        <v>1448156.5</v>
      </c>
      <c r="K45" s="181">
        <f t="shared" si="3"/>
        <v>33172.5</v>
      </c>
      <c r="L45" s="360">
        <f t="shared" si="0"/>
        <v>48292.5</v>
      </c>
      <c r="M45" s="1213"/>
    </row>
    <row r="46" spans="1:13" ht="27" customHeight="1">
      <c r="A46" s="190">
        <v>42856</v>
      </c>
      <c r="B46" s="180">
        <v>43</v>
      </c>
      <c r="C46" s="180">
        <v>13545</v>
      </c>
      <c r="D46" s="180">
        <f t="shared" si="1"/>
        <v>4931</v>
      </c>
      <c r="E46" s="180">
        <f t="shared" si="2"/>
        <v>1509994</v>
      </c>
      <c r="F46" s="180"/>
      <c r="G46" s="181">
        <f t="shared" si="5"/>
        <v>13545</v>
      </c>
      <c r="H46" s="181">
        <f t="shared" si="4"/>
        <v>15120</v>
      </c>
      <c r="I46" s="181"/>
      <c r="J46" s="457">
        <f t="shared" si="6"/>
        <v>1448156.5</v>
      </c>
      <c r="K46" s="181">
        <f t="shared" si="3"/>
        <v>48292.5</v>
      </c>
      <c r="L46" s="360">
        <f t="shared" si="0"/>
        <v>61837.5</v>
      </c>
      <c r="M46" s="1213" t="s">
        <v>1490</v>
      </c>
    </row>
    <row r="47" spans="1:13" ht="27" customHeight="1">
      <c r="A47" s="190">
        <v>42887</v>
      </c>
      <c r="B47" s="180">
        <v>18</v>
      </c>
      <c r="C47" s="180">
        <v>5600</v>
      </c>
      <c r="D47" s="180">
        <f t="shared" si="1"/>
        <v>4949</v>
      </c>
      <c r="E47" s="180">
        <f t="shared" si="2"/>
        <v>1515594</v>
      </c>
      <c r="F47" s="180"/>
      <c r="G47" s="181">
        <f t="shared" si="5"/>
        <v>5600</v>
      </c>
      <c r="H47" s="181">
        <f t="shared" si="4"/>
        <v>0</v>
      </c>
      <c r="I47" s="181">
        <v>40000</v>
      </c>
      <c r="J47" s="457">
        <f t="shared" si="6"/>
        <v>1488156.5</v>
      </c>
      <c r="K47" s="181">
        <f t="shared" si="3"/>
        <v>8292.5</v>
      </c>
      <c r="L47" s="360">
        <f t="shared" si="0"/>
        <v>27437.5</v>
      </c>
      <c r="M47" s="1213"/>
    </row>
    <row r="48" spans="1:13" ht="27" customHeight="1">
      <c r="A48" s="190">
        <v>42917</v>
      </c>
      <c r="B48" s="180">
        <v>68</v>
      </c>
      <c r="C48" s="180">
        <v>21590</v>
      </c>
      <c r="D48" s="180">
        <f t="shared" si="1"/>
        <v>5017</v>
      </c>
      <c r="E48" s="180">
        <f t="shared" si="2"/>
        <v>1537184</v>
      </c>
      <c r="F48" s="180"/>
      <c r="G48" s="181">
        <f t="shared" si="5"/>
        <v>21590</v>
      </c>
      <c r="H48" s="181">
        <f t="shared" si="4"/>
        <v>13545</v>
      </c>
      <c r="I48" s="181"/>
      <c r="J48" s="457">
        <f t="shared" si="6"/>
        <v>1488156.5</v>
      </c>
      <c r="K48" s="181">
        <f t="shared" si="3"/>
        <v>21837.5</v>
      </c>
      <c r="L48" s="360">
        <f t="shared" si="0"/>
        <v>49027.5</v>
      </c>
      <c r="M48" s="1213"/>
    </row>
    <row r="49" spans="1:13" ht="27" customHeight="1">
      <c r="A49" s="190">
        <v>42948</v>
      </c>
      <c r="B49" s="180">
        <v>60</v>
      </c>
      <c r="C49" s="180">
        <v>18480</v>
      </c>
      <c r="D49" s="180">
        <f t="shared" si="1"/>
        <v>5077</v>
      </c>
      <c r="E49" s="180">
        <f t="shared" si="2"/>
        <v>1555664</v>
      </c>
      <c r="F49" s="180"/>
      <c r="G49" s="181">
        <f t="shared" si="5"/>
        <v>18480</v>
      </c>
      <c r="H49" s="181">
        <f t="shared" si="4"/>
        <v>5600</v>
      </c>
      <c r="I49" s="181"/>
      <c r="J49" s="457">
        <f t="shared" si="6"/>
        <v>1488156.5</v>
      </c>
      <c r="K49" s="181">
        <f t="shared" si="3"/>
        <v>27437.5</v>
      </c>
      <c r="L49" s="360">
        <f t="shared" si="0"/>
        <v>67507.5</v>
      </c>
      <c r="M49" s="1213"/>
    </row>
    <row r="50" spans="1:13" ht="27" customHeight="1">
      <c r="A50" s="190"/>
      <c r="B50" s="180"/>
      <c r="C50" s="180"/>
      <c r="D50" s="180"/>
      <c r="E50" s="180"/>
      <c r="F50" s="180"/>
      <c r="G50" s="181"/>
      <c r="H50" s="181">
        <f t="shared" si="4"/>
        <v>21590</v>
      </c>
      <c r="I50" s="181"/>
      <c r="J50" s="181"/>
      <c r="K50" s="181">
        <f t="shared" si="3"/>
        <v>49027.5</v>
      </c>
      <c r="L50" s="360"/>
      <c r="M50" s="1213"/>
    </row>
    <row r="51" spans="1:13" ht="27" customHeight="1">
      <c r="A51" s="190"/>
      <c r="B51" s="180"/>
      <c r="C51" s="180"/>
      <c r="D51" s="180"/>
      <c r="E51" s="180"/>
      <c r="F51" s="180"/>
      <c r="G51" s="181"/>
      <c r="H51" s="181"/>
      <c r="I51" s="181"/>
      <c r="J51" s="181"/>
      <c r="K51" s="181"/>
      <c r="L51" s="360"/>
      <c r="M51" s="1213"/>
    </row>
    <row r="52" spans="1:13" ht="27" customHeight="1">
      <c r="A52" s="190"/>
      <c r="B52" s="180"/>
      <c r="C52" s="180"/>
      <c r="D52" s="180"/>
      <c r="E52" s="180"/>
      <c r="F52" s="180"/>
      <c r="G52" s="181"/>
      <c r="H52" s="181"/>
      <c r="I52" s="181"/>
      <c r="J52" s="181"/>
      <c r="K52" s="181"/>
      <c r="L52" s="360"/>
      <c r="M52" s="1213"/>
    </row>
  </sheetData>
  <mergeCells count="13">
    <mergeCell ref="B3:C3"/>
    <mergeCell ref="B4:E4"/>
    <mergeCell ref="F4:H4"/>
    <mergeCell ref="I4:J4"/>
    <mergeCell ref="L4:M4"/>
    <mergeCell ref="B5:G5"/>
    <mergeCell ref="H5:K5"/>
    <mergeCell ref="C1:D1"/>
    <mergeCell ref="F1:G1"/>
    <mergeCell ref="I1:K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6"/>
  <sheetViews>
    <sheetView topLeftCell="A28" zoomScaleSheetLayoutView="100" workbookViewId="0">
      <selection activeCell="J48" sqref="J48"/>
    </sheetView>
  </sheetViews>
  <sheetFormatPr defaultColWidth="9" defaultRowHeight="14.25"/>
  <cols>
    <col min="1" max="1" width="16.75" customWidth="1"/>
    <col min="2" max="2" width="13.625" customWidth="1"/>
    <col min="3" max="3" width="15.75" customWidth="1"/>
    <col min="4" max="4" width="12.875" customWidth="1"/>
    <col min="5" max="5" width="13.625" customWidth="1"/>
    <col min="6" max="6" width="12.125" customWidth="1"/>
    <col min="7" max="7" width="15.125" customWidth="1"/>
    <col min="8" max="8" width="15.375" customWidth="1"/>
    <col min="9" max="9" width="12.125" customWidth="1"/>
    <col min="10" max="10" width="13.125" customWidth="1"/>
    <col min="11" max="11" width="14.125" customWidth="1"/>
    <col min="12" max="12" width="14" customWidth="1"/>
    <col min="13" max="13" width="24.25" customWidth="1"/>
  </cols>
  <sheetData>
    <row r="1" spans="1:13" ht="57" customHeight="1">
      <c r="A1" s="1032" t="s">
        <v>1491</v>
      </c>
      <c r="B1" s="1033"/>
      <c r="C1" s="1775" t="s">
        <v>1492</v>
      </c>
      <c r="D1" s="1775"/>
      <c r="E1" s="1034" t="s">
        <v>236</v>
      </c>
      <c r="F1" s="1776"/>
      <c r="G1" s="1776"/>
      <c r="H1" s="531" t="s">
        <v>1461</v>
      </c>
      <c r="I1" s="1777" t="s">
        <v>1493</v>
      </c>
      <c r="J1" s="1777"/>
      <c r="K1" s="1777"/>
      <c r="L1" s="1854" t="s">
        <v>1444</v>
      </c>
      <c r="M1" s="1855"/>
    </row>
    <row r="2" spans="1:13" ht="45" customHeight="1">
      <c r="A2" s="39" t="s">
        <v>240</v>
      </c>
      <c r="B2" s="1637" t="s">
        <v>1494</v>
      </c>
      <c r="C2" s="1637"/>
      <c r="D2" s="41" t="s">
        <v>242</v>
      </c>
      <c r="E2" s="1746" t="s">
        <v>1494</v>
      </c>
      <c r="F2" s="1746"/>
      <c r="G2" s="1746"/>
      <c r="H2" s="1746"/>
      <c r="I2" s="41" t="s">
        <v>243</v>
      </c>
      <c r="J2" s="1637" t="s">
        <v>926</v>
      </c>
      <c r="K2" s="1637"/>
      <c r="L2" s="177" t="s">
        <v>245</v>
      </c>
      <c r="M2" s="1200" t="s">
        <v>1495</v>
      </c>
    </row>
    <row r="3" spans="1:13" ht="42.75">
      <c r="A3" s="39" t="s">
        <v>247</v>
      </c>
      <c r="B3" s="1637" t="s">
        <v>1496</v>
      </c>
      <c r="C3" s="1637"/>
      <c r="D3" s="41" t="s">
        <v>249</v>
      </c>
      <c r="E3" s="40" t="s">
        <v>1497</v>
      </c>
      <c r="F3" s="41" t="s">
        <v>251</v>
      </c>
      <c r="G3" s="40" t="s">
        <v>1498</v>
      </c>
      <c r="H3" s="177" t="s">
        <v>252</v>
      </c>
      <c r="I3" s="1170"/>
      <c r="J3" s="91" t="s">
        <v>253</v>
      </c>
      <c r="K3" s="15" t="s">
        <v>1499</v>
      </c>
      <c r="L3" s="15" t="s">
        <v>1469</v>
      </c>
      <c r="M3" s="92" t="s">
        <v>1500</v>
      </c>
    </row>
    <row r="4" spans="1:13" ht="42" customHeight="1">
      <c r="A4" s="1127" t="s">
        <v>260</v>
      </c>
      <c r="B4" s="1856" t="s">
        <v>1501</v>
      </c>
      <c r="C4" s="1856"/>
      <c r="D4" s="1856"/>
      <c r="E4" s="1856"/>
      <c r="F4" s="1856"/>
      <c r="G4" s="1857" t="s">
        <v>1502</v>
      </c>
      <c r="H4" s="1858"/>
      <c r="I4" s="1858"/>
      <c r="J4" s="1858"/>
      <c r="K4" s="1858" t="s">
        <v>1503</v>
      </c>
      <c r="L4" s="1858"/>
      <c r="M4" s="1859"/>
    </row>
    <row r="5" spans="1:13" ht="30.95" customHeight="1">
      <c r="A5" s="39" t="s">
        <v>258</v>
      </c>
      <c r="B5" s="1765"/>
      <c r="C5" s="1765"/>
      <c r="D5" s="1765"/>
      <c r="E5" s="1765"/>
      <c r="F5" s="1765"/>
      <c r="G5" s="1765"/>
      <c r="H5" s="1786"/>
      <c r="I5" s="1786"/>
      <c r="J5" s="1786"/>
      <c r="K5" s="1786"/>
      <c r="L5" s="178"/>
      <c r="M5" s="1134"/>
    </row>
    <row r="6" spans="1:13" ht="42.75">
      <c r="A6" s="19" t="s">
        <v>266</v>
      </c>
      <c r="B6" s="20" t="s">
        <v>1474</v>
      </c>
      <c r="C6" s="20" t="s">
        <v>268</v>
      </c>
      <c r="D6" s="20" t="s">
        <v>1475</v>
      </c>
      <c r="E6" s="20" t="s">
        <v>270</v>
      </c>
      <c r="F6" s="20" t="s">
        <v>1476</v>
      </c>
      <c r="G6" s="21" t="s">
        <v>272</v>
      </c>
      <c r="H6" s="22" t="s">
        <v>273</v>
      </c>
      <c r="I6" s="20" t="s">
        <v>274</v>
      </c>
      <c r="J6" s="70" t="s">
        <v>275</v>
      </c>
      <c r="K6" s="70" t="s">
        <v>276</v>
      </c>
      <c r="L6" s="20" t="s">
        <v>277</v>
      </c>
      <c r="M6" s="71" t="s">
        <v>278</v>
      </c>
    </row>
    <row r="7" spans="1:13" ht="27.95" customHeight="1">
      <c r="A7" s="188">
        <v>41730</v>
      </c>
      <c r="B7" s="180">
        <v>1912</v>
      </c>
      <c r="C7" s="180">
        <v>625224</v>
      </c>
      <c r="D7" s="180">
        <f>B7</f>
        <v>1912</v>
      </c>
      <c r="E7" s="180">
        <f>C7</f>
        <v>625224</v>
      </c>
      <c r="F7" s="180"/>
      <c r="G7" s="181">
        <f t="shared" ref="G7:G16" si="0">C7</f>
        <v>625224</v>
      </c>
      <c r="H7" s="181"/>
      <c r="I7" s="181"/>
      <c r="J7" s="181"/>
      <c r="K7" s="181"/>
      <c r="L7" s="181">
        <f t="shared" ref="L7:L16" si="1">E7-J7</f>
        <v>625224</v>
      </c>
      <c r="M7" s="990"/>
    </row>
    <row r="8" spans="1:13" ht="27.95" customHeight="1">
      <c r="A8" s="984">
        <v>41760</v>
      </c>
      <c r="B8" s="251">
        <v>2212.5</v>
      </c>
      <c r="C8" s="251">
        <v>721822.5</v>
      </c>
      <c r="D8" s="180">
        <f t="shared" ref="D8:D16" si="2">D7+B8</f>
        <v>4124.5</v>
      </c>
      <c r="E8" s="180">
        <f t="shared" ref="E8:E16" si="3">E7+C8</f>
        <v>1347046.5</v>
      </c>
      <c r="F8" s="251"/>
      <c r="G8" s="181">
        <f t="shared" si="0"/>
        <v>721822.5</v>
      </c>
      <c r="H8" s="555">
        <v>0</v>
      </c>
      <c r="I8" s="555"/>
      <c r="J8" s="555"/>
      <c r="K8" s="555">
        <v>0</v>
      </c>
      <c r="L8" s="181">
        <f t="shared" si="1"/>
        <v>1347046.5</v>
      </c>
      <c r="M8" s="991"/>
    </row>
    <row r="9" spans="1:13" ht="27.95" customHeight="1">
      <c r="A9" s="985">
        <v>41791</v>
      </c>
      <c r="B9" s="180">
        <v>1176.5</v>
      </c>
      <c r="C9" s="180">
        <v>381515.5</v>
      </c>
      <c r="D9" s="180">
        <f t="shared" si="2"/>
        <v>5301</v>
      </c>
      <c r="E9" s="180">
        <f t="shared" si="3"/>
        <v>1728562</v>
      </c>
      <c r="F9" s="180"/>
      <c r="G9" s="181">
        <f t="shared" si="0"/>
        <v>381515.5</v>
      </c>
      <c r="H9" s="262">
        <f>C7</f>
        <v>625224</v>
      </c>
      <c r="I9" s="181">
        <v>300000</v>
      </c>
      <c r="J9" s="181">
        <f t="shared" ref="J9:J16" si="4">J8+I9</f>
        <v>300000</v>
      </c>
      <c r="K9" s="181">
        <f t="shared" ref="K9:K16" si="5">K8+H9-I9</f>
        <v>325224</v>
      </c>
      <c r="L9" s="181">
        <f t="shared" si="1"/>
        <v>1428562</v>
      </c>
      <c r="M9" s="990"/>
    </row>
    <row r="10" spans="1:13" ht="27.95" customHeight="1">
      <c r="A10" s="985">
        <v>41822</v>
      </c>
      <c r="B10" s="340">
        <v>585.5</v>
      </c>
      <c r="C10" s="340">
        <v>180853.5</v>
      </c>
      <c r="D10" s="180">
        <f t="shared" si="2"/>
        <v>5886.5</v>
      </c>
      <c r="E10" s="180">
        <f t="shared" si="3"/>
        <v>1909415.5</v>
      </c>
      <c r="F10" s="340"/>
      <c r="G10" s="181">
        <f t="shared" si="0"/>
        <v>180853.5</v>
      </c>
      <c r="H10" s="262">
        <f t="shared" ref="H10:H16" si="6">C8</f>
        <v>721822.5</v>
      </c>
      <c r="I10" s="457">
        <v>325224</v>
      </c>
      <c r="J10" s="181">
        <f t="shared" si="4"/>
        <v>625224</v>
      </c>
      <c r="K10" s="181">
        <f t="shared" si="5"/>
        <v>721822.5</v>
      </c>
      <c r="L10" s="181">
        <f t="shared" si="1"/>
        <v>1284191.5</v>
      </c>
      <c r="M10" s="990" t="s">
        <v>1504</v>
      </c>
    </row>
    <row r="11" spans="1:13" ht="27.95" customHeight="1">
      <c r="A11" s="188">
        <v>41853</v>
      </c>
      <c r="B11" s="340">
        <v>892.5</v>
      </c>
      <c r="C11" s="340">
        <v>280832.5</v>
      </c>
      <c r="D11" s="180">
        <f t="shared" si="2"/>
        <v>6779</v>
      </c>
      <c r="E11" s="180">
        <f t="shared" si="3"/>
        <v>2190248</v>
      </c>
      <c r="F11" s="340"/>
      <c r="G11" s="181">
        <f t="shared" si="0"/>
        <v>280832.5</v>
      </c>
      <c r="H11" s="262">
        <f t="shared" si="6"/>
        <v>381515.5</v>
      </c>
      <c r="I11" s="457">
        <v>300000</v>
      </c>
      <c r="J11" s="181">
        <f t="shared" si="4"/>
        <v>925224</v>
      </c>
      <c r="K11" s="181">
        <f t="shared" si="5"/>
        <v>803338</v>
      </c>
      <c r="L11" s="181">
        <f t="shared" si="1"/>
        <v>1265024</v>
      </c>
      <c r="M11" s="990" t="s">
        <v>1505</v>
      </c>
    </row>
    <row r="12" spans="1:13" ht="27.95" customHeight="1">
      <c r="A12" s="985">
        <v>41884</v>
      </c>
      <c r="B12" s="340">
        <v>3756</v>
      </c>
      <c r="C12" s="340">
        <v>1267452</v>
      </c>
      <c r="D12" s="180">
        <f t="shared" si="2"/>
        <v>10535</v>
      </c>
      <c r="E12" s="180">
        <f t="shared" si="3"/>
        <v>3457700</v>
      </c>
      <c r="F12" s="340"/>
      <c r="G12" s="181">
        <f t="shared" si="0"/>
        <v>1267452</v>
      </c>
      <c r="H12" s="262">
        <f t="shared" si="6"/>
        <v>180853.5</v>
      </c>
      <c r="I12" s="457">
        <v>500000</v>
      </c>
      <c r="J12" s="181">
        <f t="shared" si="4"/>
        <v>1425224</v>
      </c>
      <c r="K12" s="181">
        <f t="shared" si="5"/>
        <v>484191.5</v>
      </c>
      <c r="L12" s="181">
        <f t="shared" si="1"/>
        <v>2032476</v>
      </c>
      <c r="M12" s="990" t="s">
        <v>1506</v>
      </c>
    </row>
    <row r="13" spans="1:13" ht="27.95" customHeight="1">
      <c r="A13" s="188">
        <v>41914</v>
      </c>
      <c r="B13" s="340">
        <v>3511</v>
      </c>
      <c r="C13" s="340">
        <v>1201364.5</v>
      </c>
      <c r="D13" s="180">
        <f t="shared" si="2"/>
        <v>14046</v>
      </c>
      <c r="E13" s="180">
        <f t="shared" si="3"/>
        <v>4659064.5</v>
      </c>
      <c r="F13" s="340"/>
      <c r="G13" s="181">
        <f t="shared" si="0"/>
        <v>1201364.5</v>
      </c>
      <c r="H13" s="262">
        <f t="shared" si="6"/>
        <v>280832.5</v>
      </c>
      <c r="I13" s="457">
        <v>500000</v>
      </c>
      <c r="J13" s="181">
        <f t="shared" si="4"/>
        <v>1925224</v>
      </c>
      <c r="K13" s="181">
        <f t="shared" si="5"/>
        <v>265024</v>
      </c>
      <c r="L13" s="181">
        <f t="shared" si="1"/>
        <v>2733840.5</v>
      </c>
      <c r="M13" s="993" t="s">
        <v>1507</v>
      </c>
    </row>
    <row r="14" spans="1:13" ht="27.95" customHeight="1">
      <c r="A14" s="985">
        <v>41945</v>
      </c>
      <c r="B14" s="340">
        <v>2713</v>
      </c>
      <c r="C14" s="340">
        <v>910993.5</v>
      </c>
      <c r="D14" s="180">
        <f t="shared" si="2"/>
        <v>16759</v>
      </c>
      <c r="E14" s="180">
        <f t="shared" si="3"/>
        <v>5570058</v>
      </c>
      <c r="F14" s="340"/>
      <c r="G14" s="181">
        <f t="shared" si="0"/>
        <v>910993.5</v>
      </c>
      <c r="H14" s="262">
        <f t="shared" si="6"/>
        <v>1267452</v>
      </c>
      <c r="I14" s="457"/>
      <c r="J14" s="181">
        <f t="shared" si="4"/>
        <v>1925224</v>
      </c>
      <c r="K14" s="181">
        <f t="shared" si="5"/>
        <v>1532476</v>
      </c>
      <c r="L14" s="181">
        <f t="shared" si="1"/>
        <v>3644834</v>
      </c>
      <c r="M14" s="1204" t="s">
        <v>1508</v>
      </c>
    </row>
    <row r="15" spans="1:13" ht="30" customHeight="1">
      <c r="A15" s="188">
        <v>41975</v>
      </c>
      <c r="B15" s="340">
        <v>3937</v>
      </c>
      <c r="C15" s="340">
        <v>1310341.5</v>
      </c>
      <c r="D15" s="180">
        <f t="shared" si="2"/>
        <v>20696</v>
      </c>
      <c r="E15" s="180">
        <f t="shared" si="3"/>
        <v>6880399.5</v>
      </c>
      <c r="F15" s="340"/>
      <c r="G15" s="181">
        <f t="shared" si="0"/>
        <v>1310341.5</v>
      </c>
      <c r="H15" s="262">
        <f t="shared" si="6"/>
        <v>1201364.5</v>
      </c>
      <c r="I15" s="457">
        <v>1000000</v>
      </c>
      <c r="J15" s="181">
        <f t="shared" si="4"/>
        <v>2925224</v>
      </c>
      <c r="K15" s="181">
        <f t="shared" si="5"/>
        <v>1733840.5</v>
      </c>
      <c r="L15" s="252">
        <f t="shared" si="1"/>
        <v>3955175.5</v>
      </c>
      <c r="M15" s="1205"/>
    </row>
    <row r="16" spans="1:13" ht="30" customHeight="1">
      <c r="A16" s="1203">
        <v>42005</v>
      </c>
      <c r="B16" s="340">
        <v>1704</v>
      </c>
      <c r="C16" s="340">
        <v>538068</v>
      </c>
      <c r="D16" s="180">
        <f t="shared" si="2"/>
        <v>22400</v>
      </c>
      <c r="E16" s="180">
        <f t="shared" si="3"/>
        <v>7418467.5</v>
      </c>
      <c r="F16" s="340"/>
      <c r="G16" s="181">
        <f t="shared" si="0"/>
        <v>538068</v>
      </c>
      <c r="H16" s="262">
        <f t="shared" si="6"/>
        <v>910993.5</v>
      </c>
      <c r="I16" s="457">
        <v>1500000</v>
      </c>
      <c r="J16" s="181">
        <f t="shared" si="4"/>
        <v>4425224</v>
      </c>
      <c r="K16" s="437">
        <f t="shared" si="5"/>
        <v>1144834</v>
      </c>
      <c r="L16" s="181">
        <f t="shared" si="1"/>
        <v>2993243.5</v>
      </c>
      <c r="M16" s="1085" t="s">
        <v>1509</v>
      </c>
    </row>
    <row r="17" spans="1:13" ht="30" customHeight="1">
      <c r="A17" s="1203" t="s">
        <v>1510</v>
      </c>
      <c r="B17" s="340"/>
      <c r="C17" s="340">
        <v>4398</v>
      </c>
      <c r="D17" s="180">
        <f t="shared" ref="D17:D32" si="7">D16+B17</f>
        <v>22400</v>
      </c>
      <c r="E17" s="180">
        <f t="shared" ref="E17:E32" si="8">E16+C17</f>
        <v>7422865.5</v>
      </c>
      <c r="F17" s="340"/>
      <c r="G17" s="181"/>
      <c r="H17" s="262"/>
      <c r="I17" s="457"/>
      <c r="J17" s="181">
        <f t="shared" ref="J17:J32" si="9">J16+I17</f>
        <v>4425224</v>
      </c>
      <c r="K17" s="437">
        <f t="shared" ref="K17:K32" si="10">K16+H17-I17</f>
        <v>1144834</v>
      </c>
      <c r="L17" s="181">
        <f t="shared" ref="L17:L32" si="11">E17-J17</f>
        <v>2997641.5</v>
      </c>
      <c r="M17" s="1085"/>
    </row>
    <row r="18" spans="1:13" ht="30" customHeight="1">
      <c r="A18" s="1203">
        <v>42037</v>
      </c>
      <c r="B18" s="340">
        <v>640.5</v>
      </c>
      <c r="C18" s="340">
        <v>215683.5</v>
      </c>
      <c r="D18" s="180">
        <f t="shared" si="7"/>
        <v>23040.5</v>
      </c>
      <c r="E18" s="180">
        <f t="shared" si="8"/>
        <v>7638549</v>
      </c>
      <c r="F18" s="340"/>
      <c r="G18" s="181">
        <f>C18</f>
        <v>215683.5</v>
      </c>
      <c r="H18" s="262">
        <f>C15</f>
        <v>1310341.5</v>
      </c>
      <c r="I18" s="457">
        <v>500000</v>
      </c>
      <c r="J18" s="181">
        <f t="shared" si="9"/>
        <v>4925224</v>
      </c>
      <c r="K18" s="437">
        <f t="shared" si="10"/>
        <v>1955175.5</v>
      </c>
      <c r="L18" s="181">
        <f t="shared" si="11"/>
        <v>2713325</v>
      </c>
      <c r="M18" s="1085" t="s">
        <v>1511</v>
      </c>
    </row>
    <row r="19" spans="1:13" ht="30" customHeight="1">
      <c r="A19" s="1203">
        <v>42069</v>
      </c>
      <c r="B19" s="340">
        <v>531</v>
      </c>
      <c r="C19" s="340">
        <v>182399.5</v>
      </c>
      <c r="D19" s="180">
        <f t="shared" si="7"/>
        <v>23571.5</v>
      </c>
      <c r="E19" s="180">
        <f t="shared" si="8"/>
        <v>7820948.5</v>
      </c>
      <c r="F19" s="340"/>
      <c r="G19" s="457">
        <f t="shared" ref="G19:G31" si="12">C19</f>
        <v>182399.5</v>
      </c>
      <c r="H19" s="262">
        <f>C16+C17</f>
        <v>542466</v>
      </c>
      <c r="I19" s="457">
        <v>300000</v>
      </c>
      <c r="J19" s="181">
        <f t="shared" si="9"/>
        <v>5225224</v>
      </c>
      <c r="K19" s="437">
        <f t="shared" si="10"/>
        <v>2197641.5</v>
      </c>
      <c r="L19" s="181">
        <f t="shared" si="11"/>
        <v>2595724.5</v>
      </c>
      <c r="M19" s="1085" t="s">
        <v>1512</v>
      </c>
    </row>
    <row r="20" spans="1:13" ht="30" customHeight="1">
      <c r="A20" s="190">
        <v>42095</v>
      </c>
      <c r="B20" s="180">
        <v>629.5</v>
      </c>
      <c r="C20" s="180">
        <v>202099</v>
      </c>
      <c r="D20" s="180">
        <f t="shared" si="7"/>
        <v>24201</v>
      </c>
      <c r="E20" s="180">
        <f t="shared" si="8"/>
        <v>8023047.5</v>
      </c>
      <c r="F20" s="180"/>
      <c r="G20" s="181">
        <f t="shared" si="12"/>
        <v>202099</v>
      </c>
      <c r="H20" s="181">
        <f>C18</f>
        <v>215683.5</v>
      </c>
      <c r="I20" s="181">
        <v>500000</v>
      </c>
      <c r="J20" s="181">
        <f t="shared" si="9"/>
        <v>5725224</v>
      </c>
      <c r="K20" s="437">
        <f t="shared" si="10"/>
        <v>1913325</v>
      </c>
      <c r="L20" s="181">
        <f t="shared" si="11"/>
        <v>2297823.5</v>
      </c>
      <c r="M20" s="1120" t="s">
        <v>1513</v>
      </c>
    </row>
    <row r="21" spans="1:13" ht="30" customHeight="1">
      <c r="A21" s="190">
        <v>42125</v>
      </c>
      <c r="B21" s="180">
        <v>380.5</v>
      </c>
      <c r="C21" s="180">
        <v>117543.5</v>
      </c>
      <c r="D21" s="180">
        <f t="shared" si="7"/>
        <v>24581.5</v>
      </c>
      <c r="E21" s="180">
        <f t="shared" si="8"/>
        <v>8140591</v>
      </c>
      <c r="F21" s="180"/>
      <c r="G21" s="181">
        <f t="shared" si="12"/>
        <v>117543.5</v>
      </c>
      <c r="H21" s="181">
        <f t="shared" ref="H21:H32" si="13">C19</f>
        <v>182399.5</v>
      </c>
      <c r="I21" s="181">
        <f>400000</f>
        <v>400000</v>
      </c>
      <c r="J21" s="181">
        <f t="shared" si="9"/>
        <v>6125224</v>
      </c>
      <c r="K21" s="437">
        <f t="shared" si="10"/>
        <v>1695724.5</v>
      </c>
      <c r="L21" s="181">
        <f t="shared" si="11"/>
        <v>2015367</v>
      </c>
      <c r="M21" s="1085" t="s">
        <v>1514</v>
      </c>
    </row>
    <row r="22" spans="1:13" ht="30" customHeight="1">
      <c r="A22" s="190">
        <v>42156</v>
      </c>
      <c r="B22" s="180">
        <v>353.5</v>
      </c>
      <c r="C22" s="180">
        <v>108972</v>
      </c>
      <c r="D22" s="180">
        <f t="shared" si="7"/>
        <v>24935</v>
      </c>
      <c r="E22" s="180">
        <f t="shared" si="8"/>
        <v>8249563</v>
      </c>
      <c r="F22" s="180"/>
      <c r="G22" s="181">
        <f t="shared" si="12"/>
        <v>108972</v>
      </c>
      <c r="H22" s="181">
        <f t="shared" si="13"/>
        <v>202099</v>
      </c>
      <c r="I22" s="181">
        <v>500000</v>
      </c>
      <c r="J22" s="181">
        <f t="shared" si="9"/>
        <v>6625224</v>
      </c>
      <c r="K22" s="437">
        <f t="shared" si="10"/>
        <v>1397823.5</v>
      </c>
      <c r="L22" s="181">
        <f t="shared" si="11"/>
        <v>1624339</v>
      </c>
      <c r="M22" s="1085" t="s">
        <v>1515</v>
      </c>
    </row>
    <row r="23" spans="1:13" ht="30" customHeight="1">
      <c r="A23" s="190">
        <v>42186</v>
      </c>
      <c r="B23" s="180">
        <v>340.5</v>
      </c>
      <c r="C23" s="180">
        <v>105616</v>
      </c>
      <c r="D23" s="180">
        <f t="shared" si="7"/>
        <v>25275.5</v>
      </c>
      <c r="E23" s="180">
        <f t="shared" si="8"/>
        <v>8355179</v>
      </c>
      <c r="F23" s="180"/>
      <c r="G23" s="181">
        <f t="shared" si="12"/>
        <v>105616</v>
      </c>
      <c r="H23" s="181">
        <f t="shared" si="13"/>
        <v>117543.5</v>
      </c>
      <c r="I23" s="181">
        <v>500000</v>
      </c>
      <c r="J23" s="181">
        <f t="shared" si="9"/>
        <v>7125224</v>
      </c>
      <c r="K23" s="437">
        <f t="shared" si="10"/>
        <v>1015367</v>
      </c>
      <c r="L23" s="181">
        <f t="shared" si="11"/>
        <v>1229955</v>
      </c>
      <c r="M23" s="1085" t="s">
        <v>1516</v>
      </c>
    </row>
    <row r="24" spans="1:13" ht="30" customHeight="1">
      <c r="A24" s="190">
        <v>42217</v>
      </c>
      <c r="B24" s="180">
        <v>766</v>
      </c>
      <c r="C24" s="180">
        <v>263627</v>
      </c>
      <c r="D24" s="180">
        <f t="shared" si="7"/>
        <v>26041.5</v>
      </c>
      <c r="E24" s="180">
        <f t="shared" si="8"/>
        <v>8618806</v>
      </c>
      <c r="F24" s="180"/>
      <c r="G24" s="181">
        <f t="shared" si="12"/>
        <v>263627</v>
      </c>
      <c r="H24" s="181">
        <f t="shared" si="13"/>
        <v>108972</v>
      </c>
      <c r="I24" s="181">
        <f>300000</f>
        <v>300000</v>
      </c>
      <c r="J24" s="181">
        <f t="shared" si="9"/>
        <v>7425224</v>
      </c>
      <c r="K24" s="437">
        <f t="shared" si="10"/>
        <v>824339</v>
      </c>
      <c r="L24" s="181">
        <f t="shared" si="11"/>
        <v>1193582</v>
      </c>
      <c r="M24" s="1085" t="s">
        <v>1517</v>
      </c>
    </row>
    <row r="25" spans="1:13" ht="30" customHeight="1">
      <c r="A25" s="190">
        <v>42248</v>
      </c>
      <c r="B25" s="180">
        <v>229.5</v>
      </c>
      <c r="C25" s="180">
        <v>67539</v>
      </c>
      <c r="D25" s="180">
        <f t="shared" si="7"/>
        <v>26271</v>
      </c>
      <c r="E25" s="180">
        <f t="shared" si="8"/>
        <v>8686345</v>
      </c>
      <c r="F25" s="180"/>
      <c r="G25" s="181">
        <f t="shared" si="12"/>
        <v>67539</v>
      </c>
      <c r="H25" s="181">
        <f t="shared" si="13"/>
        <v>105616</v>
      </c>
      <c r="I25" s="181">
        <v>500000</v>
      </c>
      <c r="J25" s="181">
        <f t="shared" si="9"/>
        <v>7925224</v>
      </c>
      <c r="K25" s="437">
        <f t="shared" si="10"/>
        <v>429955</v>
      </c>
      <c r="L25" s="181">
        <f t="shared" si="11"/>
        <v>761121</v>
      </c>
      <c r="M25" s="1085"/>
    </row>
    <row r="26" spans="1:13" ht="30" customHeight="1">
      <c r="A26" s="190">
        <v>42278</v>
      </c>
      <c r="B26" s="180">
        <v>693.5</v>
      </c>
      <c r="C26" s="180">
        <v>199619.5</v>
      </c>
      <c r="D26" s="180">
        <f t="shared" si="7"/>
        <v>26964.5</v>
      </c>
      <c r="E26" s="180">
        <f t="shared" si="8"/>
        <v>8885964.5</v>
      </c>
      <c r="F26" s="180"/>
      <c r="G26" s="181">
        <f t="shared" si="12"/>
        <v>199619.5</v>
      </c>
      <c r="H26" s="181">
        <f t="shared" si="13"/>
        <v>263627</v>
      </c>
      <c r="I26" s="181">
        <v>270000</v>
      </c>
      <c r="J26" s="181">
        <f t="shared" si="9"/>
        <v>8195224</v>
      </c>
      <c r="K26" s="437">
        <f t="shared" si="10"/>
        <v>423582</v>
      </c>
      <c r="L26" s="181">
        <f t="shared" si="11"/>
        <v>690740.5</v>
      </c>
      <c r="M26" s="1085" t="s">
        <v>1518</v>
      </c>
    </row>
    <row r="27" spans="1:13" ht="30" customHeight="1">
      <c r="A27" s="190">
        <v>42309</v>
      </c>
      <c r="B27" s="180">
        <v>797</v>
      </c>
      <c r="C27" s="180">
        <v>219890</v>
      </c>
      <c r="D27" s="180">
        <f t="shared" si="7"/>
        <v>27761.5</v>
      </c>
      <c r="E27" s="180">
        <f t="shared" si="8"/>
        <v>9105854.5</v>
      </c>
      <c r="F27" s="180"/>
      <c r="G27" s="181">
        <f t="shared" si="12"/>
        <v>219890</v>
      </c>
      <c r="H27" s="181">
        <f t="shared" si="13"/>
        <v>67539</v>
      </c>
      <c r="I27" s="181">
        <v>32240</v>
      </c>
      <c r="J27" s="181">
        <f t="shared" si="9"/>
        <v>8227464</v>
      </c>
      <c r="K27" s="437">
        <f t="shared" si="10"/>
        <v>458881</v>
      </c>
      <c r="L27" s="181">
        <f t="shared" si="11"/>
        <v>878390.5</v>
      </c>
      <c r="M27" s="1085" t="s">
        <v>1519</v>
      </c>
    </row>
    <row r="28" spans="1:13" ht="30" customHeight="1">
      <c r="A28" s="190">
        <v>42339</v>
      </c>
      <c r="B28" s="180">
        <v>434</v>
      </c>
      <c r="C28" s="180">
        <v>118065</v>
      </c>
      <c r="D28" s="180">
        <f t="shared" si="7"/>
        <v>28195.5</v>
      </c>
      <c r="E28" s="180">
        <f t="shared" si="8"/>
        <v>9223919.5</v>
      </c>
      <c r="F28" s="180"/>
      <c r="G28" s="181">
        <f t="shared" si="12"/>
        <v>118065</v>
      </c>
      <c r="H28" s="181">
        <f t="shared" si="13"/>
        <v>199619.5</v>
      </c>
      <c r="I28" s="181">
        <f>200000</f>
        <v>200000</v>
      </c>
      <c r="J28" s="181">
        <f t="shared" si="9"/>
        <v>8427464</v>
      </c>
      <c r="K28" s="437">
        <f t="shared" si="10"/>
        <v>458500.5</v>
      </c>
      <c r="L28" s="181">
        <f t="shared" si="11"/>
        <v>796455.5</v>
      </c>
      <c r="M28" s="1085" t="s">
        <v>1520</v>
      </c>
    </row>
    <row r="29" spans="1:13" ht="30" customHeight="1">
      <c r="A29" s="190">
        <v>42370</v>
      </c>
      <c r="B29" s="180">
        <v>0</v>
      </c>
      <c r="C29" s="180">
        <v>0</v>
      </c>
      <c r="D29" s="180">
        <f t="shared" si="7"/>
        <v>28195.5</v>
      </c>
      <c r="E29" s="180">
        <f t="shared" si="8"/>
        <v>9223919.5</v>
      </c>
      <c r="F29" s="180"/>
      <c r="G29" s="181">
        <f t="shared" si="12"/>
        <v>0</v>
      </c>
      <c r="H29" s="181">
        <f t="shared" si="13"/>
        <v>219890</v>
      </c>
      <c r="I29" s="181">
        <v>224295.5</v>
      </c>
      <c r="J29" s="181">
        <f t="shared" si="9"/>
        <v>8651759.5</v>
      </c>
      <c r="K29" s="437">
        <f t="shared" si="10"/>
        <v>454095</v>
      </c>
      <c r="L29" s="181">
        <f t="shared" si="11"/>
        <v>572160</v>
      </c>
      <c r="M29" s="1085" t="s">
        <v>1521</v>
      </c>
    </row>
    <row r="30" spans="1:13" ht="30" customHeight="1">
      <c r="A30" s="190">
        <v>42401</v>
      </c>
      <c r="B30" s="180">
        <v>0</v>
      </c>
      <c r="C30" s="180">
        <v>0</v>
      </c>
      <c r="D30" s="180">
        <f t="shared" si="7"/>
        <v>28195.5</v>
      </c>
      <c r="E30" s="180">
        <f t="shared" si="8"/>
        <v>9223919.5</v>
      </c>
      <c r="F30" s="180"/>
      <c r="G30" s="181">
        <f t="shared" si="12"/>
        <v>0</v>
      </c>
      <c r="H30" s="181">
        <f t="shared" si="13"/>
        <v>118065</v>
      </c>
      <c r="I30" s="181">
        <v>200000</v>
      </c>
      <c r="J30" s="181">
        <f t="shared" si="9"/>
        <v>8851759.5</v>
      </c>
      <c r="K30" s="437">
        <f t="shared" si="10"/>
        <v>372160</v>
      </c>
      <c r="L30" s="181">
        <f t="shared" si="11"/>
        <v>372160</v>
      </c>
      <c r="M30" s="1085"/>
    </row>
    <row r="31" spans="1:13" ht="30" customHeight="1">
      <c r="A31" s="190">
        <v>42430</v>
      </c>
      <c r="B31" s="180">
        <v>0</v>
      </c>
      <c r="C31" s="180">
        <v>0</v>
      </c>
      <c r="D31" s="180">
        <f t="shared" si="7"/>
        <v>28195.5</v>
      </c>
      <c r="E31" s="180">
        <f t="shared" si="8"/>
        <v>9223919.5</v>
      </c>
      <c r="F31" s="180"/>
      <c r="G31" s="181">
        <f t="shared" si="12"/>
        <v>0</v>
      </c>
      <c r="H31" s="181">
        <f t="shared" si="13"/>
        <v>0</v>
      </c>
      <c r="I31" s="181">
        <v>200000</v>
      </c>
      <c r="J31" s="181">
        <f t="shared" si="9"/>
        <v>9051759.5</v>
      </c>
      <c r="K31" s="437">
        <f t="shared" si="10"/>
        <v>172160</v>
      </c>
      <c r="L31" s="181">
        <f t="shared" si="11"/>
        <v>172160</v>
      </c>
      <c r="M31" s="1085" t="s">
        <v>1522</v>
      </c>
    </row>
    <row r="32" spans="1:13" ht="30" customHeight="1">
      <c r="A32" s="190">
        <v>42887</v>
      </c>
      <c r="B32" s="180">
        <v>0</v>
      </c>
      <c r="C32" s="180">
        <v>0</v>
      </c>
      <c r="D32" s="180">
        <f t="shared" si="7"/>
        <v>28195.5</v>
      </c>
      <c r="E32" s="180">
        <f t="shared" si="8"/>
        <v>9223919.5</v>
      </c>
      <c r="F32" s="180"/>
      <c r="G32" s="181"/>
      <c r="H32" s="181">
        <f t="shared" si="13"/>
        <v>0</v>
      </c>
      <c r="I32" s="181">
        <v>172160</v>
      </c>
      <c r="J32" s="181">
        <f t="shared" si="9"/>
        <v>9223919.5</v>
      </c>
      <c r="K32" s="437">
        <f t="shared" si="10"/>
        <v>0</v>
      </c>
      <c r="L32" s="181">
        <f t="shared" si="11"/>
        <v>0</v>
      </c>
      <c r="M32" s="1085" t="s">
        <v>1523</v>
      </c>
    </row>
    <row r="33" spans="1:13" ht="51.95" customHeight="1">
      <c r="A33" s="190"/>
      <c r="B33" s="180"/>
      <c r="C33" s="180"/>
      <c r="D33" s="180"/>
      <c r="E33" s="180"/>
      <c r="F33" s="180"/>
      <c r="G33" s="181"/>
      <c r="H33" s="181"/>
      <c r="I33" s="181"/>
      <c r="J33" s="1206"/>
      <c r="K33" s="437"/>
      <c r="L33" s="181"/>
      <c r="M33" s="1085" t="s">
        <v>1524</v>
      </c>
    </row>
    <row r="34" spans="1:13" ht="30" customHeight="1">
      <c r="A34" s="190"/>
      <c r="B34" s="180"/>
      <c r="C34" s="180"/>
      <c r="D34" s="180"/>
      <c r="E34" s="180"/>
      <c r="F34" s="180"/>
      <c r="G34" s="181"/>
      <c r="H34" s="181"/>
      <c r="I34" s="181"/>
      <c r="J34" s="1206"/>
      <c r="K34" s="437"/>
      <c r="L34" s="181"/>
      <c r="M34" s="1085"/>
    </row>
    <row r="35" spans="1:13" ht="30" customHeight="1">
      <c r="A35" s="190"/>
      <c r="B35" s="180"/>
      <c r="C35" s="180"/>
      <c r="D35" s="180"/>
      <c r="E35" s="180"/>
      <c r="F35" s="180"/>
      <c r="G35" s="181"/>
      <c r="H35" s="181"/>
      <c r="I35" s="181"/>
      <c r="J35" s="1206"/>
      <c r="K35" s="437"/>
      <c r="L35" s="181"/>
      <c r="M35" s="1085"/>
    </row>
    <row r="36" spans="1:13" ht="30" customHeight="1">
      <c r="A36" s="190"/>
      <c r="B36" s="180"/>
      <c r="C36" s="180"/>
      <c r="D36" s="180"/>
      <c r="E36" s="180"/>
      <c r="F36" s="180"/>
      <c r="G36" s="181"/>
      <c r="H36" s="181"/>
      <c r="I36" s="181"/>
      <c r="J36" s="181"/>
      <c r="K36" s="181"/>
      <c r="L36" s="181"/>
      <c r="M36" s="1085"/>
    </row>
  </sheetData>
  <mergeCells count="13">
    <mergeCell ref="B3:C3"/>
    <mergeCell ref="B4:F4"/>
    <mergeCell ref="G4:J4"/>
    <mergeCell ref="K4:M4"/>
    <mergeCell ref="B5:G5"/>
    <mergeCell ref="H5:K5"/>
    <mergeCell ref="C1:D1"/>
    <mergeCell ref="F1:G1"/>
    <mergeCell ref="I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31"/>
  <sheetViews>
    <sheetView topLeftCell="A4" zoomScaleSheetLayoutView="100" workbookViewId="0">
      <selection activeCell="F13" sqref="F13"/>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9" width="14.5" customWidth="1"/>
    <col min="10" max="10" width="11.75" customWidth="1"/>
    <col min="11" max="11" width="13.75" customWidth="1"/>
    <col min="12" max="12" width="13.875" customWidth="1"/>
    <col min="13" max="13" width="25.25" customWidth="1"/>
  </cols>
  <sheetData>
    <row r="1" spans="1:13" ht="48" customHeight="1">
      <c r="A1" s="34" t="s">
        <v>556</v>
      </c>
      <c r="B1" s="176"/>
      <c r="C1" s="1789" t="s">
        <v>1525</v>
      </c>
      <c r="D1" s="1789"/>
      <c r="E1" s="38" t="s">
        <v>236</v>
      </c>
      <c r="F1" s="1860" t="s">
        <v>1526</v>
      </c>
      <c r="G1" s="1860"/>
      <c r="H1" s="57" t="s">
        <v>237</v>
      </c>
      <c r="I1" s="1791" t="s">
        <v>1527</v>
      </c>
      <c r="J1" s="1791"/>
      <c r="K1" s="1791"/>
      <c r="L1" s="1861"/>
      <c r="M1" s="1862"/>
    </row>
    <row r="2" spans="1:13" ht="33" customHeight="1">
      <c r="A2" s="39" t="s">
        <v>240</v>
      </c>
      <c r="B2" s="1637" t="s">
        <v>1528</v>
      </c>
      <c r="C2" s="1637"/>
      <c r="D2" s="41" t="s">
        <v>242</v>
      </c>
      <c r="E2" s="1863" t="s">
        <v>1529</v>
      </c>
      <c r="F2" s="1746"/>
      <c r="G2" s="1746"/>
      <c r="H2" s="1746"/>
      <c r="I2" s="41" t="s">
        <v>243</v>
      </c>
      <c r="J2" s="1637"/>
      <c r="K2" s="1637"/>
      <c r="L2" s="177" t="s">
        <v>245</v>
      </c>
      <c r="M2" s="1200" t="s">
        <v>1530</v>
      </c>
    </row>
    <row r="3" spans="1:13" ht="57.95" customHeight="1">
      <c r="A3" s="39" t="s">
        <v>247</v>
      </c>
      <c r="B3" s="1637" t="s">
        <v>1531</v>
      </c>
      <c r="C3" s="1637"/>
      <c r="D3" s="41" t="s">
        <v>249</v>
      </c>
      <c r="E3" s="40"/>
      <c r="F3" s="41" t="s">
        <v>251</v>
      </c>
      <c r="G3" s="40"/>
      <c r="H3" s="177" t="s">
        <v>252</v>
      </c>
      <c r="I3" s="1170"/>
      <c r="J3" s="91" t="s">
        <v>253</v>
      </c>
      <c r="K3" s="15"/>
      <c r="L3" s="15" t="s">
        <v>1469</v>
      </c>
      <c r="M3" s="92" t="s">
        <v>1530</v>
      </c>
    </row>
    <row r="4" spans="1:13" ht="33" customHeight="1">
      <c r="A4" s="1127" t="s">
        <v>260</v>
      </c>
      <c r="B4" s="1856"/>
      <c r="C4" s="1856"/>
      <c r="D4" s="1856"/>
      <c r="E4" s="1856"/>
      <c r="F4" s="1856"/>
      <c r="G4" s="1857"/>
      <c r="H4" s="1858"/>
      <c r="I4" s="1858"/>
      <c r="J4" s="1858"/>
      <c r="K4" s="1858"/>
      <c r="L4" s="1858"/>
      <c r="M4" s="1859"/>
    </row>
    <row r="5" spans="1:13" ht="38.1" customHeight="1">
      <c r="A5" s="39" t="s">
        <v>258</v>
      </c>
      <c r="B5" s="1765"/>
      <c r="C5" s="1765"/>
      <c r="D5" s="1765"/>
      <c r="E5" s="1765"/>
      <c r="F5" s="1765"/>
      <c r="G5" s="1765"/>
      <c r="H5" s="1786"/>
      <c r="I5" s="1786"/>
      <c r="J5" s="1786"/>
      <c r="K5" s="1786"/>
      <c r="L5" s="178"/>
      <c r="M5" s="1134"/>
    </row>
    <row r="6" spans="1:13" ht="42.75">
      <c r="A6" s="381" t="s">
        <v>266</v>
      </c>
      <c r="B6" s="382" t="s">
        <v>1474</v>
      </c>
      <c r="C6" s="382" t="s">
        <v>268</v>
      </c>
      <c r="D6" s="382" t="s">
        <v>1475</v>
      </c>
      <c r="E6" s="382" t="s">
        <v>270</v>
      </c>
      <c r="F6" s="382" t="s">
        <v>1476</v>
      </c>
      <c r="G6" s="383" t="s">
        <v>272</v>
      </c>
      <c r="H6" s="614" t="s">
        <v>273</v>
      </c>
      <c r="I6" s="382" t="s">
        <v>274</v>
      </c>
      <c r="J6" s="391" t="s">
        <v>275</v>
      </c>
      <c r="K6" s="391" t="s">
        <v>276</v>
      </c>
      <c r="L6" s="382" t="s">
        <v>277</v>
      </c>
      <c r="M6" s="392" t="s">
        <v>278</v>
      </c>
    </row>
    <row r="7" spans="1:13" ht="27.95" customHeight="1">
      <c r="A7" s="324">
        <v>42005</v>
      </c>
      <c r="B7" s="412">
        <v>108</v>
      </c>
      <c r="C7" s="412">
        <v>31320</v>
      </c>
      <c r="D7" s="412">
        <f>B7</f>
        <v>108</v>
      </c>
      <c r="E7" s="412">
        <f>C7</f>
        <v>31320</v>
      </c>
      <c r="F7" s="412"/>
      <c r="G7" s="412"/>
      <c r="H7" s="412"/>
      <c r="I7" s="412"/>
      <c r="J7" s="412"/>
      <c r="K7" s="412"/>
      <c r="L7" s="412">
        <f>E7-J7</f>
        <v>31320</v>
      </c>
      <c r="M7" s="682"/>
    </row>
    <row r="8" spans="1:13" ht="27.95" customHeight="1">
      <c r="A8" s="324">
        <v>42036</v>
      </c>
      <c r="B8" s="412">
        <v>15</v>
      </c>
      <c r="C8" s="412">
        <v>4125</v>
      </c>
      <c r="D8" s="412">
        <f>D7+B8</f>
        <v>123</v>
      </c>
      <c r="E8" s="412">
        <f>E7+C8</f>
        <v>35445</v>
      </c>
      <c r="F8" s="412"/>
      <c r="G8" s="412"/>
      <c r="H8" s="412">
        <v>35445</v>
      </c>
      <c r="I8" s="412">
        <f>35445</f>
        <v>35445</v>
      </c>
      <c r="J8" s="412"/>
      <c r="K8" s="412">
        <f>K7+H8-I8</f>
        <v>0</v>
      </c>
      <c r="L8" s="412">
        <f>E8-J8</f>
        <v>35445</v>
      </c>
      <c r="M8" s="682" t="s">
        <v>1532</v>
      </c>
    </row>
    <row r="9" spans="1:13" ht="27.95" customHeight="1">
      <c r="A9" s="324"/>
      <c r="B9" s="412"/>
      <c r="C9" s="412"/>
      <c r="D9" s="412"/>
      <c r="E9" s="412"/>
      <c r="F9" s="412"/>
      <c r="G9" s="412"/>
      <c r="H9" s="412"/>
      <c r="I9" s="412"/>
      <c r="J9" s="412"/>
      <c r="K9" s="412">
        <f>K8+H9-I9</f>
        <v>0</v>
      </c>
      <c r="L9" s="412">
        <f>E9-J9</f>
        <v>0</v>
      </c>
      <c r="M9" s="1201"/>
    </row>
    <row r="10" spans="1:13" ht="27.95" customHeight="1">
      <c r="A10" s="1077"/>
      <c r="B10" s="1199"/>
      <c r="C10" s="1199"/>
      <c r="D10" s="1199"/>
      <c r="E10" s="1199"/>
      <c r="F10" s="1199"/>
      <c r="G10" s="1199"/>
      <c r="H10" s="1199"/>
      <c r="I10" s="1199"/>
      <c r="J10" s="1199"/>
      <c r="K10" s="412">
        <f>K9+H10-I10</f>
        <v>0</v>
      </c>
      <c r="L10" s="412"/>
      <c r="M10" s="412"/>
    </row>
    <row r="11" spans="1:13" ht="27.95" customHeight="1">
      <c r="A11" s="1077"/>
      <c r="B11" s="1199"/>
      <c r="C11" s="1199"/>
      <c r="D11" s="1199"/>
      <c r="E11" s="1199"/>
      <c r="F11" s="1199"/>
      <c r="G11" s="1199"/>
      <c r="H11" s="1199"/>
      <c r="I11" s="1199"/>
      <c r="J11" s="1199"/>
      <c r="K11" s="747"/>
      <c r="L11" s="412"/>
      <c r="M11" s="412"/>
    </row>
    <row r="12" spans="1:13" ht="27.95" customHeight="1">
      <c r="A12" s="1077"/>
      <c r="B12" s="1199"/>
      <c r="C12" s="1199"/>
      <c r="D12" s="1199"/>
      <c r="E12" s="1199"/>
      <c r="F12" s="1199"/>
      <c r="G12" s="1199"/>
      <c r="H12" s="1199"/>
      <c r="I12" s="1199"/>
      <c r="J12" s="1199"/>
      <c r="K12" s="747"/>
      <c r="L12" s="412"/>
      <c r="M12" s="412"/>
    </row>
    <row r="13" spans="1:13" ht="27.95" customHeight="1">
      <c r="A13" s="1077"/>
      <c r="B13" s="1199"/>
      <c r="C13" s="1199"/>
      <c r="D13" s="1199"/>
      <c r="E13" s="1199"/>
      <c r="F13" s="1199"/>
      <c r="G13" s="1199"/>
      <c r="H13" s="1199"/>
      <c r="I13" s="1199"/>
      <c r="J13" s="1199"/>
      <c r="K13" s="747"/>
      <c r="L13" s="412"/>
      <c r="M13" s="412"/>
    </row>
    <row r="14" spans="1:13" ht="27.95" customHeight="1">
      <c r="A14" s="1077"/>
      <c r="B14" s="1199"/>
      <c r="C14" s="1199"/>
      <c r="D14" s="1199"/>
      <c r="E14" s="1199"/>
      <c r="F14" s="1199"/>
      <c r="G14" s="1199"/>
      <c r="H14" s="1199"/>
      <c r="I14" s="1199"/>
      <c r="J14" s="1199"/>
      <c r="K14" s="747"/>
      <c r="L14" s="412"/>
      <c r="M14" s="412"/>
    </row>
    <row r="15" spans="1:13" ht="27.95" customHeight="1">
      <c r="A15" s="1077"/>
      <c r="B15" s="1199"/>
      <c r="C15" s="1199"/>
      <c r="D15" s="1199"/>
      <c r="E15" s="1199"/>
      <c r="F15" s="1199"/>
      <c r="G15" s="1199"/>
      <c r="H15" s="1199"/>
      <c r="I15" s="1199"/>
      <c r="J15" s="1199"/>
      <c r="K15" s="747"/>
      <c r="L15" s="412"/>
      <c r="M15" s="412"/>
    </row>
    <row r="16" spans="1:13" ht="27.95" customHeight="1">
      <c r="A16" s="1077"/>
      <c r="B16" s="1199"/>
      <c r="C16" s="1199"/>
      <c r="D16" s="1199"/>
      <c r="E16" s="1199"/>
      <c r="F16" s="1199"/>
      <c r="G16" s="1199"/>
      <c r="H16" s="1199"/>
      <c r="I16" s="1199"/>
      <c r="J16" s="1199"/>
      <c r="K16" s="747"/>
      <c r="L16" s="412"/>
      <c r="M16" s="412"/>
    </row>
    <row r="17" spans="1:13" ht="50.25" customHeight="1">
      <c r="A17" s="34" t="s">
        <v>556</v>
      </c>
      <c r="B17" s="176"/>
      <c r="C17" s="1789" t="s">
        <v>1525</v>
      </c>
      <c r="D17" s="1789"/>
      <c r="E17" s="38" t="s">
        <v>236</v>
      </c>
      <c r="F17" s="1790"/>
      <c r="G17" s="1790"/>
      <c r="H17" s="57" t="s">
        <v>237</v>
      </c>
      <c r="I17" s="1791" t="s">
        <v>1527</v>
      </c>
      <c r="J17" s="1791"/>
      <c r="K17" s="1791"/>
      <c r="L17" s="1861"/>
      <c r="M17" s="1862"/>
    </row>
    <row r="18" spans="1:13" ht="50.25" customHeight="1">
      <c r="A18" s="39" t="s">
        <v>240</v>
      </c>
      <c r="B18" s="1637"/>
      <c r="C18" s="1637"/>
      <c r="D18" s="41" t="s">
        <v>242</v>
      </c>
      <c r="E18" s="1746"/>
      <c r="F18" s="1746"/>
      <c r="G18" s="1746"/>
      <c r="H18" s="1746"/>
      <c r="I18" s="41" t="s">
        <v>243</v>
      </c>
      <c r="J18" s="1637"/>
      <c r="K18" s="1637"/>
      <c r="L18" s="177" t="s">
        <v>245</v>
      </c>
      <c r="M18" s="1200"/>
    </row>
    <row r="19" spans="1:13" ht="50.25" customHeight="1">
      <c r="A19" s="39" t="s">
        <v>247</v>
      </c>
      <c r="B19" s="1637" t="s">
        <v>1533</v>
      </c>
      <c r="C19" s="1637"/>
      <c r="D19" s="41" t="s">
        <v>249</v>
      </c>
      <c r="E19" s="40"/>
      <c r="F19" s="41" t="s">
        <v>251</v>
      </c>
      <c r="G19" s="40"/>
      <c r="H19" s="177" t="s">
        <v>252</v>
      </c>
      <c r="I19" s="1170"/>
      <c r="J19" s="91" t="s">
        <v>253</v>
      </c>
      <c r="K19" s="15"/>
      <c r="L19" s="15" t="s">
        <v>1469</v>
      </c>
      <c r="M19" s="92" t="s">
        <v>1530</v>
      </c>
    </row>
    <row r="20" spans="1:13" ht="50.25" customHeight="1">
      <c r="A20" s="1127" t="s">
        <v>260</v>
      </c>
      <c r="B20" s="1856"/>
      <c r="C20" s="1856"/>
      <c r="D20" s="1856"/>
      <c r="E20" s="1856"/>
      <c r="F20" s="1856"/>
      <c r="G20" s="1857"/>
      <c r="H20" s="1858"/>
      <c r="I20" s="1858"/>
      <c r="J20" s="1858"/>
      <c r="K20" s="1858"/>
      <c r="L20" s="1858"/>
      <c r="M20" s="1859"/>
    </row>
    <row r="21" spans="1:13" ht="50.25" customHeight="1">
      <c r="A21" s="39" t="s">
        <v>258</v>
      </c>
      <c r="B21" s="1765"/>
      <c r="C21" s="1765"/>
      <c r="D21" s="1765"/>
      <c r="E21" s="1765"/>
      <c r="F21" s="1765"/>
      <c r="G21" s="1765"/>
      <c r="H21" s="1786"/>
      <c r="I21" s="1786"/>
      <c r="J21" s="1786"/>
      <c r="K21" s="1786"/>
      <c r="L21" s="178"/>
      <c r="M21" s="1134"/>
    </row>
    <row r="22" spans="1:13" ht="42.75">
      <c r="A22" s="381" t="s">
        <v>266</v>
      </c>
      <c r="B22" s="382" t="s">
        <v>1474</v>
      </c>
      <c r="C22" s="382" t="s">
        <v>268</v>
      </c>
      <c r="D22" s="382" t="s">
        <v>1475</v>
      </c>
      <c r="E22" s="382" t="s">
        <v>270</v>
      </c>
      <c r="F22" s="382" t="s">
        <v>1476</v>
      </c>
      <c r="G22" s="383" t="s">
        <v>272</v>
      </c>
      <c r="H22" s="614" t="s">
        <v>273</v>
      </c>
      <c r="I22" s="382" t="s">
        <v>274</v>
      </c>
      <c r="J22" s="391" t="s">
        <v>275</v>
      </c>
      <c r="K22" s="391" t="s">
        <v>276</v>
      </c>
      <c r="L22" s="382" t="s">
        <v>277</v>
      </c>
      <c r="M22" s="392" t="s">
        <v>278</v>
      </c>
    </row>
    <row r="23" spans="1:13" ht="30" customHeight="1">
      <c r="A23" s="405">
        <v>42064</v>
      </c>
      <c r="B23" s="412">
        <v>30</v>
      </c>
      <c r="C23" s="412">
        <v>8670</v>
      </c>
      <c r="D23" s="412">
        <f>B23</f>
        <v>30</v>
      </c>
      <c r="E23" s="412">
        <f>C23</f>
        <v>8670</v>
      </c>
      <c r="F23" s="412"/>
      <c r="G23" s="412"/>
      <c r="H23" s="412"/>
      <c r="I23" s="412"/>
      <c r="J23" s="412"/>
      <c r="K23" s="412"/>
      <c r="L23" s="412">
        <f>E23-J23</f>
        <v>8670</v>
      </c>
      <c r="M23" s="412"/>
    </row>
    <row r="24" spans="1:13" ht="30" customHeight="1">
      <c r="A24" s="405"/>
      <c r="B24" s="412"/>
      <c r="C24" s="412"/>
      <c r="D24" s="412">
        <f>D23+B24</f>
        <v>30</v>
      </c>
      <c r="E24" s="412">
        <f>E23+C24</f>
        <v>8670</v>
      </c>
      <c r="F24" s="412"/>
      <c r="G24" s="412"/>
      <c r="H24" s="412"/>
      <c r="I24" s="412">
        <v>8670</v>
      </c>
      <c r="J24" s="412">
        <f>8670</f>
        <v>8670</v>
      </c>
      <c r="K24" s="412">
        <f>K23+H24-I24</f>
        <v>-8670</v>
      </c>
      <c r="L24" s="412">
        <f>E24-J24</f>
        <v>0</v>
      </c>
      <c r="M24" s="412" t="s">
        <v>1534</v>
      </c>
    </row>
    <row r="25" spans="1:13" ht="30" customHeight="1">
      <c r="A25" s="405"/>
      <c r="B25" s="412"/>
      <c r="C25" s="412"/>
      <c r="D25" s="412"/>
      <c r="E25" s="412"/>
      <c r="F25" s="412"/>
      <c r="G25" s="412"/>
      <c r="H25" s="412"/>
      <c r="I25" s="412"/>
      <c r="J25" s="412"/>
      <c r="K25" s="412">
        <f>K24+H25-I25</f>
        <v>-8670</v>
      </c>
      <c r="L25" s="412">
        <f>E25-J25</f>
        <v>0</v>
      </c>
      <c r="M25" s="412"/>
    </row>
    <row r="26" spans="1:13" ht="30" customHeight="1">
      <c r="A26" s="405"/>
      <c r="B26" s="412"/>
      <c r="C26" s="412"/>
      <c r="D26" s="412"/>
      <c r="E26" s="412"/>
      <c r="F26" s="412"/>
      <c r="G26" s="412"/>
      <c r="H26" s="412"/>
      <c r="I26" s="412"/>
      <c r="J26" s="412"/>
      <c r="K26" s="412"/>
      <c r="L26" s="412"/>
      <c r="M26" s="412"/>
    </row>
    <row r="27" spans="1:13" ht="30" customHeight="1">
      <c r="A27" s="405"/>
      <c r="B27" s="412"/>
      <c r="C27" s="412"/>
      <c r="D27" s="412"/>
      <c r="E27" s="412"/>
      <c r="F27" s="412"/>
      <c r="G27" s="412"/>
      <c r="H27" s="412"/>
      <c r="I27" s="412"/>
      <c r="J27" s="412"/>
      <c r="K27" s="412"/>
      <c r="L27" s="412"/>
      <c r="M27" s="412"/>
    </row>
    <row r="28" spans="1:13" ht="30" customHeight="1">
      <c r="A28" s="405"/>
      <c r="B28" s="412"/>
      <c r="C28" s="412"/>
      <c r="D28" s="412"/>
      <c r="E28" s="412"/>
      <c r="F28" s="412"/>
      <c r="G28" s="412"/>
      <c r="H28" s="412"/>
      <c r="I28" s="412"/>
      <c r="J28" s="412"/>
      <c r="K28" s="412"/>
      <c r="L28" s="412"/>
      <c r="M28" s="412"/>
    </row>
    <row r="29" spans="1:13" ht="30" customHeight="1">
      <c r="A29" s="405"/>
      <c r="B29" s="412"/>
      <c r="C29" s="412"/>
      <c r="D29" s="412"/>
      <c r="E29" s="412"/>
      <c r="F29" s="412"/>
      <c r="G29" s="412"/>
      <c r="H29" s="412"/>
      <c r="I29" s="412"/>
      <c r="J29" s="412"/>
      <c r="K29" s="412"/>
      <c r="L29" s="412"/>
      <c r="M29" s="412"/>
    </row>
    <row r="30" spans="1:13" ht="30" customHeight="1">
      <c r="A30" s="216"/>
      <c r="B30" s="412"/>
      <c r="C30" s="412"/>
      <c r="D30" s="412"/>
      <c r="E30" s="412"/>
      <c r="F30" s="412"/>
      <c r="G30" s="412"/>
      <c r="H30" s="412"/>
      <c r="I30" s="412"/>
      <c r="J30" s="412"/>
      <c r="K30" s="412"/>
      <c r="L30" s="412"/>
      <c r="M30" s="412"/>
    </row>
    <row r="31" spans="1:13" ht="30" customHeight="1"/>
  </sheetData>
  <mergeCells count="26">
    <mergeCell ref="B19:C19"/>
    <mergeCell ref="B20:F20"/>
    <mergeCell ref="G20:J20"/>
    <mergeCell ref="K20:M20"/>
    <mergeCell ref="B21:G21"/>
    <mergeCell ref="H21:K21"/>
    <mergeCell ref="C17:D17"/>
    <mergeCell ref="F17:G17"/>
    <mergeCell ref="I17:K17"/>
    <mergeCell ref="L17:M17"/>
    <mergeCell ref="B18:C18"/>
    <mergeCell ref="E18:H18"/>
    <mergeCell ref="J18:K18"/>
    <mergeCell ref="B3:C3"/>
    <mergeCell ref="B4:F4"/>
    <mergeCell ref="G4:J4"/>
    <mergeCell ref="K4:M4"/>
    <mergeCell ref="B5:G5"/>
    <mergeCell ref="H5:K5"/>
    <mergeCell ref="C1:D1"/>
    <mergeCell ref="F1:G1"/>
    <mergeCell ref="I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1"/>
  <sheetViews>
    <sheetView topLeftCell="A28" zoomScaleSheetLayoutView="100" workbookViewId="0">
      <selection activeCell="A36" sqref="A36"/>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9" width="14.5" customWidth="1"/>
    <col min="10" max="10" width="11.75" customWidth="1"/>
    <col min="11" max="11" width="13.75" customWidth="1"/>
    <col min="12" max="12" width="13.875" customWidth="1"/>
    <col min="13" max="13" width="25.25" customWidth="1"/>
  </cols>
  <sheetData>
    <row r="1" spans="1:13" ht="63" customHeight="1">
      <c r="A1" s="34" t="s">
        <v>556</v>
      </c>
      <c r="B1" s="176"/>
      <c r="C1" s="1789" t="s">
        <v>1535</v>
      </c>
      <c r="D1" s="1789"/>
      <c r="E1" s="38" t="s">
        <v>236</v>
      </c>
      <c r="F1" s="1864">
        <v>42093</v>
      </c>
      <c r="G1" s="1790"/>
      <c r="H1" s="1126" t="s">
        <v>694</v>
      </c>
      <c r="I1" s="1665" t="s">
        <v>1536</v>
      </c>
      <c r="J1" s="1665"/>
      <c r="K1" s="1665"/>
      <c r="L1" s="1865"/>
      <c r="M1" s="1862"/>
    </row>
    <row r="2" spans="1:13" ht="54" customHeight="1">
      <c r="A2" s="39" t="s">
        <v>240</v>
      </c>
      <c r="B2" s="1637" t="s">
        <v>1537</v>
      </c>
      <c r="C2" s="1637"/>
      <c r="D2" s="41" t="s">
        <v>242</v>
      </c>
      <c r="E2" s="1746" t="s">
        <v>1538</v>
      </c>
      <c r="F2" s="1746"/>
      <c r="G2" s="1746"/>
      <c r="H2" s="1746"/>
      <c r="I2" s="531" t="s">
        <v>243</v>
      </c>
      <c r="J2" s="1866">
        <v>0.05</v>
      </c>
      <c r="K2" s="1675"/>
      <c r="L2" s="177" t="s">
        <v>245</v>
      </c>
      <c r="M2" s="1200" t="s">
        <v>1539</v>
      </c>
    </row>
    <row r="3" spans="1:13" ht="57.95" customHeight="1">
      <c r="A3" s="39" t="s">
        <v>247</v>
      </c>
      <c r="B3" s="1637" t="s">
        <v>1540</v>
      </c>
      <c r="C3" s="1637"/>
      <c r="D3" s="41" t="s">
        <v>249</v>
      </c>
      <c r="E3" s="40">
        <v>10000</v>
      </c>
      <c r="F3" s="41" t="s">
        <v>251</v>
      </c>
      <c r="G3" s="40"/>
      <c r="H3" s="177" t="s">
        <v>252</v>
      </c>
      <c r="I3" s="1170"/>
      <c r="J3" s="91" t="s">
        <v>253</v>
      </c>
      <c r="K3" s="944"/>
      <c r="L3" s="944" t="s">
        <v>1469</v>
      </c>
      <c r="M3" s="1191" t="s">
        <v>1541</v>
      </c>
    </row>
    <row r="4" spans="1:13" ht="33" customHeight="1">
      <c r="A4" s="1127" t="s">
        <v>260</v>
      </c>
      <c r="B4" s="1856" t="s">
        <v>1542</v>
      </c>
      <c r="C4" s="1856"/>
      <c r="D4" s="1856"/>
      <c r="E4" s="1856"/>
      <c r="F4" s="1856"/>
      <c r="G4" s="1857" t="s">
        <v>1543</v>
      </c>
      <c r="H4" s="1858"/>
      <c r="I4" s="1858"/>
      <c r="J4" s="1858"/>
      <c r="K4" s="1856"/>
      <c r="L4" s="1856"/>
      <c r="M4" s="1856"/>
    </row>
    <row r="5" spans="1:13" ht="38.1" customHeight="1">
      <c r="A5" s="39" t="s">
        <v>258</v>
      </c>
      <c r="B5" s="1765"/>
      <c r="C5" s="1765"/>
      <c r="D5" s="1765"/>
      <c r="E5" s="1765"/>
      <c r="F5" s="1765"/>
      <c r="G5" s="1765"/>
      <c r="H5" s="1786"/>
      <c r="I5" s="1786"/>
      <c r="J5" s="1786"/>
      <c r="K5" s="1867"/>
      <c r="L5" s="1192"/>
      <c r="M5" s="1193"/>
    </row>
    <row r="6" spans="1:13" ht="42.75">
      <c r="A6" s="381" t="s">
        <v>266</v>
      </c>
      <c r="B6" s="382" t="s">
        <v>1474</v>
      </c>
      <c r="C6" s="382" t="s">
        <v>268</v>
      </c>
      <c r="D6" s="382" t="s">
        <v>1475</v>
      </c>
      <c r="E6" s="382" t="s">
        <v>270</v>
      </c>
      <c r="F6" s="382" t="s">
        <v>1476</v>
      </c>
      <c r="G6" s="383" t="s">
        <v>272</v>
      </c>
      <c r="H6" s="614" t="s">
        <v>273</v>
      </c>
      <c r="I6" s="382" t="s">
        <v>274</v>
      </c>
      <c r="J6" s="391" t="s">
        <v>275</v>
      </c>
      <c r="K6" s="391" t="s">
        <v>276</v>
      </c>
      <c r="L6" s="382" t="s">
        <v>277</v>
      </c>
      <c r="M6" s="392" t="s">
        <v>278</v>
      </c>
    </row>
    <row r="7" spans="1:13" ht="27.95" customHeight="1">
      <c r="A7" s="324">
        <v>42064</v>
      </c>
      <c r="B7" s="412">
        <v>25.5</v>
      </c>
      <c r="C7" s="412">
        <v>7395</v>
      </c>
      <c r="D7" s="412">
        <f>B7</f>
        <v>25.5</v>
      </c>
      <c r="E7" s="412">
        <f>C7</f>
        <v>7395</v>
      </c>
      <c r="F7" s="412"/>
      <c r="G7" s="412"/>
      <c r="H7" s="412"/>
      <c r="I7" s="412"/>
      <c r="J7" s="412"/>
      <c r="K7" s="412"/>
      <c r="L7" s="412">
        <f t="shared" ref="L7:L35" si="0">E7-J7</f>
        <v>7395</v>
      </c>
      <c r="M7" s="682"/>
    </row>
    <row r="8" spans="1:13" ht="27.95" customHeight="1">
      <c r="A8" s="324">
        <v>42095</v>
      </c>
      <c r="B8" s="412">
        <v>229</v>
      </c>
      <c r="C8" s="412">
        <v>67492.5</v>
      </c>
      <c r="D8" s="412">
        <f t="shared" ref="D8:D35" si="1">D7+B8</f>
        <v>254.5</v>
      </c>
      <c r="E8" s="412">
        <f t="shared" ref="E8:E35" si="2">E7+C8</f>
        <v>74887.5</v>
      </c>
      <c r="F8" s="412"/>
      <c r="G8" s="412"/>
      <c r="H8" s="412">
        <f>C7</f>
        <v>7395</v>
      </c>
      <c r="I8" s="412"/>
      <c r="J8" s="412">
        <f>I8+J7</f>
        <v>0</v>
      </c>
      <c r="K8" s="412">
        <f t="shared" ref="K8:K36" si="3">K7+H8-I8</f>
        <v>7395</v>
      </c>
      <c r="L8" s="412">
        <f t="shared" si="0"/>
        <v>74887.5</v>
      </c>
      <c r="M8" s="682"/>
    </row>
    <row r="9" spans="1:13" ht="27.95" customHeight="1">
      <c r="A9" s="324">
        <v>42125</v>
      </c>
      <c r="B9" s="412">
        <v>47</v>
      </c>
      <c r="C9" s="412">
        <v>13880</v>
      </c>
      <c r="D9" s="412">
        <f t="shared" si="1"/>
        <v>301.5</v>
      </c>
      <c r="E9" s="412">
        <f t="shared" si="2"/>
        <v>88767.5</v>
      </c>
      <c r="F9" s="412"/>
      <c r="G9" s="412"/>
      <c r="H9" s="412">
        <f t="shared" ref="H9:H36" si="4">C8</f>
        <v>67492.5</v>
      </c>
      <c r="I9" s="412"/>
      <c r="J9" s="412">
        <f>I9+J8</f>
        <v>0</v>
      </c>
      <c r="K9" s="412">
        <f t="shared" si="3"/>
        <v>74887.5</v>
      </c>
      <c r="L9" s="412">
        <f t="shared" si="0"/>
        <v>88767.5</v>
      </c>
      <c r="M9" s="682"/>
    </row>
    <row r="10" spans="1:13" ht="27.95" customHeight="1">
      <c r="A10" s="324">
        <v>42156</v>
      </c>
      <c r="B10" s="412">
        <v>300.5</v>
      </c>
      <c r="C10" s="412">
        <v>91927.5</v>
      </c>
      <c r="D10" s="412">
        <f t="shared" si="1"/>
        <v>602</v>
      </c>
      <c r="E10" s="412">
        <f t="shared" si="2"/>
        <v>180695</v>
      </c>
      <c r="F10" s="412"/>
      <c r="G10" s="412"/>
      <c r="H10" s="412">
        <f t="shared" si="4"/>
        <v>13880</v>
      </c>
      <c r="I10" s="412">
        <v>88767.5</v>
      </c>
      <c r="J10" s="412">
        <f t="shared" ref="J10:J35" si="5">J9+I10</f>
        <v>88767.5</v>
      </c>
      <c r="K10" s="412">
        <f t="shared" si="3"/>
        <v>0</v>
      </c>
      <c r="L10" s="412">
        <f t="shared" si="0"/>
        <v>91927.5</v>
      </c>
      <c r="M10" s="682" t="s">
        <v>1544</v>
      </c>
    </row>
    <row r="11" spans="1:13" ht="27.95" customHeight="1">
      <c r="A11" s="324">
        <v>42186</v>
      </c>
      <c r="B11" s="412">
        <v>215</v>
      </c>
      <c r="C11" s="412">
        <v>66050</v>
      </c>
      <c r="D11" s="412">
        <f t="shared" si="1"/>
        <v>817</v>
      </c>
      <c r="E11" s="412">
        <f t="shared" si="2"/>
        <v>246745</v>
      </c>
      <c r="F11" s="412"/>
      <c r="G11" s="412"/>
      <c r="H11" s="412">
        <f t="shared" si="4"/>
        <v>91927.5</v>
      </c>
      <c r="I11" s="412"/>
      <c r="J11" s="412">
        <f t="shared" si="5"/>
        <v>88767.5</v>
      </c>
      <c r="K11" s="412">
        <f t="shared" si="3"/>
        <v>91927.5</v>
      </c>
      <c r="L11" s="412">
        <f t="shared" si="0"/>
        <v>157977.5</v>
      </c>
      <c r="M11" s="682"/>
    </row>
    <row r="12" spans="1:13" ht="27.95" customHeight="1">
      <c r="A12" s="324">
        <v>42217</v>
      </c>
      <c r="B12" s="412">
        <v>155.5</v>
      </c>
      <c r="C12" s="412">
        <v>47415</v>
      </c>
      <c r="D12" s="412">
        <f t="shared" si="1"/>
        <v>972.5</v>
      </c>
      <c r="E12" s="412">
        <f t="shared" si="2"/>
        <v>294160</v>
      </c>
      <c r="F12" s="412"/>
      <c r="G12" s="412"/>
      <c r="H12" s="412">
        <f t="shared" si="4"/>
        <v>66050</v>
      </c>
      <c r="I12" s="412"/>
      <c r="J12" s="412">
        <f t="shared" si="5"/>
        <v>88767.5</v>
      </c>
      <c r="K12" s="412">
        <f t="shared" si="3"/>
        <v>157977.5</v>
      </c>
      <c r="L12" s="412">
        <f t="shared" si="0"/>
        <v>205392.5</v>
      </c>
      <c r="M12" s="682"/>
    </row>
    <row r="13" spans="1:13" ht="27.95" customHeight="1">
      <c r="A13" s="324">
        <v>42248</v>
      </c>
      <c r="B13" s="412">
        <v>24</v>
      </c>
      <c r="C13" s="412">
        <v>7440</v>
      </c>
      <c r="D13" s="412">
        <f t="shared" si="1"/>
        <v>996.5</v>
      </c>
      <c r="E13" s="412">
        <f t="shared" si="2"/>
        <v>301600</v>
      </c>
      <c r="F13" s="412"/>
      <c r="G13" s="412"/>
      <c r="H13" s="412">
        <f t="shared" si="4"/>
        <v>47415</v>
      </c>
      <c r="I13" s="412"/>
      <c r="J13" s="412">
        <f t="shared" si="5"/>
        <v>88767.5</v>
      </c>
      <c r="K13" s="412">
        <f t="shared" si="3"/>
        <v>205392.5</v>
      </c>
      <c r="L13" s="412">
        <f t="shared" si="0"/>
        <v>212832.5</v>
      </c>
      <c r="M13" s="682"/>
    </row>
    <row r="14" spans="1:13" ht="27.95" customHeight="1">
      <c r="A14" s="324">
        <v>42278</v>
      </c>
      <c r="B14" s="412">
        <v>54.5</v>
      </c>
      <c r="C14" s="412">
        <v>16895</v>
      </c>
      <c r="D14" s="412">
        <f t="shared" si="1"/>
        <v>1051</v>
      </c>
      <c r="E14" s="412">
        <f t="shared" si="2"/>
        <v>318495</v>
      </c>
      <c r="F14" s="412"/>
      <c r="G14" s="412"/>
      <c r="H14" s="412">
        <f t="shared" si="4"/>
        <v>7440</v>
      </c>
      <c r="I14" s="412"/>
      <c r="J14" s="412">
        <f t="shared" si="5"/>
        <v>88767.5</v>
      </c>
      <c r="K14" s="412">
        <f t="shared" si="3"/>
        <v>212832.5</v>
      </c>
      <c r="L14" s="412">
        <f t="shared" si="0"/>
        <v>229727.5</v>
      </c>
      <c r="M14" s="682"/>
    </row>
    <row r="15" spans="1:13" ht="27.95" customHeight="1">
      <c r="A15" s="324">
        <v>42309</v>
      </c>
      <c r="B15" s="412">
        <v>78</v>
      </c>
      <c r="C15" s="412">
        <v>22620</v>
      </c>
      <c r="D15" s="412">
        <f t="shared" si="1"/>
        <v>1129</v>
      </c>
      <c r="E15" s="412">
        <f t="shared" si="2"/>
        <v>341115</v>
      </c>
      <c r="F15" s="412"/>
      <c r="G15" s="412"/>
      <c r="H15" s="412">
        <f t="shared" si="4"/>
        <v>16895</v>
      </c>
      <c r="I15" s="412"/>
      <c r="J15" s="412">
        <f t="shared" si="5"/>
        <v>88767.5</v>
      </c>
      <c r="K15" s="412">
        <f t="shared" si="3"/>
        <v>229727.5</v>
      </c>
      <c r="L15" s="412">
        <f t="shared" si="0"/>
        <v>252347.5</v>
      </c>
      <c r="M15" s="682" t="s">
        <v>1545</v>
      </c>
    </row>
    <row r="16" spans="1:13" ht="27.95" customHeight="1">
      <c r="A16" s="324">
        <v>42339</v>
      </c>
      <c r="B16" s="412">
        <v>376</v>
      </c>
      <c r="C16" s="412">
        <v>110160</v>
      </c>
      <c r="D16" s="412">
        <f t="shared" si="1"/>
        <v>1505</v>
      </c>
      <c r="E16" s="412">
        <f t="shared" si="2"/>
        <v>451275</v>
      </c>
      <c r="F16" s="412"/>
      <c r="G16" s="412"/>
      <c r="H16" s="412">
        <f t="shared" si="4"/>
        <v>22620</v>
      </c>
      <c r="I16" s="412">
        <v>120000</v>
      </c>
      <c r="J16" s="412">
        <f t="shared" si="5"/>
        <v>208767.5</v>
      </c>
      <c r="K16" s="412">
        <f t="shared" si="3"/>
        <v>132347.5</v>
      </c>
      <c r="L16" s="412">
        <f t="shared" si="0"/>
        <v>242507.5</v>
      </c>
      <c r="M16" s="682"/>
    </row>
    <row r="17" spans="1:13" ht="27.95" customHeight="1">
      <c r="A17" s="324">
        <v>42370</v>
      </c>
      <c r="B17" s="412">
        <v>19.5</v>
      </c>
      <c r="C17" s="412">
        <v>6097.5</v>
      </c>
      <c r="D17" s="412">
        <f t="shared" si="1"/>
        <v>1524.5</v>
      </c>
      <c r="E17" s="412">
        <f t="shared" si="2"/>
        <v>457372.5</v>
      </c>
      <c r="F17" s="412"/>
      <c r="G17" s="412"/>
      <c r="H17" s="412">
        <f t="shared" si="4"/>
        <v>110160</v>
      </c>
      <c r="I17" s="412"/>
      <c r="J17" s="412">
        <f t="shared" si="5"/>
        <v>208767.5</v>
      </c>
      <c r="K17" s="412">
        <f t="shared" si="3"/>
        <v>242507.5</v>
      </c>
      <c r="L17" s="412">
        <f t="shared" si="0"/>
        <v>248605</v>
      </c>
      <c r="M17" s="682"/>
    </row>
    <row r="18" spans="1:13" ht="27.95" customHeight="1">
      <c r="A18" s="324">
        <v>42430</v>
      </c>
      <c r="B18" s="412">
        <v>40.5</v>
      </c>
      <c r="C18" s="412">
        <v>12065</v>
      </c>
      <c r="D18" s="412">
        <f t="shared" si="1"/>
        <v>1565</v>
      </c>
      <c r="E18" s="412">
        <f t="shared" si="2"/>
        <v>469437.5</v>
      </c>
      <c r="F18" s="412"/>
      <c r="G18" s="412"/>
      <c r="H18" s="412">
        <f t="shared" si="4"/>
        <v>6097.5</v>
      </c>
      <c r="I18" s="412"/>
      <c r="J18" s="412">
        <f t="shared" si="5"/>
        <v>208767.5</v>
      </c>
      <c r="K18" s="412">
        <f t="shared" si="3"/>
        <v>248605</v>
      </c>
      <c r="L18" s="412">
        <f t="shared" si="0"/>
        <v>260670</v>
      </c>
      <c r="M18" s="682"/>
    </row>
    <row r="19" spans="1:13" ht="27.95" customHeight="1">
      <c r="A19" s="324">
        <v>42461</v>
      </c>
      <c r="B19" s="412">
        <v>139</v>
      </c>
      <c r="C19" s="412">
        <v>41285</v>
      </c>
      <c r="D19" s="412">
        <f t="shared" si="1"/>
        <v>1704</v>
      </c>
      <c r="E19" s="412">
        <f t="shared" si="2"/>
        <v>510722.5</v>
      </c>
      <c r="F19" s="412"/>
      <c r="G19" s="412"/>
      <c r="H19" s="412">
        <f t="shared" si="4"/>
        <v>12065</v>
      </c>
      <c r="I19" s="412"/>
      <c r="J19" s="412">
        <f t="shared" si="5"/>
        <v>208767.5</v>
      </c>
      <c r="K19" s="412">
        <f t="shared" si="3"/>
        <v>260670</v>
      </c>
      <c r="L19" s="412">
        <f t="shared" si="0"/>
        <v>301955</v>
      </c>
      <c r="M19" s="682" t="s">
        <v>1546</v>
      </c>
    </row>
    <row r="20" spans="1:13" ht="27.95" customHeight="1">
      <c r="A20" s="324">
        <v>42491</v>
      </c>
      <c r="B20" s="412">
        <v>89.5</v>
      </c>
      <c r="C20" s="412">
        <v>25757.5</v>
      </c>
      <c r="D20" s="412">
        <f t="shared" si="1"/>
        <v>1793.5</v>
      </c>
      <c r="E20" s="412">
        <f t="shared" si="2"/>
        <v>536480</v>
      </c>
      <c r="F20" s="412"/>
      <c r="G20" s="412"/>
      <c r="H20" s="412">
        <f t="shared" si="4"/>
        <v>41285</v>
      </c>
      <c r="I20" s="412">
        <v>110160</v>
      </c>
      <c r="J20" s="412">
        <f t="shared" si="5"/>
        <v>318927.5</v>
      </c>
      <c r="K20" s="412">
        <f t="shared" si="3"/>
        <v>191795</v>
      </c>
      <c r="L20" s="412">
        <f t="shared" si="0"/>
        <v>217552.5</v>
      </c>
      <c r="M20" s="682"/>
    </row>
    <row r="21" spans="1:13" ht="27.95" customHeight="1">
      <c r="A21" s="324">
        <v>42522</v>
      </c>
      <c r="B21" s="412">
        <v>56.5</v>
      </c>
      <c r="C21" s="412">
        <v>16247.5</v>
      </c>
      <c r="D21" s="412">
        <f t="shared" si="1"/>
        <v>1850</v>
      </c>
      <c r="E21" s="412">
        <f t="shared" si="2"/>
        <v>552727.5</v>
      </c>
      <c r="F21" s="412"/>
      <c r="G21" s="412"/>
      <c r="H21" s="412">
        <f t="shared" si="4"/>
        <v>25757.5</v>
      </c>
      <c r="I21" s="412"/>
      <c r="J21" s="412">
        <f t="shared" si="5"/>
        <v>318927.5</v>
      </c>
      <c r="K21" s="412">
        <f t="shared" si="3"/>
        <v>217552.5</v>
      </c>
      <c r="L21" s="412">
        <f t="shared" si="0"/>
        <v>233800</v>
      </c>
      <c r="M21" s="682"/>
    </row>
    <row r="22" spans="1:13" ht="27.95" customHeight="1">
      <c r="A22" s="324">
        <v>42552</v>
      </c>
      <c r="B22" s="412">
        <v>126.5</v>
      </c>
      <c r="C22" s="412">
        <v>38165</v>
      </c>
      <c r="D22" s="412">
        <f t="shared" si="1"/>
        <v>1976.5</v>
      </c>
      <c r="E22" s="412">
        <f t="shared" si="2"/>
        <v>590892.5</v>
      </c>
      <c r="F22" s="412"/>
      <c r="G22" s="412"/>
      <c r="H22" s="412">
        <f t="shared" si="4"/>
        <v>16247.5</v>
      </c>
      <c r="I22" s="412"/>
      <c r="J22" s="412">
        <f t="shared" si="5"/>
        <v>318927.5</v>
      </c>
      <c r="K22" s="412">
        <f t="shared" si="3"/>
        <v>233800</v>
      </c>
      <c r="L22" s="412">
        <f t="shared" si="0"/>
        <v>271965</v>
      </c>
      <c r="M22" s="682"/>
    </row>
    <row r="23" spans="1:13" ht="27.95" customHeight="1">
      <c r="A23" s="324">
        <v>42583</v>
      </c>
      <c r="B23" s="412">
        <v>247</v>
      </c>
      <c r="C23" s="412">
        <v>72425</v>
      </c>
      <c r="D23" s="412">
        <f t="shared" si="1"/>
        <v>2223.5</v>
      </c>
      <c r="E23" s="412">
        <f t="shared" si="2"/>
        <v>663317.5</v>
      </c>
      <c r="F23" s="412"/>
      <c r="G23" s="412"/>
      <c r="H23" s="412">
        <f t="shared" si="4"/>
        <v>38165</v>
      </c>
      <c r="I23" s="412">
        <v>100000</v>
      </c>
      <c r="J23" s="412">
        <f t="shared" si="5"/>
        <v>418927.5</v>
      </c>
      <c r="K23" s="412">
        <f t="shared" si="3"/>
        <v>171965</v>
      </c>
      <c r="L23" s="412">
        <f t="shared" si="0"/>
        <v>244390</v>
      </c>
      <c r="M23" s="682" t="s">
        <v>1547</v>
      </c>
    </row>
    <row r="24" spans="1:13" ht="27.95" customHeight="1">
      <c r="A24" s="324">
        <v>42614</v>
      </c>
      <c r="B24" s="412">
        <v>121</v>
      </c>
      <c r="C24" s="412">
        <v>32632.5</v>
      </c>
      <c r="D24" s="412">
        <f t="shared" si="1"/>
        <v>2344.5</v>
      </c>
      <c r="E24" s="412">
        <f t="shared" si="2"/>
        <v>695950</v>
      </c>
      <c r="F24" s="412"/>
      <c r="G24" s="412"/>
      <c r="H24" s="412">
        <f t="shared" si="4"/>
        <v>72425</v>
      </c>
      <c r="I24" s="412">
        <v>100000</v>
      </c>
      <c r="J24" s="412">
        <f t="shared" si="5"/>
        <v>518927.5</v>
      </c>
      <c r="K24" s="412">
        <f t="shared" si="3"/>
        <v>144390</v>
      </c>
      <c r="L24" s="412">
        <f t="shared" si="0"/>
        <v>177022.5</v>
      </c>
      <c r="M24" s="682" t="s">
        <v>1548</v>
      </c>
    </row>
    <row r="25" spans="1:13" ht="27.95" customHeight="1">
      <c r="A25" s="324">
        <v>42644</v>
      </c>
      <c r="B25" s="412">
        <v>143</v>
      </c>
      <c r="C25" s="412">
        <v>39905</v>
      </c>
      <c r="D25" s="412">
        <f t="shared" si="1"/>
        <v>2487.5</v>
      </c>
      <c r="E25" s="412">
        <f t="shared" si="2"/>
        <v>735855</v>
      </c>
      <c r="F25" s="412"/>
      <c r="G25" s="412"/>
      <c r="H25" s="412">
        <f t="shared" si="4"/>
        <v>32632.5</v>
      </c>
      <c r="I25" s="412">
        <v>100000</v>
      </c>
      <c r="J25" s="412">
        <f t="shared" si="5"/>
        <v>618927.5</v>
      </c>
      <c r="K25" s="412">
        <f t="shared" si="3"/>
        <v>77022.5</v>
      </c>
      <c r="L25" s="412">
        <f t="shared" si="0"/>
        <v>116927.5</v>
      </c>
      <c r="M25" s="682" t="s">
        <v>1549</v>
      </c>
    </row>
    <row r="26" spans="1:13" ht="27.95" customHeight="1">
      <c r="A26" s="324">
        <v>42675</v>
      </c>
      <c r="B26" s="412">
        <v>80</v>
      </c>
      <c r="C26" s="412">
        <v>22652.5</v>
      </c>
      <c r="D26" s="412">
        <f t="shared" si="1"/>
        <v>2567.5</v>
      </c>
      <c r="E26" s="412">
        <f t="shared" si="2"/>
        <v>758507.5</v>
      </c>
      <c r="F26" s="412"/>
      <c r="G26" s="412"/>
      <c r="H26" s="412">
        <f t="shared" si="4"/>
        <v>39905</v>
      </c>
      <c r="I26" s="412">
        <v>32348</v>
      </c>
      <c r="J26" s="412">
        <f t="shared" si="5"/>
        <v>651275.5</v>
      </c>
      <c r="K26" s="412">
        <f t="shared" si="3"/>
        <v>84579.5</v>
      </c>
      <c r="L26" s="412">
        <f t="shared" si="0"/>
        <v>107232</v>
      </c>
      <c r="M26" s="682" t="s">
        <v>1550</v>
      </c>
    </row>
    <row r="27" spans="1:13" ht="27.95" customHeight="1">
      <c r="A27" s="324">
        <v>42705</v>
      </c>
      <c r="B27" s="412">
        <v>47</v>
      </c>
      <c r="C27" s="412">
        <v>13640</v>
      </c>
      <c r="D27" s="412">
        <f t="shared" si="1"/>
        <v>2614.5</v>
      </c>
      <c r="E27" s="412">
        <f t="shared" si="2"/>
        <v>772147.5</v>
      </c>
      <c r="F27" s="412"/>
      <c r="G27" s="412"/>
      <c r="H27" s="412">
        <f t="shared" si="4"/>
        <v>22652.5</v>
      </c>
      <c r="I27" s="412">
        <v>50000</v>
      </c>
      <c r="J27" s="412">
        <f t="shared" si="5"/>
        <v>701275.5</v>
      </c>
      <c r="K27" s="412">
        <f t="shared" si="3"/>
        <v>57232</v>
      </c>
      <c r="L27" s="412">
        <f t="shared" si="0"/>
        <v>70872</v>
      </c>
      <c r="M27" s="682" t="s">
        <v>1551</v>
      </c>
    </row>
    <row r="28" spans="1:13" ht="27.95" customHeight="1">
      <c r="A28" s="324">
        <v>42736</v>
      </c>
      <c r="B28" s="412">
        <v>20</v>
      </c>
      <c r="C28" s="412">
        <v>7400</v>
      </c>
      <c r="D28" s="412">
        <f t="shared" si="1"/>
        <v>2634.5</v>
      </c>
      <c r="E28" s="412">
        <f t="shared" si="2"/>
        <v>779547.5</v>
      </c>
      <c r="F28" s="412"/>
      <c r="G28" s="412"/>
      <c r="H28" s="412">
        <f t="shared" si="4"/>
        <v>13640</v>
      </c>
      <c r="I28" s="412">
        <v>7412</v>
      </c>
      <c r="J28" s="412">
        <f t="shared" si="5"/>
        <v>708687.5</v>
      </c>
      <c r="K28" s="412">
        <f t="shared" si="3"/>
        <v>63460</v>
      </c>
      <c r="L28" s="412">
        <f t="shared" si="0"/>
        <v>70860</v>
      </c>
      <c r="M28" s="682" t="s">
        <v>1552</v>
      </c>
    </row>
    <row r="29" spans="1:13" ht="27.95" customHeight="1">
      <c r="A29" s="324">
        <v>42767</v>
      </c>
      <c r="B29" s="412">
        <v>10</v>
      </c>
      <c r="C29" s="412">
        <v>3227.5</v>
      </c>
      <c r="D29" s="412">
        <f t="shared" si="1"/>
        <v>2644.5</v>
      </c>
      <c r="E29" s="412">
        <f t="shared" si="2"/>
        <v>782775</v>
      </c>
      <c r="F29" s="412"/>
      <c r="G29" s="412"/>
      <c r="H29" s="412">
        <f t="shared" si="4"/>
        <v>7400</v>
      </c>
      <c r="I29" s="412"/>
      <c r="J29" s="412">
        <f t="shared" si="5"/>
        <v>708687.5</v>
      </c>
      <c r="K29" s="412">
        <f t="shared" si="3"/>
        <v>70860</v>
      </c>
      <c r="L29" s="412">
        <f t="shared" si="0"/>
        <v>74087.5</v>
      </c>
      <c r="M29" s="682" t="s">
        <v>1553</v>
      </c>
    </row>
    <row r="30" spans="1:13" ht="27.95" customHeight="1">
      <c r="A30" s="324">
        <v>42795</v>
      </c>
      <c r="B30" s="412">
        <v>69</v>
      </c>
      <c r="C30" s="412">
        <v>20465</v>
      </c>
      <c r="D30" s="412">
        <f t="shared" si="1"/>
        <v>2713.5</v>
      </c>
      <c r="E30" s="412">
        <f t="shared" si="2"/>
        <v>803240</v>
      </c>
      <c r="F30" s="412"/>
      <c r="G30" s="412"/>
      <c r="H30" s="412">
        <f t="shared" si="4"/>
        <v>3227.5</v>
      </c>
      <c r="I30" s="412"/>
      <c r="J30" s="412">
        <f t="shared" si="5"/>
        <v>708687.5</v>
      </c>
      <c r="K30" s="412">
        <f t="shared" si="3"/>
        <v>74087.5</v>
      </c>
      <c r="L30" s="412">
        <f t="shared" si="0"/>
        <v>94552.5</v>
      </c>
      <c r="M30" s="682"/>
    </row>
    <row r="31" spans="1:13" ht="27.95" customHeight="1">
      <c r="A31" s="324">
        <v>42826</v>
      </c>
      <c r="B31" s="412">
        <v>74</v>
      </c>
      <c r="C31" s="412">
        <v>21890</v>
      </c>
      <c r="D31" s="412">
        <f t="shared" si="1"/>
        <v>2787.5</v>
      </c>
      <c r="E31" s="412">
        <f t="shared" si="2"/>
        <v>825130</v>
      </c>
      <c r="F31" s="412"/>
      <c r="G31" s="412"/>
      <c r="H31" s="412">
        <f t="shared" si="4"/>
        <v>20465</v>
      </c>
      <c r="I31" s="412"/>
      <c r="J31" s="412">
        <f t="shared" si="5"/>
        <v>708687.5</v>
      </c>
      <c r="K31" s="412">
        <f t="shared" si="3"/>
        <v>94552.5</v>
      </c>
      <c r="L31" s="412">
        <f t="shared" si="0"/>
        <v>116442.5</v>
      </c>
      <c r="M31" s="682"/>
    </row>
    <row r="32" spans="1:13" ht="27.95" customHeight="1">
      <c r="A32" s="324">
        <v>42856</v>
      </c>
      <c r="B32" s="412">
        <v>57</v>
      </c>
      <c r="C32" s="412">
        <v>17295</v>
      </c>
      <c r="D32" s="412">
        <f t="shared" si="1"/>
        <v>2844.5</v>
      </c>
      <c r="E32" s="412">
        <f t="shared" si="2"/>
        <v>842425</v>
      </c>
      <c r="F32" s="412"/>
      <c r="G32" s="412"/>
      <c r="H32" s="412">
        <f t="shared" si="4"/>
        <v>21890</v>
      </c>
      <c r="I32" s="412">
        <v>80000</v>
      </c>
      <c r="J32" s="412">
        <f t="shared" si="5"/>
        <v>788687.5</v>
      </c>
      <c r="K32" s="412">
        <f t="shared" si="3"/>
        <v>36442.5</v>
      </c>
      <c r="L32" s="412">
        <f t="shared" si="0"/>
        <v>53737.5</v>
      </c>
      <c r="M32" s="682"/>
    </row>
    <row r="33" spans="1:13" ht="27.95" customHeight="1">
      <c r="A33" s="324">
        <v>42887</v>
      </c>
      <c r="B33" s="412">
        <v>37</v>
      </c>
      <c r="C33" s="412">
        <v>11520</v>
      </c>
      <c r="D33" s="412">
        <f t="shared" si="1"/>
        <v>2881.5</v>
      </c>
      <c r="E33" s="412">
        <f t="shared" si="2"/>
        <v>853945</v>
      </c>
      <c r="F33" s="412"/>
      <c r="G33" s="412"/>
      <c r="H33" s="412">
        <f t="shared" si="4"/>
        <v>17295</v>
      </c>
      <c r="I33" s="412"/>
      <c r="J33" s="412">
        <f t="shared" si="5"/>
        <v>788687.5</v>
      </c>
      <c r="K33" s="412">
        <f t="shared" si="3"/>
        <v>53737.5</v>
      </c>
      <c r="L33" s="412">
        <f t="shared" si="0"/>
        <v>65257.5</v>
      </c>
      <c r="M33" s="682"/>
    </row>
    <row r="34" spans="1:13" ht="27.95" customHeight="1">
      <c r="A34" s="324">
        <v>42917</v>
      </c>
      <c r="B34" s="412">
        <v>15</v>
      </c>
      <c r="C34" s="412">
        <v>5025</v>
      </c>
      <c r="D34" s="412">
        <f t="shared" si="1"/>
        <v>2896.5</v>
      </c>
      <c r="E34" s="412">
        <f t="shared" si="2"/>
        <v>858970</v>
      </c>
      <c r="F34" s="412"/>
      <c r="G34" s="412"/>
      <c r="H34" s="412">
        <f t="shared" si="4"/>
        <v>11520</v>
      </c>
      <c r="I34" s="412"/>
      <c r="J34" s="412">
        <f t="shared" si="5"/>
        <v>788687.5</v>
      </c>
      <c r="K34" s="412">
        <f t="shared" si="3"/>
        <v>65257.5</v>
      </c>
      <c r="L34" s="412">
        <f t="shared" si="0"/>
        <v>70282.5</v>
      </c>
      <c r="M34" s="682"/>
    </row>
    <row r="35" spans="1:13" ht="27.95" customHeight="1">
      <c r="A35" s="324">
        <v>42948</v>
      </c>
      <c r="B35" s="412">
        <v>11.5</v>
      </c>
      <c r="C35" s="412">
        <v>3852.5</v>
      </c>
      <c r="D35" s="412">
        <f t="shared" si="1"/>
        <v>2908</v>
      </c>
      <c r="E35" s="412">
        <f t="shared" si="2"/>
        <v>862822.5</v>
      </c>
      <c r="F35" s="412"/>
      <c r="G35" s="412"/>
      <c r="H35" s="412">
        <f t="shared" si="4"/>
        <v>5025</v>
      </c>
      <c r="I35" s="412"/>
      <c r="J35" s="412">
        <f t="shared" si="5"/>
        <v>788687.5</v>
      </c>
      <c r="K35" s="412">
        <f t="shared" si="3"/>
        <v>70282.5</v>
      </c>
      <c r="L35" s="412">
        <f t="shared" si="0"/>
        <v>74135</v>
      </c>
      <c r="M35" s="682"/>
    </row>
    <row r="36" spans="1:13" ht="27.95" customHeight="1">
      <c r="A36" s="324"/>
      <c r="B36" s="412"/>
      <c r="C36" s="412"/>
      <c r="D36" s="412"/>
      <c r="E36" s="412"/>
      <c r="F36" s="412"/>
      <c r="G36" s="412"/>
      <c r="H36" s="412">
        <f t="shared" si="4"/>
        <v>3852.5</v>
      </c>
      <c r="I36" s="412"/>
      <c r="J36" s="412"/>
      <c r="K36" s="412">
        <f t="shared" si="3"/>
        <v>74135</v>
      </c>
      <c r="L36" s="412"/>
      <c r="M36" s="682"/>
    </row>
    <row r="37" spans="1:13" ht="27.95" customHeight="1">
      <c r="A37" s="324"/>
      <c r="B37" s="412"/>
      <c r="C37" s="412"/>
      <c r="D37" s="412"/>
      <c r="E37" s="412"/>
      <c r="F37" s="412"/>
      <c r="G37" s="412"/>
      <c r="H37" s="412"/>
      <c r="I37" s="412"/>
      <c r="J37" s="412"/>
      <c r="K37" s="412"/>
      <c r="L37" s="412"/>
      <c r="M37" s="682"/>
    </row>
    <row r="38" spans="1:13" ht="27.95" customHeight="1">
      <c r="A38" s="324"/>
      <c r="B38" s="412"/>
      <c r="C38" s="412"/>
      <c r="D38" s="412"/>
      <c r="E38" s="412"/>
      <c r="F38" s="412"/>
      <c r="G38" s="412"/>
      <c r="H38" s="412"/>
      <c r="I38" s="412"/>
      <c r="J38" s="412"/>
      <c r="K38" s="412"/>
      <c r="L38" s="412"/>
      <c r="M38" s="682"/>
    </row>
    <row r="51" spans="9:9">
      <c r="I51" s="434"/>
    </row>
    <row r="52" spans="9:9">
      <c r="I52" s="434"/>
    </row>
    <row r="53" spans="9:9">
      <c r="I53" s="434"/>
    </row>
    <row r="54" spans="9:9">
      <c r="I54" s="434"/>
    </row>
    <row r="55" spans="9:9">
      <c r="I55" s="434"/>
    </row>
    <row r="56" spans="9:9">
      <c r="I56" s="434"/>
    </row>
    <row r="57" spans="9:9">
      <c r="I57" s="434"/>
    </row>
    <row r="58" spans="9:9">
      <c r="I58" s="434"/>
    </row>
    <row r="59" spans="9:9">
      <c r="I59" s="434"/>
    </row>
    <row r="60" spans="9:9">
      <c r="I60" s="434"/>
    </row>
    <row r="61" spans="9:9">
      <c r="I61" s="434"/>
    </row>
  </sheetData>
  <mergeCells count="13">
    <mergeCell ref="B3:C3"/>
    <mergeCell ref="B4:F4"/>
    <mergeCell ref="G4:J4"/>
    <mergeCell ref="K4:M4"/>
    <mergeCell ref="B5:G5"/>
    <mergeCell ref="H5:K5"/>
    <mergeCell ref="C1:D1"/>
    <mergeCell ref="F1:G1"/>
    <mergeCell ref="I1:K1"/>
    <mergeCell ref="L1:M1"/>
    <mergeCell ref="B2:C2"/>
    <mergeCell ref="E2:H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25" zoomScaleSheetLayoutView="100" workbookViewId="0">
      <selection activeCell="A29" sqref="A29"/>
    </sheetView>
  </sheetViews>
  <sheetFormatPr defaultColWidth="9" defaultRowHeight="14.25"/>
  <cols>
    <col min="1" max="1" width="13.5" customWidth="1"/>
    <col min="2" max="2" width="16.5" customWidth="1"/>
    <col min="3" max="3" width="12.875" customWidth="1"/>
    <col min="4" max="5" width="14.25" customWidth="1"/>
    <col min="6" max="6" width="11.375" customWidth="1"/>
    <col min="7" max="7" width="11.75" customWidth="1"/>
    <col min="8" max="8" width="14.5" customWidth="1"/>
    <col min="9" max="9" width="13.5" customWidth="1"/>
    <col min="10" max="10" width="15.375" customWidth="1"/>
    <col min="11" max="11" width="14.75" customWidth="1"/>
    <col min="12" max="12" width="13.5" customWidth="1"/>
    <col min="13" max="13" width="32.625" customWidth="1"/>
  </cols>
  <sheetData>
    <row r="1" spans="1:13" ht="39" customHeight="1">
      <c r="A1" s="1032" t="s">
        <v>348</v>
      </c>
      <c r="B1" s="1033">
        <v>42324</v>
      </c>
      <c r="C1" s="1487" t="s">
        <v>349</v>
      </c>
      <c r="D1" s="1175" t="s">
        <v>350</v>
      </c>
      <c r="E1" s="1034" t="s">
        <v>236</v>
      </c>
      <c r="F1" s="1406"/>
      <c r="G1" s="1407" t="s">
        <v>351</v>
      </c>
      <c r="H1" s="1407" t="s">
        <v>352</v>
      </c>
      <c r="I1" s="1652" t="s">
        <v>237</v>
      </c>
      <c r="J1" s="1656" t="s">
        <v>353</v>
      </c>
      <c r="K1" s="1657"/>
      <c r="L1" s="1658"/>
      <c r="M1" s="1654" t="s">
        <v>354</v>
      </c>
    </row>
    <row r="2" spans="1:13" ht="78" customHeight="1">
      <c r="A2" s="39" t="s">
        <v>240</v>
      </c>
      <c r="B2" s="1637" t="s">
        <v>355</v>
      </c>
      <c r="C2" s="1637"/>
      <c r="D2" s="41" t="s">
        <v>356</v>
      </c>
      <c r="E2" s="1662" t="s">
        <v>357</v>
      </c>
      <c r="F2" s="1663"/>
      <c r="G2" s="41" t="s">
        <v>243</v>
      </c>
      <c r="H2" s="1488">
        <v>0.05</v>
      </c>
      <c r="I2" s="1653"/>
      <c r="J2" s="1659"/>
      <c r="K2" s="1660"/>
      <c r="L2" s="1661"/>
      <c r="M2" s="1655"/>
    </row>
    <row r="3" spans="1:13" ht="35.1" customHeight="1">
      <c r="A3" s="39" t="s">
        <v>247</v>
      </c>
      <c r="B3" s="1637" t="s">
        <v>3</v>
      </c>
      <c r="C3" s="1637"/>
      <c r="D3" s="41" t="s">
        <v>249</v>
      </c>
      <c r="E3" s="186"/>
      <c r="F3" s="41" t="s">
        <v>251</v>
      </c>
      <c r="G3" s="41" t="s">
        <v>358</v>
      </c>
      <c r="H3" s="41" t="s">
        <v>252</v>
      </c>
      <c r="I3" s="90">
        <v>13430315259</v>
      </c>
      <c r="J3" s="91" t="s">
        <v>253</v>
      </c>
      <c r="K3" s="40" t="s">
        <v>359</v>
      </c>
      <c r="L3" s="15" t="s">
        <v>255</v>
      </c>
      <c r="M3" s="105" t="s">
        <v>358</v>
      </c>
    </row>
    <row r="4" spans="1:13" ht="47.25" customHeight="1">
      <c r="A4" s="39" t="s">
        <v>257</v>
      </c>
      <c r="B4" s="1637"/>
      <c r="C4" s="1637"/>
      <c r="D4" s="1637"/>
      <c r="E4" s="43" t="s">
        <v>258</v>
      </c>
      <c r="F4" s="1638"/>
      <c r="G4" s="1638"/>
      <c r="H4" s="1638"/>
      <c r="I4" s="1637"/>
      <c r="J4" s="1637"/>
      <c r="K4" s="15"/>
      <c r="L4" s="41" t="s">
        <v>360</v>
      </c>
      <c r="M4" s="105" t="s">
        <v>361</v>
      </c>
    </row>
    <row r="5" spans="1:13" ht="75" customHeight="1">
      <c r="A5" s="1036" t="s">
        <v>260</v>
      </c>
      <c r="B5" s="1646" t="s">
        <v>362</v>
      </c>
      <c r="C5" s="1647"/>
      <c r="D5" s="1647"/>
      <c r="E5" s="1648" t="s">
        <v>363</v>
      </c>
      <c r="F5" s="1648"/>
      <c r="G5" s="1648"/>
      <c r="H5" s="1648"/>
      <c r="I5" s="1649"/>
      <c r="J5" s="1650"/>
      <c r="K5" s="1650"/>
      <c r="L5" s="1651"/>
      <c r="M5" s="150"/>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6" customHeight="1">
      <c r="A7" s="358">
        <v>42156</v>
      </c>
      <c r="B7" s="259">
        <v>86</v>
      </c>
      <c r="C7" s="259">
        <v>24510</v>
      </c>
      <c r="D7" s="259">
        <f>B7</f>
        <v>86</v>
      </c>
      <c r="E7" s="259">
        <f>C7</f>
        <v>24510</v>
      </c>
      <c r="F7" s="259"/>
      <c r="G7" s="260"/>
      <c r="H7" s="261"/>
      <c r="I7" s="259"/>
      <c r="J7" s="259"/>
      <c r="K7" s="259"/>
      <c r="L7" s="259">
        <f t="shared" ref="L7:L28" si="0">E7-J7</f>
        <v>24510</v>
      </c>
      <c r="M7" s="265"/>
    </row>
    <row r="8" spans="1:13" ht="36" customHeight="1">
      <c r="A8" s="1489">
        <v>42186</v>
      </c>
      <c r="B8" s="1067">
        <v>20</v>
      </c>
      <c r="C8" s="1067">
        <v>5700</v>
      </c>
      <c r="D8" s="1067">
        <f t="shared" ref="D8:D28" si="1">D7+B8</f>
        <v>106</v>
      </c>
      <c r="E8" s="1067">
        <f t="shared" ref="E8:E28" si="2">E7+C8</f>
        <v>30210</v>
      </c>
      <c r="F8" s="1067"/>
      <c r="G8" s="1245"/>
      <c r="H8" s="1414">
        <f>E7</f>
        <v>24510</v>
      </c>
      <c r="I8" s="1418"/>
      <c r="J8" s="1418"/>
      <c r="K8" s="1416">
        <f t="shared" ref="K8:K29" si="3">K7+H8-I8</f>
        <v>24510</v>
      </c>
      <c r="L8" s="259">
        <f t="shared" si="0"/>
        <v>30210</v>
      </c>
      <c r="M8" s="1491"/>
    </row>
    <row r="9" spans="1:13" ht="36" customHeight="1">
      <c r="A9" s="358">
        <v>42309</v>
      </c>
      <c r="B9" s="1067">
        <v>216.5</v>
      </c>
      <c r="C9" s="1067">
        <v>63885</v>
      </c>
      <c r="D9" s="1067">
        <f t="shared" si="1"/>
        <v>322.5</v>
      </c>
      <c r="E9" s="1067">
        <f t="shared" si="2"/>
        <v>94095</v>
      </c>
      <c r="F9" s="1072"/>
      <c r="G9" s="1474"/>
      <c r="H9" s="1414">
        <f t="shared" ref="H9:H29" si="4">C8</f>
        <v>5700</v>
      </c>
      <c r="I9" s="1415"/>
      <c r="J9" s="1418"/>
      <c r="K9" s="1416">
        <f t="shared" si="3"/>
        <v>30210</v>
      </c>
      <c r="L9" s="1492">
        <f t="shared" si="0"/>
        <v>94095</v>
      </c>
      <c r="M9" s="1165"/>
    </row>
    <row r="10" spans="1:13" ht="36" customHeight="1">
      <c r="A10" s="1409">
        <v>42339</v>
      </c>
      <c r="B10" s="1248">
        <v>1902</v>
      </c>
      <c r="C10" s="1248">
        <v>542010</v>
      </c>
      <c r="D10" s="1067">
        <f t="shared" si="1"/>
        <v>2224.5</v>
      </c>
      <c r="E10" s="1067">
        <f t="shared" si="2"/>
        <v>636105</v>
      </c>
      <c r="F10" s="1485"/>
      <c r="G10" s="1486"/>
      <c r="H10" s="1414">
        <f t="shared" si="4"/>
        <v>63885</v>
      </c>
      <c r="I10" s="1415"/>
      <c r="J10" s="1415"/>
      <c r="K10" s="1416">
        <f t="shared" si="3"/>
        <v>94095</v>
      </c>
      <c r="L10" s="1492">
        <f t="shared" si="0"/>
        <v>636105</v>
      </c>
      <c r="M10" s="1165"/>
    </row>
    <row r="11" spans="1:13" ht="36" customHeight="1">
      <c r="A11" s="1409">
        <v>42370</v>
      </c>
      <c r="B11" s="1067">
        <v>1312</v>
      </c>
      <c r="C11" s="1067">
        <v>349055</v>
      </c>
      <c r="D11" s="1067">
        <f t="shared" si="1"/>
        <v>3536.5</v>
      </c>
      <c r="E11" s="1067">
        <f t="shared" si="2"/>
        <v>985160</v>
      </c>
      <c r="F11" s="1067"/>
      <c r="G11" s="1245"/>
      <c r="H11" s="1414">
        <f t="shared" si="4"/>
        <v>542010</v>
      </c>
      <c r="I11" s="1418">
        <v>636105</v>
      </c>
      <c r="J11" s="1415">
        <f>I11</f>
        <v>636105</v>
      </c>
      <c r="K11" s="1416">
        <f t="shared" si="3"/>
        <v>0</v>
      </c>
      <c r="L11" s="1492">
        <f t="shared" si="0"/>
        <v>349055</v>
      </c>
      <c r="M11" s="1199" t="s">
        <v>364</v>
      </c>
    </row>
    <row r="12" spans="1:13" ht="35.1" customHeight="1">
      <c r="A12" s="1409">
        <v>42401</v>
      </c>
      <c r="B12" s="1067">
        <v>200</v>
      </c>
      <c r="C12" s="1067">
        <v>52620</v>
      </c>
      <c r="D12" s="1067">
        <f t="shared" si="1"/>
        <v>3736.5</v>
      </c>
      <c r="E12" s="1067">
        <f t="shared" si="2"/>
        <v>1037780</v>
      </c>
      <c r="F12" s="1067"/>
      <c r="G12" s="1245"/>
      <c r="H12" s="1414">
        <f t="shared" si="4"/>
        <v>349055</v>
      </c>
      <c r="I12" s="1418"/>
      <c r="J12" s="1418">
        <f t="shared" ref="J12:J28" si="5">I12+J11</f>
        <v>636105</v>
      </c>
      <c r="K12" s="1416">
        <f t="shared" si="3"/>
        <v>349055</v>
      </c>
      <c r="L12" s="1492">
        <f t="shared" si="0"/>
        <v>401675</v>
      </c>
      <c r="M12" s="412"/>
    </row>
    <row r="13" spans="1:13" ht="36" customHeight="1">
      <c r="A13" s="1413">
        <v>42430</v>
      </c>
      <c r="B13" s="1067">
        <v>1147</v>
      </c>
      <c r="C13" s="1067">
        <v>307970</v>
      </c>
      <c r="D13" s="1067">
        <f t="shared" si="1"/>
        <v>4883.5</v>
      </c>
      <c r="E13" s="1067">
        <f t="shared" si="2"/>
        <v>1345750</v>
      </c>
      <c r="F13" s="1067"/>
      <c r="G13" s="1245"/>
      <c r="H13" s="1414">
        <f t="shared" si="4"/>
        <v>52620</v>
      </c>
      <c r="I13" s="1418"/>
      <c r="J13" s="1418">
        <f t="shared" si="5"/>
        <v>636105</v>
      </c>
      <c r="K13" s="1416">
        <f t="shared" si="3"/>
        <v>401675</v>
      </c>
      <c r="L13" s="1492">
        <f t="shared" si="0"/>
        <v>709645</v>
      </c>
      <c r="M13" s="412" t="s">
        <v>365</v>
      </c>
    </row>
    <row r="14" spans="1:13" ht="36" customHeight="1">
      <c r="A14" s="1413">
        <v>42461</v>
      </c>
      <c r="B14" s="1067">
        <v>1235</v>
      </c>
      <c r="C14" s="1067">
        <v>312405</v>
      </c>
      <c r="D14" s="1067">
        <f t="shared" si="1"/>
        <v>6118.5</v>
      </c>
      <c r="E14" s="1067">
        <f t="shared" si="2"/>
        <v>1658155</v>
      </c>
      <c r="F14" s="1067"/>
      <c r="G14" s="1245"/>
      <c r="H14" s="1490">
        <f t="shared" si="4"/>
        <v>307970</v>
      </c>
      <c r="I14" s="1418"/>
      <c r="J14" s="1418">
        <f t="shared" si="5"/>
        <v>636105</v>
      </c>
      <c r="K14" s="1416">
        <f t="shared" si="3"/>
        <v>709645</v>
      </c>
      <c r="L14" s="1492">
        <f t="shared" si="0"/>
        <v>1022050</v>
      </c>
      <c r="M14" s="412"/>
    </row>
    <row r="15" spans="1:13" ht="36" customHeight="1">
      <c r="A15" s="1413">
        <v>42491</v>
      </c>
      <c r="B15" s="1067">
        <v>1339</v>
      </c>
      <c r="C15" s="1067">
        <v>343425</v>
      </c>
      <c r="D15" s="1067">
        <f t="shared" si="1"/>
        <v>7457.5</v>
      </c>
      <c r="E15" s="1067">
        <f t="shared" si="2"/>
        <v>2001580</v>
      </c>
      <c r="F15" s="1067"/>
      <c r="G15" s="1245"/>
      <c r="H15" s="1490">
        <f t="shared" si="4"/>
        <v>312405</v>
      </c>
      <c r="I15" s="1418">
        <v>401675</v>
      </c>
      <c r="J15" s="1418">
        <f t="shared" si="5"/>
        <v>1037780</v>
      </c>
      <c r="K15" s="1416">
        <f t="shared" si="3"/>
        <v>620375</v>
      </c>
      <c r="L15" s="1492">
        <f t="shared" si="0"/>
        <v>963800</v>
      </c>
      <c r="M15" s="412" t="s">
        <v>366</v>
      </c>
    </row>
    <row r="16" spans="1:13" ht="36" customHeight="1">
      <c r="A16" s="1413">
        <v>42522</v>
      </c>
      <c r="B16" s="1067">
        <v>1126.5</v>
      </c>
      <c r="C16" s="1067">
        <v>303567.5</v>
      </c>
      <c r="D16" s="1067">
        <f t="shared" si="1"/>
        <v>8584</v>
      </c>
      <c r="E16" s="1067">
        <f t="shared" si="2"/>
        <v>2305147.5</v>
      </c>
      <c r="F16" s="1067"/>
      <c r="G16" s="1245"/>
      <c r="H16" s="1490">
        <f t="shared" si="4"/>
        <v>343425</v>
      </c>
      <c r="I16" s="1418"/>
      <c r="J16" s="1418">
        <f t="shared" si="5"/>
        <v>1037780</v>
      </c>
      <c r="K16" s="1416">
        <f t="shared" si="3"/>
        <v>963800</v>
      </c>
      <c r="L16" s="1492">
        <f t="shared" si="0"/>
        <v>1267367.5</v>
      </c>
      <c r="M16" s="412" t="s">
        <v>367</v>
      </c>
    </row>
    <row r="17" spans="1:13" ht="36" customHeight="1">
      <c r="A17" s="1413">
        <v>42552</v>
      </c>
      <c r="B17" s="1067">
        <v>557</v>
      </c>
      <c r="C17" s="1067">
        <v>152515</v>
      </c>
      <c r="D17" s="1067">
        <f t="shared" si="1"/>
        <v>9141</v>
      </c>
      <c r="E17" s="1067">
        <f t="shared" si="2"/>
        <v>2457662.5</v>
      </c>
      <c r="F17" s="1067"/>
      <c r="G17" s="1245"/>
      <c r="H17" s="1490">
        <f t="shared" si="4"/>
        <v>303567.5</v>
      </c>
      <c r="I17" s="1418">
        <v>307970</v>
      </c>
      <c r="J17" s="1418">
        <f t="shared" si="5"/>
        <v>1345750</v>
      </c>
      <c r="K17" s="1416">
        <f t="shared" si="3"/>
        <v>959397.5</v>
      </c>
      <c r="L17" s="1492">
        <f t="shared" si="0"/>
        <v>1111912.5</v>
      </c>
      <c r="M17" s="412" t="s">
        <v>368</v>
      </c>
    </row>
    <row r="18" spans="1:13" ht="36" customHeight="1">
      <c r="A18" s="1413">
        <v>42583</v>
      </c>
      <c r="B18" s="1067">
        <v>407.5</v>
      </c>
      <c r="C18" s="1067">
        <v>112597.5</v>
      </c>
      <c r="D18" s="1067">
        <f t="shared" si="1"/>
        <v>9548.5</v>
      </c>
      <c r="E18" s="1067">
        <f t="shared" si="2"/>
        <v>2570260</v>
      </c>
      <c r="F18" s="1067"/>
      <c r="G18" s="1245"/>
      <c r="H18" s="1490">
        <f t="shared" si="4"/>
        <v>152515</v>
      </c>
      <c r="I18" s="1418">
        <f>655830+303560</f>
        <v>959390</v>
      </c>
      <c r="J18" s="1418">
        <f t="shared" si="5"/>
        <v>2305140</v>
      </c>
      <c r="K18" s="1416">
        <f t="shared" si="3"/>
        <v>152522.5</v>
      </c>
      <c r="L18" s="1492">
        <f t="shared" si="0"/>
        <v>265120</v>
      </c>
      <c r="M18" s="412"/>
    </row>
    <row r="19" spans="1:13" ht="36" customHeight="1">
      <c r="A19" s="1413">
        <v>42614</v>
      </c>
      <c r="B19" s="1067">
        <v>235</v>
      </c>
      <c r="C19" s="1067">
        <v>65955</v>
      </c>
      <c r="D19" s="1067">
        <f t="shared" si="1"/>
        <v>9783.5</v>
      </c>
      <c r="E19" s="1067">
        <f t="shared" si="2"/>
        <v>2636215</v>
      </c>
      <c r="F19" s="1067"/>
      <c r="G19" s="1245"/>
      <c r="H19" s="1490">
        <f t="shared" si="4"/>
        <v>112597.5</v>
      </c>
      <c r="I19" s="1418">
        <v>152515</v>
      </c>
      <c r="J19" s="1418">
        <f t="shared" si="5"/>
        <v>2457655</v>
      </c>
      <c r="K19" s="1416">
        <f t="shared" si="3"/>
        <v>112605</v>
      </c>
      <c r="L19" s="1492">
        <f t="shared" si="0"/>
        <v>178560</v>
      </c>
      <c r="M19" s="412" t="s">
        <v>369</v>
      </c>
    </row>
    <row r="20" spans="1:13" ht="36" customHeight="1">
      <c r="A20" s="1413">
        <v>42644</v>
      </c>
      <c r="B20" s="1067">
        <v>324.5</v>
      </c>
      <c r="C20" s="1067">
        <v>91267.5</v>
      </c>
      <c r="D20" s="1067">
        <f t="shared" si="1"/>
        <v>10108</v>
      </c>
      <c r="E20" s="1067">
        <f t="shared" si="2"/>
        <v>2727482.5</v>
      </c>
      <c r="F20" s="1067"/>
      <c r="G20" s="1245"/>
      <c r="H20" s="1490">
        <f t="shared" si="4"/>
        <v>65955</v>
      </c>
      <c r="I20" s="1418"/>
      <c r="J20" s="1418">
        <f t="shared" si="5"/>
        <v>2457655</v>
      </c>
      <c r="K20" s="1416">
        <f t="shared" si="3"/>
        <v>178560</v>
      </c>
      <c r="L20" s="1492">
        <f t="shared" si="0"/>
        <v>269827.5</v>
      </c>
      <c r="M20" s="412"/>
    </row>
    <row r="21" spans="1:13" ht="36" customHeight="1">
      <c r="A21" s="1413">
        <v>42675</v>
      </c>
      <c r="B21" s="1067">
        <v>268</v>
      </c>
      <c r="C21" s="1067">
        <v>79325</v>
      </c>
      <c r="D21" s="1067">
        <f t="shared" si="1"/>
        <v>10376</v>
      </c>
      <c r="E21" s="1067">
        <f t="shared" si="2"/>
        <v>2806807.5</v>
      </c>
      <c r="F21" s="1067"/>
      <c r="G21" s="1245"/>
      <c r="H21" s="1490">
        <f t="shared" si="4"/>
        <v>91267.5</v>
      </c>
      <c r="I21" s="1418">
        <v>100000</v>
      </c>
      <c r="J21" s="1418">
        <f t="shared" si="5"/>
        <v>2557655</v>
      </c>
      <c r="K21" s="1416">
        <f t="shared" si="3"/>
        <v>169827.5</v>
      </c>
      <c r="L21" s="1492">
        <f t="shared" si="0"/>
        <v>249152.5</v>
      </c>
      <c r="M21" s="412" t="s">
        <v>370</v>
      </c>
    </row>
    <row r="22" spans="1:13" ht="36" customHeight="1">
      <c r="A22" s="1413">
        <v>42705</v>
      </c>
      <c r="B22" s="1067">
        <v>828.5</v>
      </c>
      <c r="C22" s="1067">
        <v>258962.5</v>
      </c>
      <c r="D22" s="1067">
        <f t="shared" si="1"/>
        <v>11204.5</v>
      </c>
      <c r="E22" s="1067">
        <f t="shared" si="2"/>
        <v>3065770</v>
      </c>
      <c r="F22" s="1067"/>
      <c r="G22" s="1245"/>
      <c r="H22" s="1490">
        <f t="shared" si="4"/>
        <v>79325</v>
      </c>
      <c r="I22" s="1418">
        <v>78552.5</v>
      </c>
      <c r="J22" s="1418">
        <f t="shared" si="5"/>
        <v>2636207.5</v>
      </c>
      <c r="K22" s="1416">
        <f t="shared" si="3"/>
        <v>170600</v>
      </c>
      <c r="L22" s="1492">
        <f t="shared" si="0"/>
        <v>429562.5</v>
      </c>
      <c r="M22" s="412" t="s">
        <v>371</v>
      </c>
    </row>
    <row r="23" spans="1:13" ht="36" customHeight="1">
      <c r="A23" s="1413">
        <v>42736</v>
      </c>
      <c r="B23" s="1067">
        <v>197</v>
      </c>
      <c r="C23" s="1067">
        <v>62380</v>
      </c>
      <c r="D23" s="1067">
        <f t="shared" si="1"/>
        <v>11401.5</v>
      </c>
      <c r="E23" s="1067">
        <f t="shared" si="2"/>
        <v>3128150</v>
      </c>
      <c r="F23" s="1067"/>
      <c r="G23" s="1245"/>
      <c r="H23" s="1490">
        <f t="shared" si="4"/>
        <v>258962.5</v>
      </c>
      <c r="I23" s="1418">
        <f>91267.5+79325</f>
        <v>170592.5</v>
      </c>
      <c r="J23" s="1418">
        <f t="shared" si="5"/>
        <v>2806800</v>
      </c>
      <c r="K23" s="1416">
        <f t="shared" si="3"/>
        <v>258970</v>
      </c>
      <c r="L23" s="1492">
        <f t="shared" si="0"/>
        <v>321350</v>
      </c>
      <c r="M23" s="412" t="s">
        <v>372</v>
      </c>
    </row>
    <row r="24" spans="1:13" ht="36" customHeight="1">
      <c r="A24" s="1413">
        <v>42767</v>
      </c>
      <c r="B24" s="1067">
        <v>47.5</v>
      </c>
      <c r="C24" s="1067">
        <v>16625</v>
      </c>
      <c r="D24" s="1067">
        <f t="shared" si="1"/>
        <v>11449</v>
      </c>
      <c r="E24" s="1067">
        <f t="shared" si="2"/>
        <v>3144775</v>
      </c>
      <c r="F24" s="1067"/>
      <c r="G24" s="1245"/>
      <c r="H24" s="1490">
        <f t="shared" si="4"/>
        <v>62380</v>
      </c>
      <c r="I24" s="1418"/>
      <c r="J24" s="1418">
        <f t="shared" si="5"/>
        <v>2806800</v>
      </c>
      <c r="K24" s="1416">
        <f t="shared" si="3"/>
        <v>321350</v>
      </c>
      <c r="L24" s="1492">
        <f t="shared" si="0"/>
        <v>337975</v>
      </c>
      <c r="M24" s="412" t="s">
        <v>373</v>
      </c>
    </row>
    <row r="25" spans="1:13" ht="36" customHeight="1">
      <c r="A25" s="1413">
        <v>42795</v>
      </c>
      <c r="B25" s="1067">
        <v>592.5</v>
      </c>
      <c r="C25" s="1067">
        <v>205275</v>
      </c>
      <c r="D25" s="1067">
        <f t="shared" si="1"/>
        <v>12041.5</v>
      </c>
      <c r="E25" s="1067">
        <f t="shared" si="2"/>
        <v>3350050</v>
      </c>
      <c r="F25" s="1067"/>
      <c r="G25" s="1245"/>
      <c r="H25" s="1490">
        <f t="shared" si="4"/>
        <v>16625</v>
      </c>
      <c r="I25" s="1418">
        <v>258962.5</v>
      </c>
      <c r="J25" s="1418">
        <f t="shared" si="5"/>
        <v>3065762.5</v>
      </c>
      <c r="K25" s="1416">
        <f t="shared" si="3"/>
        <v>79012.5</v>
      </c>
      <c r="L25" s="1492">
        <f t="shared" si="0"/>
        <v>284287.5</v>
      </c>
      <c r="M25" s="412" t="s">
        <v>374</v>
      </c>
    </row>
    <row r="26" spans="1:13" ht="36" customHeight="1">
      <c r="A26" s="1413">
        <v>42826</v>
      </c>
      <c r="B26" s="1067">
        <v>359.5</v>
      </c>
      <c r="C26" s="1067">
        <v>122960</v>
      </c>
      <c r="D26" s="1067">
        <f t="shared" si="1"/>
        <v>12401</v>
      </c>
      <c r="E26" s="1067">
        <f t="shared" si="2"/>
        <v>3473010</v>
      </c>
      <c r="F26" s="1067"/>
      <c r="G26" s="1245"/>
      <c r="H26" s="1490">
        <f t="shared" si="4"/>
        <v>205275</v>
      </c>
      <c r="I26" s="1418">
        <v>62380</v>
      </c>
      <c r="J26" s="1418">
        <f t="shared" si="5"/>
        <v>3128142.5</v>
      </c>
      <c r="K26" s="1416">
        <f t="shared" si="3"/>
        <v>221907.5</v>
      </c>
      <c r="L26" s="1492">
        <f t="shared" si="0"/>
        <v>344867.5</v>
      </c>
      <c r="M26" s="412" t="s">
        <v>375</v>
      </c>
    </row>
    <row r="27" spans="1:13" ht="36" customHeight="1">
      <c r="A27" s="1413">
        <v>42856</v>
      </c>
      <c r="B27" s="1067">
        <v>0</v>
      </c>
      <c r="C27" s="1067">
        <v>0</v>
      </c>
      <c r="D27" s="1067">
        <f t="shared" si="1"/>
        <v>12401</v>
      </c>
      <c r="E27" s="1067">
        <f t="shared" si="2"/>
        <v>3473010</v>
      </c>
      <c r="F27" s="1067"/>
      <c r="G27" s="1245"/>
      <c r="H27" s="1490">
        <f t="shared" si="4"/>
        <v>122960</v>
      </c>
      <c r="I27" s="1418">
        <v>158905</v>
      </c>
      <c r="J27" s="1418">
        <f t="shared" si="5"/>
        <v>3287047.5</v>
      </c>
      <c r="K27" s="1416">
        <f t="shared" si="3"/>
        <v>185962.5</v>
      </c>
      <c r="L27" s="1492">
        <f t="shared" si="0"/>
        <v>185962.5</v>
      </c>
      <c r="M27" s="412"/>
    </row>
    <row r="28" spans="1:13" ht="36" customHeight="1">
      <c r="A28" s="1413">
        <v>42948</v>
      </c>
      <c r="B28" s="1067"/>
      <c r="C28" s="1067"/>
      <c r="D28" s="1067">
        <f t="shared" si="1"/>
        <v>12401</v>
      </c>
      <c r="E28" s="1067">
        <f t="shared" si="2"/>
        <v>3473010</v>
      </c>
      <c r="F28" s="1067"/>
      <c r="G28" s="1245"/>
      <c r="H28" s="1490">
        <f t="shared" si="4"/>
        <v>0</v>
      </c>
      <c r="I28" s="1418"/>
      <c r="J28" s="1418">
        <f t="shared" si="5"/>
        <v>3287047.5</v>
      </c>
      <c r="K28" s="1416">
        <f t="shared" si="3"/>
        <v>185962.5</v>
      </c>
      <c r="L28" s="1492">
        <f t="shared" si="0"/>
        <v>185962.5</v>
      </c>
      <c r="M28" s="412"/>
    </row>
    <row r="29" spans="1:13" ht="36" customHeight="1">
      <c r="A29" s="1413"/>
      <c r="B29" s="1067"/>
      <c r="C29" s="1067"/>
      <c r="D29" s="1067"/>
      <c r="E29" s="1067"/>
      <c r="F29" s="1067"/>
      <c r="G29" s="1245"/>
      <c r="H29" s="1490">
        <f t="shared" si="4"/>
        <v>0</v>
      </c>
      <c r="I29" s="1418"/>
      <c r="J29" s="1418"/>
      <c r="K29" s="1416">
        <f t="shared" si="3"/>
        <v>185962.5</v>
      </c>
      <c r="L29" s="259"/>
      <c r="M29" s="412"/>
    </row>
    <row r="30" spans="1:13" ht="36" customHeight="1">
      <c r="A30" s="1413"/>
      <c r="B30" s="1067"/>
      <c r="C30" s="1067"/>
      <c r="D30" s="1067"/>
      <c r="E30" s="1067"/>
      <c r="F30" s="1067"/>
      <c r="G30" s="1245"/>
      <c r="H30" s="1490"/>
      <c r="I30" s="1418"/>
      <c r="J30" s="1418"/>
      <c r="K30" s="1416"/>
      <c r="L30" s="259"/>
      <c r="M30" s="412"/>
    </row>
    <row r="31" spans="1:13" ht="36" customHeight="1">
      <c r="A31" s="1413"/>
      <c r="B31" s="1067"/>
      <c r="C31" s="1067"/>
      <c r="D31" s="1067"/>
      <c r="E31" s="1067"/>
      <c r="F31" s="1067"/>
      <c r="G31" s="1245"/>
      <c r="H31" s="1490"/>
      <c r="I31" s="1418"/>
      <c r="J31" s="1418"/>
      <c r="K31" s="1416"/>
      <c r="L31" s="259"/>
      <c r="M31" s="412"/>
    </row>
    <row r="32" spans="1:13" ht="36" customHeight="1">
      <c r="A32" s="1413"/>
      <c r="B32" s="1067"/>
      <c r="C32" s="1067"/>
      <c r="D32" s="1067"/>
      <c r="E32" s="1067"/>
      <c r="F32" s="1067"/>
      <c r="G32" s="1245"/>
      <c r="H32" s="1490"/>
      <c r="I32" s="1418"/>
      <c r="J32" s="1418"/>
      <c r="K32" s="1416"/>
      <c r="L32" s="259"/>
      <c r="M32" s="412"/>
    </row>
    <row r="33" spans="1:13" ht="36" customHeight="1">
      <c r="A33" s="1413"/>
      <c r="B33" s="1067"/>
      <c r="C33" s="1067"/>
      <c r="D33" s="1067"/>
      <c r="E33" s="1067"/>
      <c r="F33" s="1067"/>
      <c r="G33" s="1245"/>
      <c r="H33" s="1490"/>
      <c r="I33" s="1418"/>
      <c r="J33" s="1418"/>
      <c r="K33" s="1416"/>
      <c r="L33" s="259"/>
      <c r="M33" s="412"/>
    </row>
    <row r="34" spans="1:13" ht="36" customHeight="1">
      <c r="A34" s="1413"/>
      <c r="B34" s="1067"/>
      <c r="C34" s="1067"/>
      <c r="D34" s="1067"/>
      <c r="E34" s="1067"/>
      <c r="F34" s="1067"/>
      <c r="G34" s="1245"/>
      <c r="H34" s="1414"/>
      <c r="I34" s="1418"/>
      <c r="J34" s="1418"/>
      <c r="K34" s="1067"/>
      <c r="L34" s="259"/>
      <c r="M34" s="412"/>
    </row>
    <row r="37" spans="1:13">
      <c r="M37" s="287"/>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3"/>
  <sheetViews>
    <sheetView topLeftCell="A25" zoomScaleSheetLayoutView="100" workbookViewId="0">
      <selection activeCell="A32" sqref="A3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7.375" customWidth="1"/>
    <col min="11" max="11" width="19.625" customWidth="1"/>
    <col min="12" max="12" width="13.875" customWidth="1"/>
    <col min="13" max="13" width="25.25" customWidth="1"/>
  </cols>
  <sheetData>
    <row r="1" spans="1:13" ht="48" customHeight="1">
      <c r="A1" s="1875" t="s">
        <v>556</v>
      </c>
      <c r="B1" s="1877" t="s">
        <v>1554</v>
      </c>
      <c r="C1" s="1880" t="s">
        <v>1555</v>
      </c>
      <c r="D1" s="1881"/>
      <c r="E1" s="1879" t="s">
        <v>236</v>
      </c>
      <c r="F1" s="1795"/>
      <c r="G1" s="1795"/>
      <c r="H1" s="1186" t="s">
        <v>237</v>
      </c>
      <c r="I1" s="1665" t="s">
        <v>1556</v>
      </c>
      <c r="J1" s="1665"/>
      <c r="K1" s="1665"/>
      <c r="L1" s="1869" t="s">
        <v>1557</v>
      </c>
      <c r="M1" s="1870"/>
    </row>
    <row r="2" spans="1:13" ht="48" customHeight="1">
      <c r="A2" s="1876"/>
      <c r="B2" s="1878"/>
      <c r="C2" s="1882"/>
      <c r="D2" s="1883"/>
      <c r="E2" s="1780"/>
      <c r="F2" s="1795"/>
      <c r="G2" s="1795"/>
      <c r="H2" s="1188" t="s">
        <v>425</v>
      </c>
      <c r="I2" s="1871" t="s">
        <v>1558</v>
      </c>
      <c r="J2" s="1872"/>
      <c r="K2" s="1872"/>
      <c r="L2" s="1872"/>
      <c r="M2" s="1873"/>
    </row>
    <row r="3" spans="1:13" ht="33" customHeight="1">
      <c r="A3" s="39" t="s">
        <v>240</v>
      </c>
      <c r="B3" s="1637" t="s">
        <v>1559</v>
      </c>
      <c r="C3" s="1637"/>
      <c r="D3" s="41" t="s">
        <v>242</v>
      </c>
      <c r="E3" s="1832" t="s">
        <v>1560</v>
      </c>
      <c r="F3" s="1874"/>
      <c r="G3" s="642" t="s">
        <v>1561</v>
      </c>
      <c r="H3" s="40" t="s">
        <v>1562</v>
      </c>
      <c r="I3" s="531" t="s">
        <v>243</v>
      </c>
      <c r="J3" s="1675" t="s">
        <v>1558</v>
      </c>
      <c r="K3" s="1675"/>
      <c r="L3" s="1131" t="s">
        <v>245</v>
      </c>
      <c r="M3" s="1132" t="s">
        <v>1563</v>
      </c>
    </row>
    <row r="4" spans="1:13" ht="57.95" customHeight="1">
      <c r="A4" s="39" t="s">
        <v>247</v>
      </c>
      <c r="B4" s="1637" t="s">
        <v>1564</v>
      </c>
      <c r="C4" s="1637"/>
      <c r="D4" s="41" t="s">
        <v>249</v>
      </c>
      <c r="E4" s="40"/>
      <c r="F4" s="41" t="s">
        <v>251</v>
      </c>
      <c r="G4" s="40" t="s">
        <v>1565</v>
      </c>
      <c r="H4" s="177" t="s">
        <v>252</v>
      </c>
      <c r="I4" s="1170"/>
      <c r="J4" s="91" t="s">
        <v>253</v>
      </c>
      <c r="K4" s="1197" t="s">
        <v>1566</v>
      </c>
      <c r="L4" s="15" t="s">
        <v>1469</v>
      </c>
      <c r="M4" s="92" t="s">
        <v>1567</v>
      </c>
    </row>
    <row r="5" spans="1:13" ht="60.95" customHeight="1">
      <c r="A5" s="1127" t="s">
        <v>260</v>
      </c>
      <c r="B5" s="1856" t="s">
        <v>1568</v>
      </c>
      <c r="C5" s="1856"/>
      <c r="D5" s="1856"/>
      <c r="E5" s="1856"/>
      <c r="F5" s="1856"/>
      <c r="G5" s="1786" t="s">
        <v>1569</v>
      </c>
      <c r="H5" s="1786"/>
      <c r="I5" s="1786"/>
      <c r="J5" s="1786"/>
      <c r="K5" s="1858"/>
      <c r="L5" s="1858"/>
      <c r="M5" s="1859"/>
    </row>
    <row r="6" spans="1:13" ht="38.1" customHeight="1">
      <c r="A6" s="39" t="s">
        <v>258</v>
      </c>
      <c r="B6" s="1765"/>
      <c r="C6" s="1765"/>
      <c r="D6" s="1765"/>
      <c r="E6" s="1765"/>
      <c r="F6" s="1765"/>
      <c r="G6" s="1765"/>
      <c r="H6" s="1868"/>
      <c r="I6" s="1868"/>
      <c r="J6" s="1868"/>
      <c r="L6" s="178"/>
      <c r="M6" s="1134"/>
    </row>
    <row r="7" spans="1:13" ht="30.75">
      <c r="A7" s="381" t="s">
        <v>266</v>
      </c>
      <c r="B7" s="382" t="s">
        <v>1474</v>
      </c>
      <c r="C7" s="382" t="s">
        <v>268</v>
      </c>
      <c r="D7" s="382" t="s">
        <v>1475</v>
      </c>
      <c r="E7" s="382" t="s">
        <v>270</v>
      </c>
      <c r="F7" s="382" t="s">
        <v>1476</v>
      </c>
      <c r="G7" s="383" t="s">
        <v>272</v>
      </c>
      <c r="H7" s="614" t="s">
        <v>273</v>
      </c>
      <c r="I7" s="382" t="s">
        <v>274</v>
      </c>
      <c r="J7" s="391" t="s">
        <v>275</v>
      </c>
      <c r="K7" s="391" t="s">
        <v>276</v>
      </c>
      <c r="L7" s="382" t="s">
        <v>277</v>
      </c>
      <c r="M7" s="392" t="s">
        <v>278</v>
      </c>
    </row>
    <row r="8" spans="1:13" ht="27.95" customHeight="1">
      <c r="A8" s="324">
        <v>42186</v>
      </c>
      <c r="B8" s="412">
        <v>383</v>
      </c>
      <c r="C8" s="412">
        <v>108464</v>
      </c>
      <c r="D8" s="412">
        <f>B8</f>
        <v>383</v>
      </c>
      <c r="E8" s="412">
        <f>C8</f>
        <v>108464</v>
      </c>
      <c r="F8" s="412"/>
      <c r="G8" s="412">
        <f t="shared" ref="G8:G29" si="0">C8</f>
        <v>108464</v>
      </c>
      <c r="H8" s="412"/>
      <c r="I8" s="412"/>
      <c r="J8" s="412"/>
      <c r="K8" s="412"/>
      <c r="L8" s="412">
        <f t="shared" ref="L8:L31" si="1">E8-J8</f>
        <v>108464</v>
      </c>
      <c r="M8" s="682"/>
    </row>
    <row r="9" spans="1:13" ht="27.95" customHeight="1">
      <c r="A9" s="324">
        <v>42217</v>
      </c>
      <c r="B9" s="412">
        <v>781</v>
      </c>
      <c r="C9" s="412">
        <v>220867</v>
      </c>
      <c r="D9" s="412">
        <f t="shared" ref="D9:D31" si="2">D8+B9</f>
        <v>1164</v>
      </c>
      <c r="E9" s="412">
        <f t="shared" ref="E9:E31" si="3">E8+C9</f>
        <v>329331</v>
      </c>
      <c r="F9" s="412"/>
      <c r="G9" s="412">
        <f t="shared" si="0"/>
        <v>220867</v>
      </c>
      <c r="H9" s="412"/>
      <c r="I9" s="412"/>
      <c r="J9" s="412"/>
      <c r="K9" s="412">
        <f t="shared" ref="K9:K32" si="4">K8+H9-I9</f>
        <v>0</v>
      </c>
      <c r="L9" s="412">
        <f t="shared" si="1"/>
        <v>329331</v>
      </c>
      <c r="M9" s="682"/>
    </row>
    <row r="10" spans="1:13" ht="27.95" customHeight="1">
      <c r="A10" s="324">
        <v>42248</v>
      </c>
      <c r="B10" s="1198">
        <v>953.5</v>
      </c>
      <c r="C10" s="1198">
        <v>269840.5</v>
      </c>
      <c r="D10" s="412">
        <f t="shared" si="2"/>
        <v>2117.5</v>
      </c>
      <c r="E10" s="412">
        <f t="shared" si="3"/>
        <v>599171.5</v>
      </c>
      <c r="F10" s="412"/>
      <c r="G10" s="412">
        <f t="shared" si="0"/>
        <v>269840.5</v>
      </c>
      <c r="H10" s="412">
        <f t="shared" ref="H10:H32" si="5">C8</f>
        <v>108464</v>
      </c>
      <c r="I10" s="412">
        <v>100000</v>
      </c>
      <c r="J10" s="412">
        <f>I10</f>
        <v>100000</v>
      </c>
      <c r="K10" s="412">
        <f t="shared" si="4"/>
        <v>8464</v>
      </c>
      <c r="L10" s="412">
        <f t="shared" si="1"/>
        <v>499171.5</v>
      </c>
      <c r="M10" s="682" t="s">
        <v>1570</v>
      </c>
    </row>
    <row r="11" spans="1:13" ht="27.95" customHeight="1">
      <c r="A11" s="737">
        <v>42278</v>
      </c>
      <c r="B11" s="523">
        <v>261</v>
      </c>
      <c r="C11" s="523">
        <v>73579</v>
      </c>
      <c r="D11" s="412">
        <f t="shared" si="2"/>
        <v>2378.5</v>
      </c>
      <c r="E11" s="412">
        <f t="shared" si="3"/>
        <v>672750.5</v>
      </c>
      <c r="F11" s="412"/>
      <c r="G11" s="412">
        <f t="shared" si="0"/>
        <v>73579</v>
      </c>
      <c r="H11" s="412">
        <f t="shared" si="5"/>
        <v>220867</v>
      </c>
      <c r="I11" s="412">
        <v>150000</v>
      </c>
      <c r="J11" s="412">
        <f t="shared" ref="J11:J31" si="6">I11+J10</f>
        <v>250000</v>
      </c>
      <c r="K11" s="412">
        <f t="shared" si="4"/>
        <v>79331</v>
      </c>
      <c r="L11" s="412">
        <f t="shared" si="1"/>
        <v>422750.5</v>
      </c>
      <c r="M11" s="682" t="s">
        <v>1571</v>
      </c>
    </row>
    <row r="12" spans="1:13" ht="27.95" customHeight="1">
      <c r="A12" s="324" t="s">
        <v>1572</v>
      </c>
      <c r="B12" s="1199"/>
      <c r="C12" s="1199">
        <v>-11251.06</v>
      </c>
      <c r="D12" s="412">
        <f t="shared" si="2"/>
        <v>2378.5</v>
      </c>
      <c r="E12" s="412">
        <f t="shared" si="3"/>
        <v>661499.43999999994</v>
      </c>
      <c r="F12" s="412"/>
      <c r="G12" s="412">
        <f t="shared" si="0"/>
        <v>-11251.06</v>
      </c>
      <c r="H12" s="412">
        <f t="shared" si="5"/>
        <v>269840.5</v>
      </c>
      <c r="I12" s="412"/>
      <c r="J12" s="412">
        <f t="shared" si="6"/>
        <v>250000</v>
      </c>
      <c r="K12" s="412">
        <f t="shared" si="4"/>
        <v>349171.5</v>
      </c>
      <c r="L12" s="412">
        <f t="shared" si="1"/>
        <v>411499.43999999994</v>
      </c>
      <c r="M12" s="682"/>
    </row>
    <row r="13" spans="1:13" ht="27.95" customHeight="1">
      <c r="A13" s="324">
        <v>42309</v>
      </c>
      <c r="B13" s="412">
        <v>46</v>
      </c>
      <c r="C13" s="412">
        <v>12834</v>
      </c>
      <c r="D13" s="412">
        <f t="shared" si="2"/>
        <v>2424.5</v>
      </c>
      <c r="E13" s="412">
        <f t="shared" si="3"/>
        <v>674333.44</v>
      </c>
      <c r="F13" s="412"/>
      <c r="G13" s="412">
        <f t="shared" si="0"/>
        <v>12834</v>
      </c>
      <c r="H13" s="412">
        <f t="shared" si="5"/>
        <v>73579</v>
      </c>
      <c r="I13" s="412"/>
      <c r="J13" s="412">
        <f t="shared" si="6"/>
        <v>250000</v>
      </c>
      <c r="K13" s="412">
        <f t="shared" si="4"/>
        <v>422750.5</v>
      </c>
      <c r="L13" s="412">
        <f t="shared" si="1"/>
        <v>424333.43999999994</v>
      </c>
      <c r="M13" s="682"/>
    </row>
    <row r="14" spans="1:13" ht="27.95" customHeight="1">
      <c r="A14" s="324">
        <v>42339</v>
      </c>
      <c r="B14" s="412">
        <v>26</v>
      </c>
      <c r="C14" s="412">
        <v>7254</v>
      </c>
      <c r="D14" s="412">
        <f t="shared" si="2"/>
        <v>2450.5</v>
      </c>
      <c r="E14" s="412">
        <f t="shared" si="3"/>
        <v>681587.44</v>
      </c>
      <c r="F14" s="412"/>
      <c r="G14" s="412">
        <f t="shared" si="0"/>
        <v>7254</v>
      </c>
      <c r="H14" s="412">
        <f t="shared" si="5"/>
        <v>-11251.06</v>
      </c>
      <c r="I14" s="412"/>
      <c r="J14" s="412">
        <f t="shared" si="6"/>
        <v>250000</v>
      </c>
      <c r="K14" s="412">
        <f t="shared" si="4"/>
        <v>411499.44</v>
      </c>
      <c r="L14" s="412">
        <f t="shared" si="1"/>
        <v>431587.43999999994</v>
      </c>
      <c r="M14" s="682"/>
    </row>
    <row r="15" spans="1:13" ht="27.95" customHeight="1">
      <c r="A15" s="324">
        <v>42370</v>
      </c>
      <c r="B15" s="412">
        <v>125</v>
      </c>
      <c r="C15" s="412">
        <v>34773</v>
      </c>
      <c r="D15" s="412">
        <f t="shared" si="2"/>
        <v>2575.5</v>
      </c>
      <c r="E15" s="412">
        <f t="shared" si="3"/>
        <v>716360.44</v>
      </c>
      <c r="F15" s="412"/>
      <c r="G15" s="412">
        <f t="shared" si="0"/>
        <v>34773</v>
      </c>
      <c r="H15" s="412">
        <f t="shared" si="5"/>
        <v>12834</v>
      </c>
      <c r="I15" s="412"/>
      <c r="J15" s="412">
        <f t="shared" si="6"/>
        <v>250000</v>
      </c>
      <c r="K15" s="412">
        <f t="shared" si="4"/>
        <v>424333.44</v>
      </c>
      <c r="L15" s="412">
        <f t="shared" si="1"/>
        <v>466360.43999999994</v>
      </c>
      <c r="M15" s="682"/>
    </row>
    <row r="16" spans="1:13" ht="27.95" customHeight="1">
      <c r="A16" s="324">
        <v>42401</v>
      </c>
      <c r="B16" s="412">
        <v>0</v>
      </c>
      <c r="C16" s="412">
        <v>0</v>
      </c>
      <c r="D16" s="412">
        <f t="shared" si="2"/>
        <v>2575.5</v>
      </c>
      <c r="E16" s="412">
        <f t="shared" si="3"/>
        <v>716360.44</v>
      </c>
      <c r="F16" s="412"/>
      <c r="G16" s="412">
        <f t="shared" si="0"/>
        <v>0</v>
      </c>
      <c r="H16" s="412">
        <f t="shared" si="5"/>
        <v>7254</v>
      </c>
      <c r="I16" s="412">
        <v>300000</v>
      </c>
      <c r="J16" s="412">
        <f t="shared" si="6"/>
        <v>550000</v>
      </c>
      <c r="K16" s="412">
        <f t="shared" si="4"/>
        <v>131587.44</v>
      </c>
      <c r="L16" s="412">
        <f t="shared" si="1"/>
        <v>166360.43999999994</v>
      </c>
      <c r="M16" s="682" t="s">
        <v>1573</v>
      </c>
    </row>
    <row r="17" spans="1:13" ht="27.95" customHeight="1">
      <c r="A17" s="324">
        <v>42461</v>
      </c>
      <c r="B17" s="412">
        <v>25</v>
      </c>
      <c r="C17" s="412">
        <v>6700</v>
      </c>
      <c r="D17" s="412">
        <f t="shared" si="2"/>
        <v>2600.5</v>
      </c>
      <c r="E17" s="412">
        <f t="shared" si="3"/>
        <v>723060.44</v>
      </c>
      <c r="F17" s="412"/>
      <c r="G17" s="412">
        <f t="shared" si="0"/>
        <v>6700</v>
      </c>
      <c r="H17" s="412">
        <f t="shared" si="5"/>
        <v>34773</v>
      </c>
      <c r="I17" s="412"/>
      <c r="J17" s="412">
        <f t="shared" si="6"/>
        <v>550000</v>
      </c>
      <c r="K17" s="412">
        <f t="shared" si="4"/>
        <v>166360.44</v>
      </c>
      <c r="L17" s="412">
        <f t="shared" si="1"/>
        <v>173060.43999999994</v>
      </c>
      <c r="M17" s="682"/>
    </row>
    <row r="18" spans="1:13" ht="27.95" customHeight="1">
      <c r="A18" s="324">
        <v>42491</v>
      </c>
      <c r="B18" s="412">
        <v>132</v>
      </c>
      <c r="C18" s="412">
        <v>39873</v>
      </c>
      <c r="D18" s="412">
        <f t="shared" si="2"/>
        <v>2732.5</v>
      </c>
      <c r="E18" s="412">
        <f t="shared" si="3"/>
        <v>762933.44</v>
      </c>
      <c r="F18" s="412"/>
      <c r="G18" s="412">
        <f t="shared" si="0"/>
        <v>39873</v>
      </c>
      <c r="H18" s="412">
        <f t="shared" si="5"/>
        <v>0</v>
      </c>
      <c r="I18" s="412"/>
      <c r="J18" s="412">
        <f t="shared" si="6"/>
        <v>550000</v>
      </c>
      <c r="K18" s="412">
        <f t="shared" si="4"/>
        <v>166360.44</v>
      </c>
      <c r="L18" s="412">
        <f t="shared" si="1"/>
        <v>212933.43999999994</v>
      </c>
      <c r="M18" s="682"/>
    </row>
    <row r="19" spans="1:13" ht="27.95" customHeight="1">
      <c r="A19" s="324" t="s">
        <v>1574</v>
      </c>
      <c r="B19" s="1199"/>
      <c r="C19" s="1199">
        <v>-3723.64</v>
      </c>
      <c r="D19" s="412">
        <f t="shared" si="2"/>
        <v>2732.5</v>
      </c>
      <c r="E19" s="412">
        <f t="shared" si="3"/>
        <v>759209.79999999993</v>
      </c>
      <c r="F19" s="412"/>
      <c r="G19" s="412">
        <f t="shared" si="0"/>
        <v>-3723.64</v>
      </c>
      <c r="H19" s="412">
        <f t="shared" si="5"/>
        <v>6700</v>
      </c>
      <c r="I19" s="412"/>
      <c r="J19" s="412">
        <f t="shared" si="6"/>
        <v>550000</v>
      </c>
      <c r="K19" s="412">
        <f t="shared" si="4"/>
        <v>173060.44</v>
      </c>
      <c r="L19" s="412">
        <f t="shared" si="1"/>
        <v>209209.79999999993</v>
      </c>
      <c r="M19" s="682"/>
    </row>
    <row r="20" spans="1:13" ht="27.95" customHeight="1">
      <c r="A20" s="324" t="s">
        <v>1575</v>
      </c>
      <c r="B20" s="1199"/>
      <c r="C20" s="1199">
        <v>-1902.24</v>
      </c>
      <c r="D20" s="412">
        <f t="shared" si="2"/>
        <v>2732.5</v>
      </c>
      <c r="E20" s="412">
        <f t="shared" si="3"/>
        <v>757307.55999999994</v>
      </c>
      <c r="F20" s="412"/>
      <c r="G20" s="412">
        <f t="shared" si="0"/>
        <v>-1902.24</v>
      </c>
      <c r="H20" s="412">
        <f t="shared" si="5"/>
        <v>39873</v>
      </c>
      <c r="I20" s="412"/>
      <c r="J20" s="412">
        <f t="shared" si="6"/>
        <v>550000</v>
      </c>
      <c r="K20" s="412">
        <f t="shared" si="4"/>
        <v>212933.44</v>
      </c>
      <c r="L20" s="412">
        <f t="shared" si="1"/>
        <v>207307.55999999994</v>
      </c>
      <c r="M20" s="682"/>
    </row>
    <row r="21" spans="1:13" ht="27.95" customHeight="1">
      <c r="A21" s="324">
        <v>42522</v>
      </c>
      <c r="B21" s="412">
        <v>9</v>
      </c>
      <c r="C21" s="412">
        <v>2430</v>
      </c>
      <c r="D21" s="412">
        <f t="shared" si="2"/>
        <v>2741.5</v>
      </c>
      <c r="E21" s="412">
        <f t="shared" si="3"/>
        <v>759737.55999999994</v>
      </c>
      <c r="F21" s="412"/>
      <c r="G21" s="412">
        <f t="shared" si="0"/>
        <v>2430</v>
      </c>
      <c r="H21" s="412">
        <f t="shared" si="5"/>
        <v>-3723.64</v>
      </c>
      <c r="I21" s="412"/>
      <c r="J21" s="412">
        <f t="shared" si="6"/>
        <v>550000</v>
      </c>
      <c r="K21" s="412">
        <f t="shared" si="4"/>
        <v>209209.8</v>
      </c>
      <c r="L21" s="412">
        <f t="shared" si="1"/>
        <v>209737.55999999994</v>
      </c>
      <c r="M21" s="682"/>
    </row>
    <row r="22" spans="1:13" ht="27.95" customHeight="1">
      <c r="A22" s="324">
        <v>42552</v>
      </c>
      <c r="B22" s="412">
        <v>19</v>
      </c>
      <c r="C22" s="412">
        <v>5301</v>
      </c>
      <c r="D22" s="412">
        <f t="shared" si="2"/>
        <v>2760.5</v>
      </c>
      <c r="E22" s="412">
        <f t="shared" si="3"/>
        <v>765038.55999999994</v>
      </c>
      <c r="F22" s="412"/>
      <c r="G22" s="412">
        <f t="shared" si="0"/>
        <v>5301</v>
      </c>
      <c r="H22" s="412">
        <f t="shared" si="5"/>
        <v>-1902.24</v>
      </c>
      <c r="I22" s="412"/>
      <c r="J22" s="412">
        <f t="shared" si="6"/>
        <v>550000</v>
      </c>
      <c r="K22" s="412">
        <f t="shared" si="4"/>
        <v>207307.56</v>
      </c>
      <c r="L22" s="412">
        <f t="shared" si="1"/>
        <v>215038.55999999994</v>
      </c>
      <c r="M22" s="682"/>
    </row>
    <row r="23" spans="1:13" ht="27.95" customHeight="1">
      <c r="A23" s="324">
        <v>42583</v>
      </c>
      <c r="B23" s="412">
        <v>543</v>
      </c>
      <c r="C23" s="412">
        <v>153669</v>
      </c>
      <c r="D23" s="412">
        <f t="shared" si="2"/>
        <v>3303.5</v>
      </c>
      <c r="E23" s="412">
        <f t="shared" si="3"/>
        <v>918707.55999999994</v>
      </c>
      <c r="F23" s="412"/>
      <c r="G23" s="412">
        <f t="shared" si="0"/>
        <v>153669</v>
      </c>
      <c r="H23" s="412">
        <f t="shared" si="5"/>
        <v>2430</v>
      </c>
      <c r="I23" s="412"/>
      <c r="J23" s="412">
        <f t="shared" si="6"/>
        <v>550000</v>
      </c>
      <c r="K23" s="412">
        <f t="shared" si="4"/>
        <v>209737.56</v>
      </c>
      <c r="L23" s="412">
        <f t="shared" si="1"/>
        <v>368707.55999999994</v>
      </c>
      <c r="M23" s="682"/>
    </row>
    <row r="24" spans="1:13" ht="27.95" customHeight="1">
      <c r="A24" s="324">
        <v>42614</v>
      </c>
      <c r="B24" s="412">
        <v>232.5</v>
      </c>
      <c r="C24" s="412">
        <v>65239.5</v>
      </c>
      <c r="D24" s="412">
        <f t="shared" si="2"/>
        <v>3536</v>
      </c>
      <c r="E24" s="412">
        <f t="shared" si="3"/>
        <v>983947.05999999994</v>
      </c>
      <c r="F24" s="412"/>
      <c r="G24" s="412">
        <f t="shared" si="0"/>
        <v>65239.5</v>
      </c>
      <c r="H24" s="412">
        <f t="shared" si="5"/>
        <v>5301</v>
      </c>
      <c r="I24" s="412">
        <v>80000</v>
      </c>
      <c r="J24" s="412">
        <f t="shared" si="6"/>
        <v>630000</v>
      </c>
      <c r="K24" s="412">
        <f t="shared" si="4"/>
        <v>135038.56</v>
      </c>
      <c r="L24" s="412">
        <f t="shared" si="1"/>
        <v>353947.05999999994</v>
      </c>
      <c r="M24" s="682" t="s">
        <v>1576</v>
      </c>
    </row>
    <row r="25" spans="1:13" ht="27.95" customHeight="1">
      <c r="A25" s="324">
        <v>42644</v>
      </c>
      <c r="B25" s="412">
        <v>526.5</v>
      </c>
      <c r="C25" s="412">
        <v>146259</v>
      </c>
      <c r="D25" s="412">
        <f t="shared" si="2"/>
        <v>4062.5</v>
      </c>
      <c r="E25" s="412">
        <f t="shared" si="3"/>
        <v>1130206.06</v>
      </c>
      <c r="F25" s="412"/>
      <c r="G25" s="412">
        <f t="shared" si="0"/>
        <v>146259</v>
      </c>
      <c r="H25" s="412">
        <f t="shared" si="5"/>
        <v>153669</v>
      </c>
      <c r="I25" s="412"/>
      <c r="J25" s="412">
        <f t="shared" si="6"/>
        <v>630000</v>
      </c>
      <c r="K25" s="412">
        <f t="shared" si="4"/>
        <v>288707.56</v>
      </c>
      <c r="L25" s="412">
        <f t="shared" si="1"/>
        <v>500206.06000000006</v>
      </c>
      <c r="M25" s="682"/>
    </row>
    <row r="26" spans="1:13" ht="27.95" customHeight="1">
      <c r="A26" s="324">
        <v>42675</v>
      </c>
      <c r="B26" s="412">
        <v>0</v>
      </c>
      <c r="C26" s="412">
        <v>0</v>
      </c>
      <c r="D26" s="412">
        <f t="shared" si="2"/>
        <v>4062.5</v>
      </c>
      <c r="E26" s="412">
        <f t="shared" si="3"/>
        <v>1130206.06</v>
      </c>
      <c r="F26" s="412"/>
      <c r="G26" s="412">
        <f t="shared" si="0"/>
        <v>0</v>
      </c>
      <c r="H26" s="412">
        <f t="shared" si="5"/>
        <v>65239.5</v>
      </c>
      <c r="I26" s="412"/>
      <c r="J26" s="412">
        <f t="shared" si="6"/>
        <v>630000</v>
      </c>
      <c r="K26" s="412">
        <f t="shared" si="4"/>
        <v>353947.06</v>
      </c>
      <c r="L26" s="412">
        <f t="shared" si="1"/>
        <v>500206.06000000006</v>
      </c>
      <c r="M26" s="682"/>
    </row>
    <row r="27" spans="1:13" ht="27.95" customHeight="1">
      <c r="A27" s="324" t="s">
        <v>1577</v>
      </c>
      <c r="B27" s="412"/>
      <c r="C27" s="412">
        <v>-2255.5500000000002</v>
      </c>
      <c r="D27" s="412">
        <f t="shared" si="2"/>
        <v>4062.5</v>
      </c>
      <c r="E27" s="412">
        <f t="shared" si="3"/>
        <v>1127950.51</v>
      </c>
      <c r="F27" s="412"/>
      <c r="G27" s="412">
        <f t="shared" si="0"/>
        <v>-2255.5500000000002</v>
      </c>
      <c r="H27" s="412">
        <f t="shared" si="5"/>
        <v>146259</v>
      </c>
      <c r="I27" s="412"/>
      <c r="J27" s="412">
        <f t="shared" si="6"/>
        <v>630000</v>
      </c>
      <c r="K27" s="412">
        <f t="shared" si="4"/>
        <v>500206.06</v>
      </c>
      <c r="L27" s="412">
        <f t="shared" si="1"/>
        <v>497950.51</v>
      </c>
      <c r="M27" s="682"/>
    </row>
    <row r="28" spans="1:13" ht="27.95" customHeight="1">
      <c r="A28" s="324" t="s">
        <v>672</v>
      </c>
      <c r="B28" s="412"/>
      <c r="C28" s="412">
        <v>-5186.59</v>
      </c>
      <c r="D28" s="412">
        <f t="shared" si="2"/>
        <v>4062.5</v>
      </c>
      <c r="E28" s="412">
        <f t="shared" si="3"/>
        <v>1122763.92</v>
      </c>
      <c r="F28" s="412"/>
      <c r="G28" s="412">
        <f t="shared" si="0"/>
        <v>-5186.59</v>
      </c>
      <c r="H28" s="412">
        <f t="shared" si="5"/>
        <v>0</v>
      </c>
      <c r="I28" s="412"/>
      <c r="J28" s="412">
        <f t="shared" si="6"/>
        <v>630000</v>
      </c>
      <c r="K28" s="412">
        <f t="shared" si="4"/>
        <v>500206.06</v>
      </c>
      <c r="L28" s="412">
        <f t="shared" si="1"/>
        <v>492763.91999999993</v>
      </c>
      <c r="M28" s="682"/>
    </row>
    <row r="29" spans="1:13" ht="27.95" customHeight="1">
      <c r="A29" s="324">
        <v>42705</v>
      </c>
      <c r="B29" s="412">
        <v>0</v>
      </c>
      <c r="C29" s="412">
        <v>0</v>
      </c>
      <c r="D29" s="412">
        <f t="shared" si="2"/>
        <v>4062.5</v>
      </c>
      <c r="E29" s="412">
        <f t="shared" si="3"/>
        <v>1122763.92</v>
      </c>
      <c r="F29" s="412"/>
      <c r="G29" s="412">
        <f t="shared" si="0"/>
        <v>0</v>
      </c>
      <c r="H29" s="412">
        <f t="shared" si="5"/>
        <v>-2255.5500000000002</v>
      </c>
      <c r="I29" s="412">
        <v>80000</v>
      </c>
      <c r="J29" s="412">
        <f t="shared" si="6"/>
        <v>710000</v>
      </c>
      <c r="K29" s="412">
        <f t="shared" si="4"/>
        <v>417950.51</v>
      </c>
      <c r="L29" s="412">
        <f t="shared" si="1"/>
        <v>412763.91999999993</v>
      </c>
      <c r="M29" s="682" t="s">
        <v>1578</v>
      </c>
    </row>
    <row r="30" spans="1:13" ht="27.95" customHeight="1">
      <c r="A30" s="324">
        <v>42767</v>
      </c>
      <c r="B30" s="412">
        <v>0</v>
      </c>
      <c r="C30" s="412">
        <v>0</v>
      </c>
      <c r="D30" s="412">
        <f t="shared" si="2"/>
        <v>4062.5</v>
      </c>
      <c r="E30" s="412">
        <f t="shared" si="3"/>
        <v>1122763.92</v>
      </c>
      <c r="F30" s="412"/>
      <c r="G30" s="412"/>
      <c r="H30" s="412">
        <f t="shared" si="5"/>
        <v>-5186.59</v>
      </c>
      <c r="I30" s="412">
        <v>100000</v>
      </c>
      <c r="J30" s="412">
        <f t="shared" si="6"/>
        <v>810000</v>
      </c>
      <c r="K30" s="412">
        <f t="shared" si="4"/>
        <v>312763.92</v>
      </c>
      <c r="L30" s="412">
        <f t="shared" si="1"/>
        <v>312763.91999999993</v>
      </c>
      <c r="M30" s="682" t="s">
        <v>1579</v>
      </c>
    </row>
    <row r="31" spans="1:13" ht="27.95" customHeight="1">
      <c r="A31" s="324">
        <v>42948</v>
      </c>
      <c r="B31" s="412">
        <v>0</v>
      </c>
      <c r="C31" s="412">
        <v>0</v>
      </c>
      <c r="D31" s="412">
        <f t="shared" si="2"/>
        <v>4062.5</v>
      </c>
      <c r="E31" s="412">
        <f t="shared" si="3"/>
        <v>1122763.92</v>
      </c>
      <c r="F31" s="412"/>
      <c r="G31" s="412"/>
      <c r="H31" s="412">
        <f t="shared" si="5"/>
        <v>0</v>
      </c>
      <c r="I31" s="412">
        <v>150000</v>
      </c>
      <c r="J31" s="412">
        <f t="shared" si="6"/>
        <v>960000</v>
      </c>
      <c r="K31" s="412">
        <f t="shared" si="4"/>
        <v>162763.91999999998</v>
      </c>
      <c r="L31" s="412">
        <f t="shared" si="1"/>
        <v>162763.91999999993</v>
      </c>
      <c r="M31" s="682" t="s">
        <v>1580</v>
      </c>
    </row>
    <row r="32" spans="1:13" ht="27.95" customHeight="1">
      <c r="A32" s="324"/>
      <c r="B32" s="412"/>
      <c r="C32" s="412"/>
      <c r="D32" s="412"/>
      <c r="E32" s="412"/>
      <c r="F32" s="412"/>
      <c r="G32" s="412"/>
      <c r="H32" s="412">
        <f t="shared" si="5"/>
        <v>0</v>
      </c>
      <c r="I32" s="412"/>
      <c r="J32" s="412"/>
      <c r="K32" s="412">
        <f t="shared" si="4"/>
        <v>162763.91999999998</v>
      </c>
      <c r="L32" s="412"/>
      <c r="M32" s="682"/>
    </row>
    <row r="33" spans="1:13" ht="27.95" customHeight="1">
      <c r="A33" s="324"/>
      <c r="B33" s="412"/>
      <c r="C33" s="412"/>
      <c r="D33" s="412"/>
      <c r="E33" s="412"/>
      <c r="F33" s="412"/>
      <c r="G33" s="412"/>
      <c r="H33" s="412"/>
      <c r="I33" s="412"/>
      <c r="J33" s="412"/>
      <c r="K33" s="412"/>
      <c r="L33" s="412"/>
      <c r="M33" s="682"/>
    </row>
  </sheetData>
  <mergeCells count="17">
    <mergeCell ref="I1:K1"/>
    <mergeCell ref="L1:M1"/>
    <mergeCell ref="I2:M2"/>
    <mergeCell ref="B3:C3"/>
    <mergeCell ref="E3:F3"/>
    <mergeCell ref="A1:A2"/>
    <mergeCell ref="B1:B2"/>
    <mergeCell ref="E1:E2"/>
    <mergeCell ref="C1:D2"/>
    <mergeCell ref="F1:G2"/>
    <mergeCell ref="J3:K3"/>
    <mergeCell ref="B5:F5"/>
    <mergeCell ref="G5:J5"/>
    <mergeCell ref="K5:M5"/>
    <mergeCell ref="B6:G6"/>
    <mergeCell ref="H6:J6"/>
    <mergeCell ref="B4:C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25" zoomScaleSheetLayoutView="100" workbookViewId="0">
      <selection activeCell="A29" sqref="A29"/>
    </sheetView>
  </sheetViews>
  <sheetFormatPr defaultColWidth="9" defaultRowHeight="14.25"/>
  <cols>
    <col min="1" max="1" width="13.75" customWidth="1"/>
    <col min="2" max="2" width="15.25" customWidth="1"/>
    <col min="3" max="3" width="17.125" customWidth="1"/>
    <col min="4" max="4" width="14" customWidth="1"/>
    <col min="5" max="5" width="14.75" customWidth="1"/>
    <col min="6" max="6" width="14.625" customWidth="1"/>
    <col min="7" max="7" width="12.375" customWidth="1"/>
    <col min="8" max="8" width="17.875" customWidth="1"/>
    <col min="9" max="9" width="14.5" customWidth="1"/>
    <col min="10" max="10" width="14.75" customWidth="1"/>
    <col min="11" max="11" width="17.875" customWidth="1"/>
    <col min="12" max="12" width="13.875" customWidth="1"/>
    <col min="13" max="13" width="25.25" customWidth="1"/>
  </cols>
  <sheetData>
    <row r="1" spans="1:13" ht="68.099999999999994" customHeight="1">
      <c r="A1" s="34" t="s">
        <v>556</v>
      </c>
      <c r="B1" s="176">
        <v>42278</v>
      </c>
      <c r="C1" s="1195" t="s">
        <v>1581</v>
      </c>
      <c r="D1" s="1124" t="s">
        <v>1582</v>
      </c>
      <c r="E1" s="38" t="s">
        <v>236</v>
      </c>
      <c r="F1" s="1885" t="s">
        <v>1279</v>
      </c>
      <c r="G1" s="1885"/>
      <c r="H1" s="1126" t="s">
        <v>237</v>
      </c>
      <c r="I1" s="1665" t="s">
        <v>1583</v>
      </c>
      <c r="J1" s="1665"/>
      <c r="K1" s="1665"/>
      <c r="L1" s="1869" t="s">
        <v>1584</v>
      </c>
      <c r="M1" s="1870"/>
    </row>
    <row r="2" spans="1:13" ht="33" customHeight="1">
      <c r="A2" s="39" t="s">
        <v>240</v>
      </c>
      <c r="B2" s="1637" t="s">
        <v>529</v>
      </c>
      <c r="C2" s="1637"/>
      <c r="D2" s="41" t="s">
        <v>242</v>
      </c>
      <c r="E2" s="1832"/>
      <c r="F2" s="1833"/>
      <c r="G2" s="90" t="s">
        <v>1561</v>
      </c>
      <c r="H2" s="90" t="s">
        <v>1585</v>
      </c>
      <c r="I2" s="531" t="s">
        <v>243</v>
      </c>
      <c r="J2" s="1675" t="s">
        <v>1586</v>
      </c>
      <c r="K2" s="1675"/>
      <c r="L2" s="1131" t="s">
        <v>245</v>
      </c>
      <c r="M2" s="1132" t="s">
        <v>1587</v>
      </c>
    </row>
    <row r="3" spans="1:13" ht="57.95" customHeight="1">
      <c r="A3" s="39" t="s">
        <v>247</v>
      </c>
      <c r="B3" s="1637" t="s">
        <v>1588</v>
      </c>
      <c r="C3" s="1637"/>
      <c r="D3" s="41" t="s">
        <v>249</v>
      </c>
      <c r="E3" s="40">
        <v>21000</v>
      </c>
      <c r="F3" s="41" t="s">
        <v>251</v>
      </c>
      <c r="G3" s="40"/>
      <c r="H3" s="177" t="s">
        <v>252</v>
      </c>
      <c r="I3" s="1170"/>
      <c r="J3" s="91" t="s">
        <v>253</v>
      </c>
      <c r="K3" s="1197" t="s">
        <v>1589</v>
      </c>
      <c r="L3" s="15" t="s">
        <v>1469</v>
      </c>
      <c r="M3" s="92" t="s">
        <v>1590</v>
      </c>
    </row>
    <row r="4" spans="1:13" ht="60.95" customHeight="1">
      <c r="A4" s="1127" t="s">
        <v>260</v>
      </c>
      <c r="B4" s="1856" t="s">
        <v>1591</v>
      </c>
      <c r="C4" s="1856"/>
      <c r="D4" s="1856"/>
      <c r="E4" s="1856"/>
      <c r="F4" s="1856"/>
      <c r="G4" s="1786" t="s">
        <v>1592</v>
      </c>
      <c r="H4" s="1786"/>
      <c r="I4" s="1786"/>
      <c r="J4" s="1786"/>
      <c r="K4" s="1858"/>
      <c r="L4" s="1858"/>
      <c r="M4" s="1859"/>
    </row>
    <row r="5" spans="1:13" ht="38.1" customHeight="1">
      <c r="A5" s="39" t="s">
        <v>1593</v>
      </c>
      <c r="B5" s="1884" t="s">
        <v>1594</v>
      </c>
      <c r="C5" s="1765"/>
      <c r="D5" s="1765"/>
      <c r="E5" s="1765"/>
      <c r="F5" s="1765"/>
      <c r="G5" s="1765"/>
      <c r="L5" s="178"/>
      <c r="M5" s="1134"/>
    </row>
    <row r="6" spans="1:13" ht="30.75">
      <c r="A6" s="381" t="s">
        <v>266</v>
      </c>
      <c r="B6" s="382" t="s">
        <v>1474</v>
      </c>
      <c r="C6" s="382" t="s">
        <v>268</v>
      </c>
      <c r="D6" s="382" t="s">
        <v>1475</v>
      </c>
      <c r="E6" s="382" t="s">
        <v>270</v>
      </c>
      <c r="F6" s="382" t="s">
        <v>1476</v>
      </c>
      <c r="G6" s="383" t="s">
        <v>272</v>
      </c>
      <c r="H6" s="614" t="s">
        <v>273</v>
      </c>
      <c r="I6" s="382" t="s">
        <v>274</v>
      </c>
      <c r="J6" s="391" t="s">
        <v>275</v>
      </c>
      <c r="K6" s="391" t="s">
        <v>276</v>
      </c>
      <c r="L6" s="382" t="s">
        <v>277</v>
      </c>
      <c r="M6" s="392" t="s">
        <v>278</v>
      </c>
    </row>
    <row r="7" spans="1:13" ht="27.95" customHeight="1">
      <c r="A7" s="324">
        <v>42248</v>
      </c>
      <c r="B7" s="412">
        <v>426</v>
      </c>
      <c r="C7" s="412">
        <v>124773.5</v>
      </c>
      <c r="D7" s="412">
        <f>B7</f>
        <v>426</v>
      </c>
      <c r="E7" s="412">
        <f>C7</f>
        <v>124773.5</v>
      </c>
      <c r="F7" s="412"/>
      <c r="G7" s="412">
        <f>C7*0.2</f>
        <v>24954.7</v>
      </c>
      <c r="H7" s="412"/>
      <c r="I7" s="412"/>
      <c r="J7" s="412"/>
      <c r="K7" s="412"/>
      <c r="L7" s="412">
        <f t="shared" ref="L7:L28" si="0">E7-J7</f>
        <v>124773.5</v>
      </c>
      <c r="M7" s="682"/>
    </row>
    <row r="8" spans="1:13" ht="27.95" customHeight="1">
      <c r="A8" s="324">
        <v>42278</v>
      </c>
      <c r="B8" s="412">
        <v>3930</v>
      </c>
      <c r="C8" s="412">
        <v>1213832</v>
      </c>
      <c r="D8" s="412">
        <f t="shared" ref="D8:D28" si="1">D7+B8</f>
        <v>4356</v>
      </c>
      <c r="E8" s="412">
        <f t="shared" ref="E8:E28" si="2">E7+C8</f>
        <v>1338605.5</v>
      </c>
      <c r="F8" s="412"/>
      <c r="G8" s="412">
        <f t="shared" ref="G8:G14" si="3">E8*0.2</f>
        <v>267721.10000000003</v>
      </c>
      <c r="H8" s="412">
        <f t="shared" ref="H8:H15" si="4">C7*0.8</f>
        <v>99818.8</v>
      </c>
      <c r="I8" s="412"/>
      <c r="J8" s="412"/>
      <c r="K8" s="412">
        <f t="shared" ref="K8:K29" si="5">K7+H8-I8</f>
        <v>99818.8</v>
      </c>
      <c r="L8" s="412">
        <f t="shared" si="0"/>
        <v>1338605.5</v>
      </c>
      <c r="M8" s="682"/>
    </row>
    <row r="9" spans="1:13" ht="27.95" customHeight="1">
      <c r="A9" s="324">
        <v>42309</v>
      </c>
      <c r="B9" s="412">
        <v>6329</v>
      </c>
      <c r="C9" s="412">
        <v>1982220</v>
      </c>
      <c r="D9" s="412">
        <f t="shared" si="1"/>
        <v>10685</v>
      </c>
      <c r="E9" s="412">
        <f t="shared" si="2"/>
        <v>3320825.5</v>
      </c>
      <c r="F9" s="412"/>
      <c r="G9" s="412">
        <f t="shared" si="3"/>
        <v>664165.10000000009</v>
      </c>
      <c r="H9" s="412">
        <f t="shared" si="4"/>
        <v>971065.60000000009</v>
      </c>
      <c r="I9" s="412"/>
      <c r="J9" s="412"/>
      <c r="K9" s="412">
        <f t="shared" si="5"/>
        <v>1070884.4000000001</v>
      </c>
      <c r="L9" s="412">
        <f t="shared" si="0"/>
        <v>3320825.5</v>
      </c>
      <c r="M9" s="682"/>
    </row>
    <row r="10" spans="1:13" ht="27.95" customHeight="1">
      <c r="A10" s="324">
        <v>42339</v>
      </c>
      <c r="B10" s="1196">
        <v>3431.5</v>
      </c>
      <c r="C10" s="1196">
        <v>1048347</v>
      </c>
      <c r="D10" s="412">
        <f t="shared" si="1"/>
        <v>14116.5</v>
      </c>
      <c r="E10" s="412">
        <f t="shared" si="2"/>
        <v>4369172.5</v>
      </c>
      <c r="F10" s="412"/>
      <c r="G10" s="412">
        <f t="shared" si="3"/>
        <v>873834.5</v>
      </c>
      <c r="H10" s="412">
        <f t="shared" si="4"/>
        <v>1585776</v>
      </c>
      <c r="I10" s="412">
        <v>1070884</v>
      </c>
      <c r="J10" s="412">
        <f>I10</f>
        <v>1070884</v>
      </c>
      <c r="K10" s="412">
        <f t="shared" si="5"/>
        <v>1585776.4000000004</v>
      </c>
      <c r="L10" s="412">
        <f t="shared" si="0"/>
        <v>3298288.5</v>
      </c>
      <c r="M10" s="682" t="s">
        <v>1595</v>
      </c>
    </row>
    <row r="11" spans="1:13" ht="27.95" customHeight="1">
      <c r="A11" s="324">
        <v>42370</v>
      </c>
      <c r="B11" s="412">
        <v>3552.5</v>
      </c>
      <c r="C11" s="412">
        <v>1028970.5</v>
      </c>
      <c r="D11" s="412">
        <f t="shared" si="1"/>
        <v>17669</v>
      </c>
      <c r="E11" s="412">
        <f t="shared" si="2"/>
        <v>5398143</v>
      </c>
      <c r="F11" s="412"/>
      <c r="G11" s="412">
        <f t="shared" si="3"/>
        <v>1079628.6000000001</v>
      </c>
      <c r="H11" s="412">
        <f t="shared" si="4"/>
        <v>838677.60000000009</v>
      </c>
      <c r="I11" s="412">
        <v>1585776</v>
      </c>
      <c r="J11" s="412">
        <f t="shared" ref="J11:J28" si="6">I11+J10</f>
        <v>2656660</v>
      </c>
      <c r="K11" s="412">
        <f t="shared" si="5"/>
        <v>838678.00000000047</v>
      </c>
      <c r="L11" s="412">
        <f t="shared" si="0"/>
        <v>2741483</v>
      </c>
      <c r="M11" s="682" t="s">
        <v>1596</v>
      </c>
    </row>
    <row r="12" spans="1:13" ht="27.95" customHeight="1">
      <c r="A12" s="324">
        <v>42430</v>
      </c>
      <c r="B12" s="412">
        <v>2868</v>
      </c>
      <c r="C12" s="412">
        <v>841134</v>
      </c>
      <c r="D12" s="412">
        <f t="shared" si="1"/>
        <v>20537</v>
      </c>
      <c r="E12" s="412">
        <f t="shared" si="2"/>
        <v>6239277</v>
      </c>
      <c r="F12" s="412"/>
      <c r="G12" s="412">
        <f t="shared" si="3"/>
        <v>1247855.4000000001</v>
      </c>
      <c r="H12" s="412">
        <f t="shared" si="4"/>
        <v>823176.4</v>
      </c>
      <c r="I12" s="412">
        <v>838677.6</v>
      </c>
      <c r="J12" s="412">
        <f t="shared" si="6"/>
        <v>3495337.6</v>
      </c>
      <c r="K12" s="412">
        <f t="shared" si="5"/>
        <v>823176.8000000004</v>
      </c>
      <c r="L12" s="412">
        <f t="shared" si="0"/>
        <v>2743939.4</v>
      </c>
      <c r="M12" s="682" t="s">
        <v>1597</v>
      </c>
    </row>
    <row r="13" spans="1:13" ht="27.95" customHeight="1">
      <c r="A13" s="324">
        <v>42461</v>
      </c>
      <c r="B13" s="412">
        <v>1125</v>
      </c>
      <c r="C13" s="412">
        <v>326279</v>
      </c>
      <c r="D13" s="412">
        <f t="shared" si="1"/>
        <v>21662</v>
      </c>
      <c r="E13" s="412">
        <f t="shared" si="2"/>
        <v>6565556</v>
      </c>
      <c r="F13" s="412"/>
      <c r="G13" s="412">
        <f t="shared" si="3"/>
        <v>1313111.2000000002</v>
      </c>
      <c r="H13" s="1141">
        <f t="shared" si="4"/>
        <v>672907.20000000007</v>
      </c>
      <c r="I13" s="412">
        <v>823176</v>
      </c>
      <c r="J13" s="412">
        <f t="shared" si="6"/>
        <v>4318513.5999999996</v>
      </c>
      <c r="K13" s="412">
        <f t="shared" si="5"/>
        <v>672908.00000000047</v>
      </c>
      <c r="L13" s="412">
        <f t="shared" si="0"/>
        <v>2247042.4000000004</v>
      </c>
      <c r="M13" s="682"/>
    </row>
    <row r="14" spans="1:13" ht="27.95" customHeight="1">
      <c r="A14" s="324">
        <v>42491</v>
      </c>
      <c r="B14" s="412">
        <v>436</v>
      </c>
      <c r="C14" s="412">
        <v>127903</v>
      </c>
      <c r="D14" s="412">
        <f t="shared" si="1"/>
        <v>22098</v>
      </c>
      <c r="E14" s="412">
        <f t="shared" si="2"/>
        <v>6693459</v>
      </c>
      <c r="F14" s="412"/>
      <c r="G14" s="412">
        <f t="shared" si="3"/>
        <v>1338691.8</v>
      </c>
      <c r="H14" s="412">
        <f t="shared" si="4"/>
        <v>261023.2</v>
      </c>
      <c r="I14" s="412">
        <v>672900</v>
      </c>
      <c r="J14" s="412">
        <f t="shared" si="6"/>
        <v>4991413.5999999996</v>
      </c>
      <c r="K14" s="412">
        <f t="shared" si="5"/>
        <v>261031.20000000042</v>
      </c>
      <c r="L14" s="412">
        <f t="shared" si="0"/>
        <v>1702045.4000000004</v>
      </c>
      <c r="M14" s="682" t="s">
        <v>1598</v>
      </c>
    </row>
    <row r="15" spans="1:13" ht="27.95" customHeight="1">
      <c r="A15" s="324">
        <v>42522</v>
      </c>
      <c r="B15" s="412">
        <v>739.5</v>
      </c>
      <c r="C15" s="412">
        <v>224158.5</v>
      </c>
      <c r="D15" s="412">
        <f t="shared" si="1"/>
        <v>22837.5</v>
      </c>
      <c r="E15" s="412">
        <f t="shared" si="2"/>
        <v>6917617.5</v>
      </c>
      <c r="F15" s="412"/>
      <c r="G15" s="412">
        <f>G14*0.05</f>
        <v>66934.590000000011</v>
      </c>
      <c r="H15" s="412">
        <f t="shared" si="4"/>
        <v>102322.40000000001</v>
      </c>
      <c r="I15" s="412"/>
      <c r="J15" s="412">
        <f t="shared" si="6"/>
        <v>4991413.5999999996</v>
      </c>
      <c r="K15" s="412">
        <f t="shared" si="5"/>
        <v>363353.60000000044</v>
      </c>
      <c r="L15" s="412">
        <f t="shared" si="0"/>
        <v>1926203.9000000004</v>
      </c>
      <c r="M15" s="682" t="s">
        <v>1599</v>
      </c>
    </row>
    <row r="16" spans="1:13" ht="27.95" customHeight="1">
      <c r="A16" s="324">
        <v>42552</v>
      </c>
      <c r="B16" s="412">
        <v>357</v>
      </c>
      <c r="C16" s="412">
        <v>106811</v>
      </c>
      <c r="D16" s="412">
        <f t="shared" si="1"/>
        <v>23194.5</v>
      </c>
      <c r="E16" s="412">
        <f t="shared" si="2"/>
        <v>7024428.5</v>
      </c>
      <c r="F16" s="405"/>
      <c r="G16" s="412">
        <f>G14*0.05</f>
        <v>66934.590000000011</v>
      </c>
      <c r="H16" s="412">
        <f>G14*0.95+C15</f>
        <v>1495915.71</v>
      </c>
      <c r="I16" s="412"/>
      <c r="J16" s="412">
        <f t="shared" si="6"/>
        <v>4991413.5999999996</v>
      </c>
      <c r="K16" s="412">
        <f t="shared" si="5"/>
        <v>1859269.3100000005</v>
      </c>
      <c r="L16" s="412">
        <f t="shared" si="0"/>
        <v>2033014.9000000004</v>
      </c>
      <c r="M16" s="682"/>
    </row>
    <row r="17" spans="1:13" ht="27.95" customHeight="1">
      <c r="A17" s="324">
        <v>42583</v>
      </c>
      <c r="B17" s="412">
        <v>23</v>
      </c>
      <c r="C17" s="412">
        <v>6969</v>
      </c>
      <c r="D17" s="412">
        <f t="shared" si="1"/>
        <v>23217.5</v>
      </c>
      <c r="E17" s="412">
        <f t="shared" si="2"/>
        <v>7031397.5</v>
      </c>
      <c r="F17" s="405"/>
      <c r="G17" s="412"/>
      <c r="H17" s="412">
        <f t="shared" ref="H17:H29" si="7">C16</f>
        <v>106811</v>
      </c>
      <c r="I17" s="412">
        <v>1100000</v>
      </c>
      <c r="J17" s="412">
        <f t="shared" si="6"/>
        <v>6091413.5999999996</v>
      </c>
      <c r="K17" s="412">
        <f t="shared" si="5"/>
        <v>866080.31000000052</v>
      </c>
      <c r="L17" s="412">
        <f t="shared" si="0"/>
        <v>939983.90000000037</v>
      </c>
      <c r="M17" s="682" t="s">
        <v>1600</v>
      </c>
    </row>
    <row r="18" spans="1:13" ht="27.95" customHeight="1">
      <c r="A18" s="324">
        <v>42614</v>
      </c>
      <c r="B18" s="412">
        <v>0</v>
      </c>
      <c r="C18" s="412">
        <v>0</v>
      </c>
      <c r="D18" s="412">
        <f t="shared" si="1"/>
        <v>23217.5</v>
      </c>
      <c r="E18" s="412">
        <f t="shared" si="2"/>
        <v>7031397.5</v>
      </c>
      <c r="F18" s="405"/>
      <c r="G18" s="412"/>
      <c r="H18" s="412">
        <f>C17+66934.59</f>
        <v>73903.59</v>
      </c>
      <c r="I18" s="412"/>
      <c r="J18" s="412">
        <f t="shared" si="6"/>
        <v>6091413.5999999996</v>
      </c>
      <c r="K18" s="412">
        <f t="shared" si="5"/>
        <v>939983.90000000049</v>
      </c>
      <c r="L18" s="412">
        <f t="shared" si="0"/>
        <v>939983.90000000037</v>
      </c>
      <c r="M18" s="682"/>
    </row>
    <row r="19" spans="1:13" ht="27.95" customHeight="1">
      <c r="A19" s="324">
        <v>42644</v>
      </c>
      <c r="B19" s="412">
        <v>17</v>
      </c>
      <c r="C19" s="412">
        <v>4556</v>
      </c>
      <c r="D19" s="412">
        <f t="shared" si="1"/>
        <v>23234.5</v>
      </c>
      <c r="E19" s="412">
        <f t="shared" si="2"/>
        <v>7035953.5</v>
      </c>
      <c r="F19" s="405"/>
      <c r="G19" s="412"/>
      <c r="H19" s="412">
        <f t="shared" si="7"/>
        <v>0</v>
      </c>
      <c r="I19" s="412">
        <v>100000</v>
      </c>
      <c r="J19" s="412">
        <f t="shared" si="6"/>
        <v>6191413.5999999996</v>
      </c>
      <c r="K19" s="412">
        <f t="shared" si="5"/>
        <v>839983.90000000049</v>
      </c>
      <c r="L19" s="412">
        <f t="shared" si="0"/>
        <v>844539.90000000037</v>
      </c>
      <c r="M19" s="1163" t="s">
        <v>1601</v>
      </c>
    </row>
    <row r="20" spans="1:13" ht="27.95" customHeight="1">
      <c r="A20" s="324">
        <v>42675</v>
      </c>
      <c r="B20" s="412">
        <v>0</v>
      </c>
      <c r="C20" s="412">
        <v>0</v>
      </c>
      <c r="D20" s="412">
        <f t="shared" si="1"/>
        <v>23234.5</v>
      </c>
      <c r="E20" s="412">
        <f t="shared" si="2"/>
        <v>7035953.5</v>
      </c>
      <c r="F20" s="405"/>
      <c r="G20" s="412"/>
      <c r="H20" s="412">
        <f t="shared" si="7"/>
        <v>4556</v>
      </c>
      <c r="I20" s="412"/>
      <c r="J20" s="412">
        <f t="shared" si="6"/>
        <v>6191413.5999999996</v>
      </c>
      <c r="K20" s="412">
        <f t="shared" si="5"/>
        <v>844539.90000000049</v>
      </c>
      <c r="L20" s="412">
        <f t="shared" si="0"/>
        <v>844539.90000000037</v>
      </c>
      <c r="M20" s="1163"/>
    </row>
    <row r="21" spans="1:13" ht="27.95" customHeight="1">
      <c r="A21" s="324">
        <v>42705</v>
      </c>
      <c r="B21" s="412">
        <v>343.5</v>
      </c>
      <c r="C21" s="412">
        <v>116080.5</v>
      </c>
      <c r="D21" s="412">
        <f t="shared" si="1"/>
        <v>23578</v>
      </c>
      <c r="E21" s="412">
        <f t="shared" si="2"/>
        <v>7152034</v>
      </c>
      <c r="F21" s="405"/>
      <c r="G21" s="412"/>
      <c r="H21" s="412">
        <f t="shared" si="7"/>
        <v>0</v>
      </c>
      <c r="I21" s="412"/>
      <c r="J21" s="412">
        <f t="shared" si="6"/>
        <v>6191413.5999999996</v>
      </c>
      <c r="K21" s="412">
        <f t="shared" si="5"/>
        <v>844539.90000000049</v>
      </c>
      <c r="L21" s="412">
        <f t="shared" si="0"/>
        <v>960620.40000000037</v>
      </c>
      <c r="M21" s="1163" t="s">
        <v>1602</v>
      </c>
    </row>
    <row r="22" spans="1:13" ht="27.95" customHeight="1">
      <c r="A22" s="324">
        <v>42736</v>
      </c>
      <c r="B22" s="412">
        <v>369</v>
      </c>
      <c r="C22" s="412">
        <v>124377</v>
      </c>
      <c r="D22" s="412">
        <f t="shared" si="1"/>
        <v>23947</v>
      </c>
      <c r="E22" s="412">
        <f t="shared" si="2"/>
        <v>7276411</v>
      </c>
      <c r="F22" s="405"/>
      <c r="G22" s="412"/>
      <c r="H22" s="412">
        <f t="shared" si="7"/>
        <v>116080.5</v>
      </c>
      <c r="I22" s="412">
        <v>600000</v>
      </c>
      <c r="J22" s="412">
        <f t="shared" si="6"/>
        <v>6791413.5999999996</v>
      </c>
      <c r="K22" s="412">
        <f t="shared" si="5"/>
        <v>360620.40000000049</v>
      </c>
      <c r="L22" s="412">
        <f t="shared" si="0"/>
        <v>484997.40000000037</v>
      </c>
      <c r="M22" s="1163"/>
    </row>
    <row r="23" spans="1:13" ht="27.95" customHeight="1">
      <c r="A23" s="324">
        <v>42767</v>
      </c>
      <c r="B23" s="412">
        <v>3</v>
      </c>
      <c r="C23" s="412">
        <v>1164</v>
      </c>
      <c r="D23" s="412">
        <f t="shared" si="1"/>
        <v>23950</v>
      </c>
      <c r="E23" s="412">
        <f t="shared" si="2"/>
        <v>7277575</v>
      </c>
      <c r="F23" s="405"/>
      <c r="G23" s="412"/>
      <c r="H23" s="412">
        <f t="shared" si="7"/>
        <v>124377</v>
      </c>
      <c r="I23" s="412"/>
      <c r="J23" s="412">
        <f t="shared" si="6"/>
        <v>6791413.5999999996</v>
      </c>
      <c r="K23" s="412">
        <f t="shared" si="5"/>
        <v>484997.40000000049</v>
      </c>
      <c r="L23" s="412">
        <f t="shared" si="0"/>
        <v>486161.40000000037</v>
      </c>
      <c r="M23" s="1163"/>
    </row>
    <row r="24" spans="1:13" ht="27.95" customHeight="1">
      <c r="A24" s="324">
        <v>42795</v>
      </c>
      <c r="B24" s="412">
        <v>161</v>
      </c>
      <c r="C24" s="412">
        <v>53523</v>
      </c>
      <c r="D24" s="412">
        <f t="shared" si="1"/>
        <v>24111</v>
      </c>
      <c r="E24" s="412">
        <f t="shared" si="2"/>
        <v>7331098</v>
      </c>
      <c r="F24" s="405"/>
      <c r="G24" s="412"/>
      <c r="H24" s="412">
        <f t="shared" si="7"/>
        <v>1164</v>
      </c>
      <c r="I24" s="412"/>
      <c r="J24" s="412">
        <f t="shared" si="6"/>
        <v>6791413.5999999996</v>
      </c>
      <c r="K24" s="412">
        <f t="shared" si="5"/>
        <v>486161.40000000049</v>
      </c>
      <c r="L24" s="412">
        <f t="shared" si="0"/>
        <v>539684.40000000037</v>
      </c>
      <c r="M24" s="682"/>
    </row>
    <row r="25" spans="1:13" ht="27.95" customHeight="1">
      <c r="A25" s="324">
        <v>42826</v>
      </c>
      <c r="B25" s="412">
        <v>12</v>
      </c>
      <c r="C25" s="412">
        <v>4056</v>
      </c>
      <c r="D25" s="412">
        <f t="shared" si="1"/>
        <v>24123</v>
      </c>
      <c r="E25" s="412">
        <f t="shared" si="2"/>
        <v>7335154</v>
      </c>
      <c r="F25" s="405"/>
      <c r="G25" s="412"/>
      <c r="H25" s="412">
        <f t="shared" si="7"/>
        <v>53523</v>
      </c>
      <c r="I25" s="412"/>
      <c r="J25" s="412">
        <f t="shared" si="6"/>
        <v>6791413.5999999996</v>
      </c>
      <c r="K25" s="412">
        <f t="shared" si="5"/>
        <v>539684.40000000049</v>
      </c>
      <c r="L25" s="412">
        <f t="shared" si="0"/>
        <v>543740.40000000037</v>
      </c>
      <c r="M25" s="682"/>
    </row>
    <row r="26" spans="1:13" ht="27.95" customHeight="1">
      <c r="A26" s="324">
        <v>42856</v>
      </c>
      <c r="B26" s="412">
        <v>36</v>
      </c>
      <c r="C26" s="412">
        <v>12708</v>
      </c>
      <c r="D26" s="412">
        <f t="shared" si="1"/>
        <v>24159</v>
      </c>
      <c r="E26" s="412">
        <f t="shared" si="2"/>
        <v>7347862</v>
      </c>
      <c r="F26" s="405"/>
      <c r="G26" s="412"/>
      <c r="H26" s="412">
        <f t="shared" si="7"/>
        <v>4056</v>
      </c>
      <c r="I26" s="412"/>
      <c r="J26" s="412">
        <f t="shared" si="6"/>
        <v>6791413.5999999996</v>
      </c>
      <c r="K26" s="412">
        <f t="shared" si="5"/>
        <v>543740.40000000049</v>
      </c>
      <c r="L26" s="412">
        <f t="shared" si="0"/>
        <v>556448.40000000037</v>
      </c>
      <c r="M26" s="682" t="s">
        <v>1603</v>
      </c>
    </row>
    <row r="27" spans="1:13" ht="27.95" customHeight="1">
      <c r="A27" s="324">
        <v>42887</v>
      </c>
      <c r="B27" s="412">
        <v>0</v>
      </c>
      <c r="C27" s="412">
        <v>0</v>
      </c>
      <c r="D27" s="412">
        <f t="shared" si="1"/>
        <v>24159</v>
      </c>
      <c r="E27" s="412">
        <f t="shared" si="2"/>
        <v>7347862</v>
      </c>
      <c r="F27" s="405"/>
      <c r="G27" s="412"/>
      <c r="H27" s="412">
        <f t="shared" si="7"/>
        <v>12708</v>
      </c>
      <c r="I27" s="412">
        <v>200000</v>
      </c>
      <c r="J27" s="412">
        <f t="shared" si="6"/>
        <v>6991413.5999999996</v>
      </c>
      <c r="K27" s="412">
        <f t="shared" si="5"/>
        <v>356448.40000000049</v>
      </c>
      <c r="L27" s="412">
        <f t="shared" si="0"/>
        <v>356448.40000000037</v>
      </c>
      <c r="M27" s="682"/>
    </row>
    <row r="28" spans="1:13" ht="27.95" customHeight="1">
      <c r="A28" s="324">
        <v>42948</v>
      </c>
      <c r="B28" s="412"/>
      <c r="C28" s="412"/>
      <c r="D28" s="412">
        <f t="shared" si="1"/>
        <v>24159</v>
      </c>
      <c r="E28" s="412">
        <f t="shared" si="2"/>
        <v>7347862</v>
      </c>
      <c r="F28" s="405"/>
      <c r="G28" s="412"/>
      <c r="H28" s="412">
        <f t="shared" si="7"/>
        <v>0</v>
      </c>
      <c r="I28" s="412"/>
      <c r="J28" s="412">
        <f t="shared" si="6"/>
        <v>6991413.5999999996</v>
      </c>
      <c r="K28" s="412">
        <f t="shared" si="5"/>
        <v>356448.40000000049</v>
      </c>
      <c r="L28" s="412">
        <f t="shared" si="0"/>
        <v>356448.40000000037</v>
      </c>
      <c r="M28" s="682"/>
    </row>
    <row r="29" spans="1:13" ht="27.95" customHeight="1">
      <c r="A29" s="324"/>
      <c r="B29" s="412"/>
      <c r="C29" s="412"/>
      <c r="D29" s="412"/>
      <c r="E29" s="412"/>
      <c r="F29" s="405"/>
      <c r="G29" s="412"/>
      <c r="H29" s="412">
        <f t="shared" si="7"/>
        <v>0</v>
      </c>
      <c r="I29" s="412"/>
      <c r="J29" s="412"/>
      <c r="K29" s="412">
        <f t="shared" si="5"/>
        <v>356448.40000000049</v>
      </c>
      <c r="L29" s="412"/>
      <c r="M29" s="682"/>
    </row>
    <row r="30" spans="1:13" ht="27.95" customHeight="1">
      <c r="A30" s="324"/>
      <c r="B30" s="412"/>
      <c r="C30" s="412"/>
      <c r="D30" s="412"/>
      <c r="E30" s="412"/>
      <c r="F30" s="405"/>
      <c r="G30" s="412"/>
      <c r="H30" s="412"/>
      <c r="I30" s="412"/>
      <c r="J30" s="412"/>
      <c r="K30" s="412"/>
      <c r="L30" s="412"/>
      <c r="M30" s="682"/>
    </row>
    <row r="31" spans="1:13" ht="27.95" customHeight="1">
      <c r="A31" s="324"/>
      <c r="B31" s="412"/>
      <c r="C31" s="412"/>
      <c r="D31" s="412"/>
      <c r="E31" s="412"/>
      <c r="F31" s="405"/>
      <c r="G31" s="412"/>
      <c r="H31" s="412"/>
      <c r="I31" s="412"/>
      <c r="J31" s="412"/>
      <c r="K31" s="412"/>
      <c r="L31" s="412"/>
      <c r="M31" s="682"/>
    </row>
    <row r="32" spans="1:13" ht="27.95" customHeight="1">
      <c r="A32" s="324"/>
      <c r="B32" s="412"/>
      <c r="C32" s="412"/>
      <c r="D32" s="412"/>
      <c r="E32" s="412"/>
      <c r="F32" s="405"/>
      <c r="G32" s="412"/>
      <c r="H32" s="412"/>
      <c r="I32" s="412"/>
      <c r="J32" s="412"/>
      <c r="K32" s="412"/>
      <c r="L32" s="412"/>
      <c r="M32" s="682"/>
    </row>
    <row r="33" spans="1:13" ht="27.95" customHeight="1">
      <c r="A33" s="324"/>
      <c r="B33" s="412"/>
      <c r="C33" s="412"/>
      <c r="D33" s="412"/>
      <c r="E33" s="412"/>
      <c r="F33" s="412"/>
      <c r="G33" s="412"/>
      <c r="H33" s="412"/>
      <c r="I33" s="412"/>
      <c r="J33" s="412"/>
      <c r="K33" s="412"/>
      <c r="L33" s="412"/>
      <c r="M33" s="682"/>
    </row>
    <row r="42" spans="1:13">
      <c r="G42" s="434"/>
    </row>
  </sheetData>
  <mergeCells count="11">
    <mergeCell ref="F1:G1"/>
    <mergeCell ref="I1:K1"/>
    <mergeCell ref="L1:M1"/>
    <mergeCell ref="B2:C2"/>
    <mergeCell ref="E2:F2"/>
    <mergeCell ref="J2:K2"/>
    <mergeCell ref="B3:C3"/>
    <mergeCell ref="B4:F4"/>
    <mergeCell ref="G4:J4"/>
    <mergeCell ref="K4:M4"/>
    <mergeCell ref="B5:G5"/>
  </mergeCells>
  <phoneticPr fontId="84" type="noConversion"/>
  <pageMargins left="0.75" right="0.75" top="1" bottom="1" header="0.51" footer="0.51"/>
  <pageSetup paperSize="9" orientation="portrait" horizontalDpi="200" verticalDpi="200"/>
  <headerFooter scaleWithDoc="0"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topLeftCell="A19" zoomScaleSheetLayoutView="100" workbookViewId="0">
      <selection activeCell="A26" sqref="A26"/>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1" width="14.75" customWidth="1"/>
    <col min="12" max="12" width="13.875" customWidth="1"/>
    <col min="13" max="13" width="25.25" customWidth="1"/>
  </cols>
  <sheetData>
    <row r="1" spans="1:13" ht="57.95" customHeight="1">
      <c r="A1" s="34" t="s">
        <v>556</v>
      </c>
      <c r="B1" s="176" t="s">
        <v>1604</v>
      </c>
      <c r="C1" s="38" t="s">
        <v>1605</v>
      </c>
      <c r="D1" s="1124" t="s">
        <v>1606</v>
      </c>
      <c r="E1" s="38" t="s">
        <v>236</v>
      </c>
      <c r="F1" s="1790" t="s">
        <v>1604</v>
      </c>
      <c r="G1" s="1790"/>
      <c r="H1" s="1126" t="s">
        <v>237</v>
      </c>
      <c r="I1" s="1665" t="s">
        <v>1607</v>
      </c>
      <c r="J1" s="1665"/>
      <c r="K1" s="1665"/>
      <c r="L1" s="1886" t="s">
        <v>1608</v>
      </c>
      <c r="M1" s="1887"/>
    </row>
    <row r="2" spans="1:13" ht="50.1" customHeight="1">
      <c r="A2" s="39" t="s">
        <v>240</v>
      </c>
      <c r="B2" s="1637" t="s">
        <v>1609</v>
      </c>
      <c r="C2" s="1637"/>
      <c r="D2" s="41" t="s">
        <v>242</v>
      </c>
      <c r="E2" s="1832"/>
      <c r="F2" s="1833"/>
      <c r="G2" s="90" t="s">
        <v>1561</v>
      </c>
      <c r="H2" s="90" t="s">
        <v>1610</v>
      </c>
      <c r="I2" s="531" t="s">
        <v>243</v>
      </c>
      <c r="J2" s="1866">
        <v>0.05</v>
      </c>
      <c r="K2" s="1675"/>
      <c r="L2" s="1131" t="s">
        <v>245</v>
      </c>
      <c r="M2" s="1132" t="s">
        <v>1611</v>
      </c>
    </row>
    <row r="3" spans="1:13" ht="57.95" customHeight="1">
      <c r="A3" s="39" t="s">
        <v>247</v>
      </c>
      <c r="B3" s="1637" t="s">
        <v>1612</v>
      </c>
      <c r="C3" s="1637"/>
      <c r="D3" s="41" t="s">
        <v>249</v>
      </c>
      <c r="E3" s="40">
        <v>30000</v>
      </c>
      <c r="F3" s="41" t="s">
        <v>251</v>
      </c>
      <c r="G3" s="40" t="s">
        <v>1613</v>
      </c>
      <c r="H3" s="177" t="s">
        <v>252</v>
      </c>
      <c r="I3" s="1170">
        <v>13527763066</v>
      </c>
      <c r="J3" s="91" t="s">
        <v>253</v>
      </c>
      <c r="K3" s="1133" t="s">
        <v>1614</v>
      </c>
      <c r="L3" s="15" t="s">
        <v>1469</v>
      </c>
      <c r="M3" s="92" t="s">
        <v>1615</v>
      </c>
    </row>
    <row r="4" spans="1:13" ht="54" customHeight="1">
      <c r="A4" s="1127" t="s">
        <v>260</v>
      </c>
      <c r="B4" s="1888" t="s">
        <v>1616</v>
      </c>
      <c r="C4" s="1888"/>
      <c r="D4" s="1888"/>
      <c r="E4" s="1888"/>
      <c r="F4" s="1888"/>
      <c r="G4" s="1889" t="s">
        <v>1289</v>
      </c>
      <c r="H4" s="1889"/>
      <c r="I4" s="1889"/>
      <c r="J4" s="1889"/>
      <c r="K4" s="1858"/>
      <c r="L4" s="1858"/>
      <c r="M4" s="1859"/>
    </row>
    <row r="5" spans="1:13" ht="54" customHeight="1">
      <c r="A5" s="39" t="s">
        <v>258</v>
      </c>
      <c r="B5" s="1890"/>
      <c r="C5" s="1891"/>
      <c r="D5" s="1890" t="s">
        <v>1617</v>
      </c>
      <c r="E5" s="1892"/>
      <c r="F5" s="1891"/>
      <c r="G5" s="1194"/>
      <c r="L5" s="178"/>
      <c r="M5" s="1134"/>
    </row>
    <row r="6" spans="1:13" ht="30.75">
      <c r="A6" s="381" t="s">
        <v>266</v>
      </c>
      <c r="B6" s="382" t="s">
        <v>1474</v>
      </c>
      <c r="C6" s="382" t="s">
        <v>268</v>
      </c>
      <c r="D6" s="382" t="s">
        <v>1475</v>
      </c>
      <c r="E6" s="382" t="s">
        <v>270</v>
      </c>
      <c r="F6" s="382" t="s">
        <v>1476</v>
      </c>
      <c r="G6" s="383" t="s">
        <v>272</v>
      </c>
      <c r="H6" s="614" t="s">
        <v>273</v>
      </c>
      <c r="I6" s="382" t="s">
        <v>274</v>
      </c>
      <c r="J6" s="391" t="s">
        <v>275</v>
      </c>
      <c r="K6" s="391" t="s">
        <v>276</v>
      </c>
      <c r="L6" s="382" t="s">
        <v>277</v>
      </c>
      <c r="M6" s="392" t="s">
        <v>278</v>
      </c>
    </row>
    <row r="7" spans="1:13" ht="27.95" customHeight="1">
      <c r="A7" s="324">
        <v>42339</v>
      </c>
      <c r="B7" s="412">
        <v>88</v>
      </c>
      <c r="C7" s="412">
        <v>22792</v>
      </c>
      <c r="D7" s="412">
        <f>B7</f>
        <v>88</v>
      </c>
      <c r="E7" s="412">
        <f>C7</f>
        <v>22792</v>
      </c>
      <c r="F7" s="412"/>
      <c r="G7" s="412"/>
      <c r="H7" s="412"/>
      <c r="I7" s="412"/>
      <c r="J7" s="412"/>
      <c r="K7" s="412"/>
      <c r="L7" s="412">
        <f t="shared" ref="L7:L25" si="0">E7-J7</f>
        <v>22792</v>
      </c>
      <c r="M7" s="682"/>
    </row>
    <row r="8" spans="1:13" ht="27.95" customHeight="1">
      <c r="A8" s="324">
        <v>42370</v>
      </c>
      <c r="B8" s="412">
        <v>117</v>
      </c>
      <c r="C8" s="412">
        <v>29793</v>
      </c>
      <c r="D8" s="412">
        <f t="shared" ref="D8:D25" si="1">D7+B8</f>
        <v>205</v>
      </c>
      <c r="E8" s="412">
        <f t="shared" ref="E8:E25" si="2">E7+C8</f>
        <v>52585</v>
      </c>
      <c r="F8" s="412"/>
      <c r="G8" s="412"/>
      <c r="H8" s="412">
        <f>C7</f>
        <v>22792</v>
      </c>
      <c r="I8" s="412"/>
      <c r="J8" s="412"/>
      <c r="K8" s="412">
        <f t="shared" ref="K8:K26" si="3">K7+H8-I8</f>
        <v>22792</v>
      </c>
      <c r="L8" s="412">
        <f t="shared" si="0"/>
        <v>52585</v>
      </c>
      <c r="M8" s="682"/>
    </row>
    <row r="9" spans="1:13" ht="27.95" customHeight="1">
      <c r="A9" s="324">
        <v>42401</v>
      </c>
      <c r="B9" s="412">
        <v>33</v>
      </c>
      <c r="C9" s="412">
        <v>8547</v>
      </c>
      <c r="D9" s="412">
        <f t="shared" si="1"/>
        <v>238</v>
      </c>
      <c r="E9" s="412">
        <f t="shared" si="2"/>
        <v>61132</v>
      </c>
      <c r="F9" s="412"/>
      <c r="G9" s="412"/>
      <c r="H9" s="412">
        <f>C8</f>
        <v>29793</v>
      </c>
      <c r="I9" s="412"/>
      <c r="J9" s="412"/>
      <c r="K9" s="412">
        <f t="shared" si="3"/>
        <v>52585</v>
      </c>
      <c r="L9" s="412">
        <f t="shared" si="0"/>
        <v>61132</v>
      </c>
      <c r="M9" s="682"/>
    </row>
    <row r="10" spans="1:13" ht="27.95" customHeight="1">
      <c r="A10" s="324">
        <v>42430</v>
      </c>
      <c r="B10" s="412">
        <f>295+41</f>
        <v>336</v>
      </c>
      <c r="C10" s="412">
        <f>75010+9789</f>
        <v>84799</v>
      </c>
      <c r="D10" s="412">
        <f t="shared" si="1"/>
        <v>574</v>
      </c>
      <c r="E10" s="412">
        <f t="shared" si="2"/>
        <v>145931</v>
      </c>
      <c r="F10" s="412"/>
      <c r="G10" s="412"/>
      <c r="H10" s="412">
        <f t="shared" ref="H10:H25" si="4">C9</f>
        <v>8547</v>
      </c>
      <c r="I10" s="412"/>
      <c r="J10" s="412"/>
      <c r="K10" s="412">
        <f t="shared" si="3"/>
        <v>61132</v>
      </c>
      <c r="L10" s="412">
        <f t="shared" si="0"/>
        <v>145931</v>
      </c>
      <c r="M10" s="682"/>
    </row>
    <row r="11" spans="1:13" ht="27.95" customHeight="1">
      <c r="A11" s="324">
        <v>42461</v>
      </c>
      <c r="B11" s="412">
        <v>943</v>
      </c>
      <c r="C11" s="412">
        <v>236037</v>
      </c>
      <c r="D11" s="412">
        <f t="shared" si="1"/>
        <v>1517</v>
      </c>
      <c r="E11" s="412">
        <f t="shared" si="2"/>
        <v>381968</v>
      </c>
      <c r="F11" s="412"/>
      <c r="G11" s="412"/>
      <c r="H11" s="412">
        <f t="shared" si="4"/>
        <v>84799</v>
      </c>
      <c r="I11" s="412"/>
      <c r="J11" s="412"/>
      <c r="K11" s="412">
        <f t="shared" si="3"/>
        <v>145931</v>
      </c>
      <c r="L11" s="412">
        <f t="shared" si="0"/>
        <v>381968</v>
      </c>
      <c r="M11" s="682"/>
    </row>
    <row r="12" spans="1:13" ht="27.95" customHeight="1">
      <c r="A12" s="324">
        <v>42491</v>
      </c>
      <c r="B12" s="412">
        <v>858</v>
      </c>
      <c r="C12" s="412">
        <v>235719.5</v>
      </c>
      <c r="D12" s="412">
        <f t="shared" si="1"/>
        <v>2375</v>
      </c>
      <c r="E12" s="412">
        <f t="shared" si="2"/>
        <v>617687.5</v>
      </c>
      <c r="F12" s="412"/>
      <c r="G12" s="412"/>
      <c r="H12" s="412">
        <f t="shared" si="4"/>
        <v>236037</v>
      </c>
      <c r="I12" s="412">
        <v>200000</v>
      </c>
      <c r="J12" s="412">
        <f>200000</f>
        <v>200000</v>
      </c>
      <c r="K12" s="412">
        <f t="shared" si="3"/>
        <v>181968</v>
      </c>
      <c r="L12" s="412">
        <f t="shared" si="0"/>
        <v>417687.5</v>
      </c>
      <c r="M12" s="682" t="s">
        <v>1618</v>
      </c>
    </row>
    <row r="13" spans="1:13" ht="27.95" customHeight="1">
      <c r="A13" s="324">
        <v>42522</v>
      </c>
      <c r="B13" s="412">
        <v>2015.5</v>
      </c>
      <c r="C13" s="412">
        <v>546314.5</v>
      </c>
      <c r="D13" s="412">
        <f t="shared" si="1"/>
        <v>4390.5</v>
      </c>
      <c r="E13" s="412">
        <f t="shared" si="2"/>
        <v>1164002</v>
      </c>
      <c r="F13" s="412"/>
      <c r="G13" s="412"/>
      <c r="H13" s="412">
        <f t="shared" si="4"/>
        <v>235719.5</v>
      </c>
      <c r="I13" s="412">
        <v>150000</v>
      </c>
      <c r="J13" s="412">
        <f t="shared" ref="J13:J25" si="5">I13+J12</f>
        <v>350000</v>
      </c>
      <c r="K13" s="412">
        <f t="shared" si="3"/>
        <v>267687.5</v>
      </c>
      <c r="L13" s="412">
        <f t="shared" si="0"/>
        <v>814002</v>
      </c>
      <c r="M13" s="682" t="s">
        <v>1619</v>
      </c>
    </row>
    <row r="14" spans="1:13" ht="27.95" customHeight="1">
      <c r="A14" s="324">
        <v>42552</v>
      </c>
      <c r="B14" s="412">
        <v>2367</v>
      </c>
      <c r="C14" s="412">
        <v>600797</v>
      </c>
      <c r="D14" s="412">
        <f t="shared" si="1"/>
        <v>6757.5</v>
      </c>
      <c r="E14" s="412">
        <f t="shared" si="2"/>
        <v>1764799</v>
      </c>
      <c r="F14" s="412"/>
      <c r="G14" s="412"/>
      <c r="H14" s="412">
        <f t="shared" si="4"/>
        <v>546314.5</v>
      </c>
      <c r="I14" s="412"/>
      <c r="J14" s="412">
        <f t="shared" si="5"/>
        <v>350000</v>
      </c>
      <c r="K14" s="412">
        <f t="shared" si="3"/>
        <v>814002</v>
      </c>
      <c r="L14" s="412">
        <f t="shared" si="0"/>
        <v>1414799</v>
      </c>
      <c r="M14" s="682" t="s">
        <v>1620</v>
      </c>
    </row>
    <row r="15" spans="1:13" ht="27.95" customHeight="1">
      <c r="A15" s="324">
        <v>42583</v>
      </c>
      <c r="B15" s="412">
        <v>1276</v>
      </c>
      <c r="C15" s="412">
        <v>319198</v>
      </c>
      <c r="D15" s="412">
        <f t="shared" si="1"/>
        <v>8033.5</v>
      </c>
      <c r="E15" s="412">
        <f t="shared" si="2"/>
        <v>2083997</v>
      </c>
      <c r="F15" s="412"/>
      <c r="G15" s="412"/>
      <c r="H15" s="412">
        <f t="shared" si="4"/>
        <v>600797</v>
      </c>
      <c r="I15" s="412">
        <v>600000</v>
      </c>
      <c r="J15" s="412">
        <f t="shared" si="5"/>
        <v>950000</v>
      </c>
      <c r="K15" s="412">
        <f t="shared" si="3"/>
        <v>814799</v>
      </c>
      <c r="L15" s="412">
        <f t="shared" si="0"/>
        <v>1133997</v>
      </c>
      <c r="M15" s="682" t="s">
        <v>1621</v>
      </c>
    </row>
    <row r="16" spans="1:13" ht="27.95" customHeight="1">
      <c r="A16" s="324">
        <v>42614</v>
      </c>
      <c r="B16" s="412">
        <v>3587.5</v>
      </c>
      <c r="C16" s="412">
        <v>984756</v>
      </c>
      <c r="D16" s="412">
        <f t="shared" si="1"/>
        <v>11621</v>
      </c>
      <c r="E16" s="412">
        <f t="shared" si="2"/>
        <v>3068753</v>
      </c>
      <c r="F16" s="412"/>
      <c r="G16" s="412"/>
      <c r="H16" s="412">
        <f t="shared" si="4"/>
        <v>319198</v>
      </c>
      <c r="I16" s="412">
        <v>200000</v>
      </c>
      <c r="J16" s="412">
        <f t="shared" si="5"/>
        <v>1150000</v>
      </c>
      <c r="K16" s="412">
        <f t="shared" si="3"/>
        <v>933997</v>
      </c>
      <c r="L16" s="412">
        <f t="shared" si="0"/>
        <v>1918753</v>
      </c>
      <c r="M16" s="682" t="s">
        <v>1622</v>
      </c>
    </row>
    <row r="17" spans="1:13" ht="27.95" customHeight="1">
      <c r="A17" s="324">
        <v>42644</v>
      </c>
      <c r="B17" s="412">
        <v>2731</v>
      </c>
      <c r="C17" s="412">
        <v>738137.5</v>
      </c>
      <c r="D17" s="412">
        <f t="shared" si="1"/>
        <v>14352</v>
      </c>
      <c r="E17" s="412">
        <f t="shared" si="2"/>
        <v>3806890.5</v>
      </c>
      <c r="F17" s="412"/>
      <c r="G17" s="412"/>
      <c r="H17" s="412">
        <f t="shared" si="4"/>
        <v>984756</v>
      </c>
      <c r="I17" s="412"/>
      <c r="J17" s="412">
        <f t="shared" si="5"/>
        <v>1150000</v>
      </c>
      <c r="K17" s="412">
        <f t="shared" si="3"/>
        <v>1918753</v>
      </c>
      <c r="L17" s="412">
        <f t="shared" si="0"/>
        <v>2656890.5</v>
      </c>
      <c r="M17" s="682" t="s">
        <v>1623</v>
      </c>
    </row>
    <row r="18" spans="1:13" ht="27.95" customHeight="1">
      <c r="A18" s="324">
        <v>42675</v>
      </c>
      <c r="B18" s="412">
        <v>1601</v>
      </c>
      <c r="C18" s="412">
        <v>401047</v>
      </c>
      <c r="D18" s="412">
        <f t="shared" si="1"/>
        <v>15953</v>
      </c>
      <c r="E18" s="412">
        <f t="shared" si="2"/>
        <v>4207937.5</v>
      </c>
      <c r="F18" s="412"/>
      <c r="G18" s="412"/>
      <c r="H18" s="412">
        <f t="shared" si="4"/>
        <v>738137.5</v>
      </c>
      <c r="I18" s="412">
        <v>400000</v>
      </c>
      <c r="J18" s="412">
        <f t="shared" si="5"/>
        <v>1550000</v>
      </c>
      <c r="K18" s="412">
        <f t="shared" si="3"/>
        <v>2256890.5</v>
      </c>
      <c r="L18" s="412">
        <f t="shared" si="0"/>
        <v>2657937.5</v>
      </c>
      <c r="M18" s="682" t="s">
        <v>1624</v>
      </c>
    </row>
    <row r="19" spans="1:13" ht="27.95" customHeight="1">
      <c r="A19" s="324">
        <v>42705</v>
      </c>
      <c r="B19" s="412">
        <v>1121</v>
      </c>
      <c r="C19" s="412">
        <v>314526</v>
      </c>
      <c r="D19" s="412">
        <f t="shared" si="1"/>
        <v>17074</v>
      </c>
      <c r="E19" s="412">
        <f t="shared" si="2"/>
        <v>4522463.5</v>
      </c>
      <c r="F19" s="412"/>
      <c r="G19" s="412"/>
      <c r="H19" s="412">
        <f t="shared" si="4"/>
        <v>401047</v>
      </c>
      <c r="I19" s="412">
        <v>700000</v>
      </c>
      <c r="J19" s="412">
        <f t="shared" si="5"/>
        <v>2250000</v>
      </c>
      <c r="K19" s="412">
        <f t="shared" si="3"/>
        <v>1957937.5</v>
      </c>
      <c r="L19" s="412">
        <f t="shared" si="0"/>
        <v>2272463.5</v>
      </c>
      <c r="M19" s="682" t="s">
        <v>1625</v>
      </c>
    </row>
    <row r="20" spans="1:13" ht="27.95" customHeight="1">
      <c r="A20" s="324">
        <v>42736</v>
      </c>
      <c r="B20" s="412">
        <v>34</v>
      </c>
      <c r="C20" s="412">
        <v>10476.5</v>
      </c>
      <c r="D20" s="412">
        <f t="shared" si="1"/>
        <v>17108</v>
      </c>
      <c r="E20" s="412">
        <f t="shared" si="2"/>
        <v>4532940</v>
      </c>
      <c r="F20" s="412"/>
      <c r="G20" s="412"/>
      <c r="H20" s="412">
        <f t="shared" si="4"/>
        <v>314526</v>
      </c>
      <c r="I20" s="412">
        <v>500000</v>
      </c>
      <c r="J20" s="412">
        <f t="shared" si="5"/>
        <v>2750000</v>
      </c>
      <c r="K20" s="412">
        <f t="shared" si="3"/>
        <v>1772463.5</v>
      </c>
      <c r="L20" s="412">
        <f t="shared" si="0"/>
        <v>1782940</v>
      </c>
      <c r="M20" s="682"/>
    </row>
    <row r="21" spans="1:13" ht="27.95" customHeight="1">
      <c r="A21" s="324">
        <v>42767</v>
      </c>
      <c r="B21" s="412">
        <v>8</v>
      </c>
      <c r="C21" s="412">
        <v>2488</v>
      </c>
      <c r="D21" s="412">
        <f t="shared" si="1"/>
        <v>17116</v>
      </c>
      <c r="E21" s="412">
        <f t="shared" si="2"/>
        <v>4535428</v>
      </c>
      <c r="F21" s="412"/>
      <c r="G21" s="412"/>
      <c r="H21" s="412">
        <f t="shared" si="4"/>
        <v>10476.5</v>
      </c>
      <c r="I21" s="412">
        <v>1000000</v>
      </c>
      <c r="J21" s="412">
        <f t="shared" si="5"/>
        <v>3750000</v>
      </c>
      <c r="K21" s="412">
        <f t="shared" si="3"/>
        <v>782940</v>
      </c>
      <c r="L21" s="412">
        <f t="shared" si="0"/>
        <v>785428</v>
      </c>
      <c r="M21" s="682"/>
    </row>
    <row r="22" spans="1:13" ht="27.95" customHeight="1">
      <c r="A22" s="324">
        <v>42795</v>
      </c>
      <c r="B22" s="412">
        <v>10</v>
      </c>
      <c r="C22" s="412">
        <v>3110</v>
      </c>
      <c r="D22" s="412">
        <f t="shared" si="1"/>
        <v>17126</v>
      </c>
      <c r="E22" s="412">
        <f t="shared" si="2"/>
        <v>4538538</v>
      </c>
      <c r="F22" s="412"/>
      <c r="G22" s="412"/>
      <c r="H22" s="412">
        <f t="shared" si="4"/>
        <v>2488</v>
      </c>
      <c r="I22" s="412"/>
      <c r="J22" s="412">
        <f t="shared" si="5"/>
        <v>3750000</v>
      </c>
      <c r="K22" s="412">
        <f t="shared" si="3"/>
        <v>785428</v>
      </c>
      <c r="L22" s="412">
        <f t="shared" si="0"/>
        <v>788538</v>
      </c>
      <c r="M22" s="682"/>
    </row>
    <row r="23" spans="1:13" ht="27.95" customHeight="1">
      <c r="A23" s="324">
        <v>42826</v>
      </c>
      <c r="B23" s="412">
        <v>0</v>
      </c>
      <c r="C23" s="412">
        <v>0</v>
      </c>
      <c r="D23" s="412">
        <f t="shared" si="1"/>
        <v>17126</v>
      </c>
      <c r="E23" s="412">
        <f t="shared" si="2"/>
        <v>4538538</v>
      </c>
      <c r="F23" s="412"/>
      <c r="G23" s="412"/>
      <c r="H23" s="412">
        <f t="shared" si="4"/>
        <v>3110</v>
      </c>
      <c r="I23" s="412"/>
      <c r="J23" s="412">
        <f t="shared" si="5"/>
        <v>3750000</v>
      </c>
      <c r="K23" s="412">
        <f t="shared" si="3"/>
        <v>788538</v>
      </c>
      <c r="L23" s="412">
        <f t="shared" si="0"/>
        <v>788538</v>
      </c>
      <c r="M23" s="682"/>
    </row>
    <row r="24" spans="1:13" ht="27.95" customHeight="1">
      <c r="A24" s="324">
        <v>42917</v>
      </c>
      <c r="B24" s="412">
        <v>0</v>
      </c>
      <c r="C24" s="412">
        <v>0</v>
      </c>
      <c r="D24" s="412">
        <f t="shared" si="1"/>
        <v>17126</v>
      </c>
      <c r="E24" s="412">
        <f t="shared" si="2"/>
        <v>4538538</v>
      </c>
      <c r="F24" s="412"/>
      <c r="G24" s="412"/>
      <c r="H24" s="412">
        <f t="shared" si="4"/>
        <v>0</v>
      </c>
      <c r="I24" s="412"/>
      <c r="J24" s="412">
        <f t="shared" si="5"/>
        <v>3750000</v>
      </c>
      <c r="K24" s="412">
        <f t="shared" si="3"/>
        <v>788538</v>
      </c>
      <c r="L24" s="412">
        <f t="shared" si="0"/>
        <v>788538</v>
      </c>
      <c r="M24" s="682" t="s">
        <v>1626</v>
      </c>
    </row>
    <row r="25" spans="1:13" ht="27.95" customHeight="1">
      <c r="A25" s="324">
        <v>42948</v>
      </c>
      <c r="B25" s="412"/>
      <c r="C25" s="412"/>
      <c r="D25" s="412">
        <f t="shared" si="1"/>
        <v>17126</v>
      </c>
      <c r="E25" s="412">
        <f t="shared" si="2"/>
        <v>4538538</v>
      </c>
      <c r="F25" s="412"/>
      <c r="G25" s="412"/>
      <c r="H25" s="412">
        <f t="shared" si="4"/>
        <v>0</v>
      </c>
      <c r="I25" s="412">
        <v>500000</v>
      </c>
      <c r="J25" s="412">
        <f t="shared" si="5"/>
        <v>4250000</v>
      </c>
      <c r="K25" s="412">
        <f t="shared" si="3"/>
        <v>288538</v>
      </c>
      <c r="L25" s="412">
        <f t="shared" si="0"/>
        <v>288538</v>
      </c>
      <c r="M25" s="682" t="s">
        <v>1627</v>
      </c>
    </row>
    <row r="26" spans="1:13" ht="27.95" customHeight="1">
      <c r="A26" s="324"/>
      <c r="B26" s="412"/>
      <c r="C26" s="412"/>
      <c r="D26" s="412"/>
      <c r="E26" s="412"/>
      <c r="F26" s="412"/>
      <c r="G26" s="412"/>
      <c r="H26" s="412"/>
      <c r="I26" s="412"/>
      <c r="J26" s="412"/>
      <c r="K26" s="412">
        <f t="shared" si="3"/>
        <v>288538</v>
      </c>
      <c r="L26" s="412"/>
      <c r="M26" s="682"/>
    </row>
    <row r="27" spans="1:13" ht="27.95" customHeight="1">
      <c r="A27" s="324"/>
      <c r="B27" s="412"/>
      <c r="C27" s="412"/>
      <c r="D27" s="412"/>
      <c r="E27" s="412"/>
      <c r="F27" s="412"/>
      <c r="G27" s="412"/>
      <c r="H27" s="412"/>
      <c r="I27" s="412"/>
      <c r="J27" s="412"/>
      <c r="K27" s="412"/>
      <c r="L27" s="412"/>
      <c r="M27" s="682"/>
    </row>
    <row r="28" spans="1:13" ht="27.95" customHeight="1">
      <c r="A28" s="324"/>
      <c r="B28" s="412"/>
      <c r="C28" s="412"/>
      <c r="D28" s="412"/>
      <c r="E28" s="412"/>
      <c r="F28" s="412"/>
      <c r="G28" s="412"/>
      <c r="H28" s="412"/>
      <c r="I28" s="412"/>
      <c r="J28" s="412"/>
      <c r="K28" s="412"/>
      <c r="L28" s="412"/>
      <c r="M28" s="682"/>
    </row>
    <row r="46" ht="18" customHeight="1"/>
  </sheetData>
  <mergeCells count="12">
    <mergeCell ref="B3:C3"/>
    <mergeCell ref="B4:F4"/>
    <mergeCell ref="G4:J4"/>
    <mergeCell ref="K4:M4"/>
    <mergeCell ref="B5:C5"/>
    <mergeCell ref="D5:F5"/>
    <mergeCell ref="F1:G1"/>
    <mergeCell ref="I1:K1"/>
    <mergeCell ref="L1:M1"/>
    <mergeCell ref="B2:C2"/>
    <mergeCell ref="E2:F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zoomScaleSheetLayoutView="100" workbookViewId="0">
      <selection activeCell="B3" sqref="B3:C3"/>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15.625" customWidth="1"/>
    <col min="12" max="12" width="13.875" customWidth="1"/>
    <col min="13" max="13" width="27.375" customWidth="1"/>
  </cols>
  <sheetData>
    <row r="1" spans="1:13" ht="117" customHeight="1">
      <c r="A1" s="34" t="s">
        <v>556</v>
      </c>
      <c r="B1" s="176"/>
      <c r="C1" s="38" t="s">
        <v>1605</v>
      </c>
      <c r="D1" s="1124" t="s">
        <v>1628</v>
      </c>
      <c r="E1" s="37" t="s">
        <v>236</v>
      </c>
      <c r="F1" s="1893"/>
      <c r="G1" s="1790"/>
      <c r="H1" s="1126" t="s">
        <v>237</v>
      </c>
      <c r="I1" s="1633" t="s">
        <v>1629</v>
      </c>
      <c r="J1" s="1633"/>
      <c r="K1" s="1633"/>
      <c r="L1" s="1894" t="s">
        <v>1630</v>
      </c>
      <c r="M1" s="1823"/>
    </row>
    <row r="2" spans="1:13" ht="50.1" customHeight="1">
      <c r="A2" s="39" t="s">
        <v>240</v>
      </c>
      <c r="B2" s="1637" t="s">
        <v>1631</v>
      </c>
      <c r="C2" s="1637"/>
      <c r="D2" s="41" t="s">
        <v>242</v>
      </c>
      <c r="E2" s="1832"/>
      <c r="F2" s="1833"/>
      <c r="G2" s="40" t="s">
        <v>1561</v>
      </c>
      <c r="H2" s="90" t="s">
        <v>1632</v>
      </c>
      <c r="I2" s="531" t="s">
        <v>243</v>
      </c>
      <c r="J2" s="1866" t="s">
        <v>421</v>
      </c>
      <c r="K2" s="1675"/>
      <c r="L2" s="1131" t="s">
        <v>245</v>
      </c>
      <c r="M2" s="1132" t="s">
        <v>1633</v>
      </c>
    </row>
    <row r="3" spans="1:13" ht="57.95" customHeight="1">
      <c r="A3" s="39" t="s">
        <v>247</v>
      </c>
      <c r="B3" s="1637" t="s">
        <v>1634</v>
      </c>
      <c r="C3" s="1637"/>
      <c r="D3" s="41" t="s">
        <v>249</v>
      </c>
      <c r="E3" s="40">
        <v>6000</v>
      </c>
      <c r="F3" s="41" t="s">
        <v>251</v>
      </c>
      <c r="G3" s="40" t="s">
        <v>1635</v>
      </c>
      <c r="H3" s="177" t="s">
        <v>252</v>
      </c>
      <c r="I3" s="1170">
        <v>13503021346</v>
      </c>
      <c r="J3" s="91" t="s">
        <v>253</v>
      </c>
      <c r="K3" s="1168" t="s">
        <v>1636</v>
      </c>
      <c r="L3" s="944" t="s">
        <v>1469</v>
      </c>
      <c r="M3" s="1191" t="s">
        <v>1637</v>
      </c>
    </row>
    <row r="4" spans="1:13" ht="72" customHeight="1">
      <c r="A4" s="1127" t="s">
        <v>260</v>
      </c>
      <c r="B4" s="1764" t="s">
        <v>1638</v>
      </c>
      <c r="C4" s="1764"/>
      <c r="D4" s="1764"/>
      <c r="E4" s="1764"/>
      <c r="F4" s="1764"/>
      <c r="G4" s="1895" t="s">
        <v>1289</v>
      </c>
      <c r="H4" s="1895"/>
      <c r="I4" s="1895"/>
      <c r="J4" s="1896"/>
      <c r="K4" s="1148"/>
      <c r="L4" s="1148"/>
      <c r="M4" s="1148"/>
    </row>
    <row r="5" spans="1:13" ht="54" customHeight="1">
      <c r="A5" s="39" t="s">
        <v>258</v>
      </c>
      <c r="B5" s="1890"/>
      <c r="C5" s="1891"/>
      <c r="D5" s="1890"/>
      <c r="E5" s="1892"/>
      <c r="F5" s="1892"/>
      <c r="G5" s="1786" t="s">
        <v>1639</v>
      </c>
      <c r="H5" s="1786"/>
      <c r="I5" s="1786"/>
      <c r="J5" s="1786"/>
      <c r="L5" s="1192"/>
      <c r="M5" s="1193"/>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t="s">
        <v>1386</v>
      </c>
      <c r="B7" s="412">
        <v>131</v>
      </c>
      <c r="C7" s="412">
        <v>31440</v>
      </c>
      <c r="D7" s="412">
        <f>B7</f>
        <v>131</v>
      </c>
      <c r="E7" s="412">
        <f>C7</f>
        <v>31440</v>
      </c>
      <c r="F7" s="412"/>
      <c r="G7" s="412">
        <f>E7</f>
        <v>31440</v>
      </c>
      <c r="H7" s="412"/>
      <c r="I7" s="412"/>
      <c r="J7" s="412"/>
      <c r="K7" s="412"/>
      <c r="L7" s="412">
        <f t="shared" ref="L7:L15" si="0">E7-J7</f>
        <v>31440</v>
      </c>
      <c r="M7" s="682"/>
    </row>
    <row r="8" spans="1:13" ht="27.95" customHeight="1">
      <c r="A8" s="324">
        <v>42491</v>
      </c>
      <c r="B8" s="412">
        <v>264</v>
      </c>
      <c r="C8" s="412">
        <v>72370</v>
      </c>
      <c r="D8" s="412">
        <f t="shared" ref="D8:D15" si="1">B8+D7</f>
        <v>395</v>
      </c>
      <c r="E8" s="412">
        <f t="shared" ref="E8:E15" si="2">E7+C8</f>
        <v>103810</v>
      </c>
      <c r="F8" s="412"/>
      <c r="G8" s="412">
        <f t="shared" ref="G8:G15" si="3">C8</f>
        <v>72370</v>
      </c>
      <c r="H8" s="412"/>
      <c r="I8" s="412"/>
      <c r="J8" s="412"/>
      <c r="K8" s="412">
        <f t="shared" ref="K8:K16" si="4">K7+H8-I8</f>
        <v>0</v>
      </c>
      <c r="L8" s="412">
        <f t="shared" si="0"/>
        <v>103810</v>
      </c>
      <c r="M8" s="682"/>
    </row>
    <row r="9" spans="1:13" ht="27.95" customHeight="1">
      <c r="A9" s="324">
        <v>42522</v>
      </c>
      <c r="B9" s="412">
        <v>280.5</v>
      </c>
      <c r="C9" s="412">
        <v>81145</v>
      </c>
      <c r="D9" s="412">
        <f t="shared" si="1"/>
        <v>675.5</v>
      </c>
      <c r="E9" s="412">
        <f t="shared" si="2"/>
        <v>184955</v>
      </c>
      <c r="F9" s="412"/>
      <c r="G9" s="412">
        <f t="shared" si="3"/>
        <v>81145</v>
      </c>
      <c r="H9" s="412">
        <f t="shared" ref="H9:H16" si="5">C7</f>
        <v>31440</v>
      </c>
      <c r="I9" s="412">
        <v>103810</v>
      </c>
      <c r="J9" s="412">
        <f t="shared" ref="J9:J15" si="6">I9+J8</f>
        <v>103810</v>
      </c>
      <c r="K9" s="412">
        <f t="shared" si="4"/>
        <v>-72370</v>
      </c>
      <c r="L9" s="412">
        <f t="shared" si="0"/>
        <v>81145</v>
      </c>
      <c r="M9" s="682" t="s">
        <v>1640</v>
      </c>
    </row>
    <row r="10" spans="1:13" ht="27.95" customHeight="1">
      <c r="A10" s="324">
        <v>42552</v>
      </c>
      <c r="B10" s="412">
        <v>177.5</v>
      </c>
      <c r="C10" s="412">
        <v>50760</v>
      </c>
      <c r="D10" s="412">
        <f t="shared" si="1"/>
        <v>853</v>
      </c>
      <c r="E10" s="412">
        <f t="shared" si="2"/>
        <v>235715</v>
      </c>
      <c r="F10" s="412"/>
      <c r="G10" s="412">
        <f t="shared" si="3"/>
        <v>50760</v>
      </c>
      <c r="H10" s="412">
        <f t="shared" si="5"/>
        <v>72370</v>
      </c>
      <c r="I10" s="412"/>
      <c r="J10" s="412">
        <f t="shared" si="6"/>
        <v>103810</v>
      </c>
      <c r="K10" s="412">
        <f t="shared" si="4"/>
        <v>0</v>
      </c>
      <c r="L10" s="412">
        <f t="shared" si="0"/>
        <v>131905</v>
      </c>
      <c r="M10" s="682"/>
    </row>
    <row r="11" spans="1:13" ht="27.95" customHeight="1">
      <c r="A11" s="324">
        <v>42583</v>
      </c>
      <c r="B11" s="412">
        <v>0</v>
      </c>
      <c r="C11" s="412">
        <v>0</v>
      </c>
      <c r="D11" s="412">
        <f t="shared" si="1"/>
        <v>853</v>
      </c>
      <c r="E11" s="412">
        <f t="shared" si="2"/>
        <v>235715</v>
      </c>
      <c r="F11" s="412"/>
      <c r="G11" s="412">
        <f t="shared" si="3"/>
        <v>0</v>
      </c>
      <c r="H11" s="412">
        <f t="shared" si="5"/>
        <v>81145</v>
      </c>
      <c r="I11" s="412">
        <v>81145</v>
      </c>
      <c r="J11" s="412">
        <f t="shared" si="6"/>
        <v>184955</v>
      </c>
      <c r="K11" s="412">
        <f t="shared" si="4"/>
        <v>0</v>
      </c>
      <c r="L11" s="412">
        <f t="shared" si="0"/>
        <v>50760</v>
      </c>
      <c r="M11" s="682" t="s">
        <v>1641</v>
      </c>
    </row>
    <row r="12" spans="1:13" ht="27.95" customHeight="1">
      <c r="A12" s="324">
        <v>42614</v>
      </c>
      <c r="B12" s="412">
        <v>0</v>
      </c>
      <c r="C12" s="412">
        <v>0</v>
      </c>
      <c r="D12" s="412">
        <f t="shared" si="1"/>
        <v>853</v>
      </c>
      <c r="E12" s="412">
        <f t="shared" si="2"/>
        <v>235715</v>
      </c>
      <c r="F12" s="412"/>
      <c r="G12" s="412">
        <f t="shared" si="3"/>
        <v>0</v>
      </c>
      <c r="H12" s="412">
        <f t="shared" si="5"/>
        <v>50760</v>
      </c>
      <c r="I12" s="412">
        <v>50760</v>
      </c>
      <c r="J12" s="412">
        <f t="shared" si="6"/>
        <v>235715</v>
      </c>
      <c r="K12" s="412">
        <f t="shared" si="4"/>
        <v>0</v>
      </c>
      <c r="L12" s="412">
        <f t="shared" si="0"/>
        <v>0</v>
      </c>
      <c r="M12" s="682" t="s">
        <v>1642</v>
      </c>
    </row>
    <row r="13" spans="1:13" ht="27.95" customHeight="1">
      <c r="A13" s="324">
        <v>42675</v>
      </c>
      <c r="B13" s="412">
        <v>0</v>
      </c>
      <c r="C13" s="412">
        <v>0</v>
      </c>
      <c r="D13" s="412">
        <f t="shared" si="1"/>
        <v>853</v>
      </c>
      <c r="E13" s="412">
        <f t="shared" si="2"/>
        <v>235715</v>
      </c>
      <c r="F13" s="412"/>
      <c r="G13" s="412">
        <f t="shared" si="3"/>
        <v>0</v>
      </c>
      <c r="H13" s="412">
        <f t="shared" si="5"/>
        <v>0</v>
      </c>
      <c r="I13" s="412"/>
      <c r="J13" s="412">
        <f t="shared" si="6"/>
        <v>235715</v>
      </c>
      <c r="K13" s="412">
        <f t="shared" si="4"/>
        <v>0</v>
      </c>
      <c r="L13" s="412">
        <f t="shared" si="0"/>
        <v>0</v>
      </c>
      <c r="M13" s="682"/>
    </row>
    <row r="14" spans="1:13" ht="27.95" customHeight="1">
      <c r="A14" s="324">
        <v>42917</v>
      </c>
      <c r="B14" s="412">
        <v>68</v>
      </c>
      <c r="C14" s="412">
        <v>17680</v>
      </c>
      <c r="D14" s="412">
        <f t="shared" si="1"/>
        <v>921</v>
      </c>
      <c r="E14" s="412">
        <f t="shared" si="2"/>
        <v>253395</v>
      </c>
      <c r="F14" s="412"/>
      <c r="G14" s="412">
        <f t="shared" si="3"/>
        <v>17680</v>
      </c>
      <c r="H14" s="412">
        <f t="shared" si="5"/>
        <v>0</v>
      </c>
      <c r="I14" s="412"/>
      <c r="J14" s="412">
        <f t="shared" si="6"/>
        <v>235715</v>
      </c>
      <c r="K14" s="412">
        <f t="shared" si="4"/>
        <v>0</v>
      </c>
      <c r="L14" s="412">
        <f t="shared" si="0"/>
        <v>17680</v>
      </c>
      <c r="M14" s="682" t="s">
        <v>1643</v>
      </c>
    </row>
    <row r="15" spans="1:13" ht="27.95" customHeight="1">
      <c r="A15" s="324">
        <v>42948</v>
      </c>
      <c r="B15" s="412">
        <v>203.5</v>
      </c>
      <c r="C15" s="412">
        <v>52910</v>
      </c>
      <c r="D15" s="412">
        <f t="shared" si="1"/>
        <v>1124.5</v>
      </c>
      <c r="E15" s="412">
        <f t="shared" si="2"/>
        <v>306305</v>
      </c>
      <c r="F15" s="412"/>
      <c r="G15" s="412">
        <f t="shared" si="3"/>
        <v>52910</v>
      </c>
      <c r="H15" s="412">
        <f t="shared" si="5"/>
        <v>0</v>
      </c>
      <c r="I15" s="412"/>
      <c r="J15" s="412">
        <f t="shared" si="6"/>
        <v>235715</v>
      </c>
      <c r="K15" s="412">
        <f t="shared" si="4"/>
        <v>0</v>
      </c>
      <c r="L15" s="412">
        <f t="shared" si="0"/>
        <v>70590</v>
      </c>
      <c r="M15" s="682"/>
    </row>
    <row r="16" spans="1:13" ht="27.95" customHeight="1">
      <c r="A16" s="324"/>
      <c r="B16" s="412"/>
      <c r="C16" s="412"/>
      <c r="D16" s="412"/>
      <c r="E16" s="412"/>
      <c r="F16" s="412"/>
      <c r="G16" s="412"/>
      <c r="H16" s="412">
        <f t="shared" si="5"/>
        <v>17680</v>
      </c>
      <c r="I16" s="412"/>
      <c r="J16" s="412"/>
      <c r="K16" s="412">
        <f t="shared" si="4"/>
        <v>17680</v>
      </c>
      <c r="L16" s="412"/>
      <c r="M16" s="682"/>
    </row>
    <row r="17" spans="1:13" ht="33.950000000000003" customHeight="1">
      <c r="A17" s="324"/>
      <c r="B17" s="412"/>
      <c r="C17" s="412"/>
      <c r="D17" s="412"/>
      <c r="E17" s="412"/>
      <c r="F17" s="412"/>
      <c r="G17" s="412"/>
      <c r="H17" s="412"/>
      <c r="I17" s="412"/>
      <c r="J17" s="412"/>
      <c r="K17" s="412"/>
      <c r="L17" s="412"/>
      <c r="M17" s="682"/>
    </row>
    <row r="18" spans="1:13" ht="69.95" customHeight="1"/>
    <row r="19" spans="1:13" ht="44.1" customHeight="1"/>
    <row r="20" spans="1:13" ht="44.1" customHeight="1"/>
    <row r="21" spans="1:13" ht="44.1" customHeight="1"/>
    <row r="22" spans="1:13" ht="44.1" customHeight="1"/>
    <row r="23" spans="1:13" ht="44.1" customHeight="1"/>
    <row r="24" spans="1:13" ht="44.1" customHeight="1"/>
    <row r="25" spans="1:13" ht="44.1" customHeight="1"/>
    <row r="26" spans="1:13" ht="44.1" customHeight="1"/>
    <row r="27" spans="1:13" ht="44.1" customHeight="1"/>
    <row r="28" spans="1:13" ht="44.1" customHeight="1"/>
    <row r="29" spans="1:13" ht="44.1" customHeight="1"/>
    <row r="30" spans="1:13" ht="44.1" customHeight="1"/>
  </sheetData>
  <mergeCells count="12">
    <mergeCell ref="B3:C3"/>
    <mergeCell ref="B4:F4"/>
    <mergeCell ref="G4:J4"/>
    <mergeCell ref="B5:C5"/>
    <mergeCell ref="D5:F5"/>
    <mergeCell ref="G5:J5"/>
    <mergeCell ref="F1:G1"/>
    <mergeCell ref="I1:K1"/>
    <mergeCell ref="L1:M1"/>
    <mergeCell ref="B2:C2"/>
    <mergeCell ref="E2:F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workbookViewId="0">
      <selection activeCell="B3" sqref="B3:C3"/>
    </sheetView>
  </sheetViews>
  <sheetFormatPr defaultRowHeight="14.25"/>
  <sheetData>
    <row r="1" spans="1:13" ht="29.25" thickTop="1">
      <c r="A1" s="34" t="s">
        <v>556</v>
      </c>
      <c r="B1" s="176"/>
      <c r="C1" s="38" t="s">
        <v>1605</v>
      </c>
      <c r="D1" s="1124" t="s">
        <v>1644</v>
      </c>
      <c r="E1" s="38" t="s">
        <v>236</v>
      </c>
      <c r="F1" s="1893"/>
      <c r="G1" s="1790"/>
      <c r="H1" s="1126" t="s">
        <v>237</v>
      </c>
      <c r="I1" s="1633" t="s">
        <v>1645</v>
      </c>
      <c r="J1" s="1633"/>
      <c r="K1" s="1633"/>
      <c r="L1" s="1894"/>
      <c r="M1" s="1823"/>
    </row>
    <row r="2" spans="1:13" ht="48">
      <c r="A2" s="39" t="s">
        <v>240</v>
      </c>
      <c r="B2" s="1637" t="s">
        <v>1646</v>
      </c>
      <c r="C2" s="1637"/>
      <c r="D2" s="41" t="s">
        <v>242</v>
      </c>
      <c r="E2" s="1832"/>
      <c r="F2" s="1833"/>
      <c r="G2" s="90" t="s">
        <v>1561</v>
      </c>
      <c r="H2" s="40" t="s">
        <v>1632</v>
      </c>
      <c r="I2" s="531" t="s">
        <v>243</v>
      </c>
      <c r="J2" s="1866"/>
      <c r="K2" s="1675"/>
      <c r="L2" s="1131" t="s">
        <v>245</v>
      </c>
      <c r="M2" s="1132" t="s">
        <v>1633</v>
      </c>
    </row>
    <row r="3" spans="1:13" ht="57">
      <c r="A3" s="39" t="s">
        <v>247</v>
      </c>
      <c r="B3" s="1637" t="s">
        <v>1647</v>
      </c>
      <c r="C3" s="1637"/>
      <c r="D3" s="41" t="s">
        <v>249</v>
      </c>
      <c r="E3" s="40"/>
      <c r="F3" s="41" t="s">
        <v>251</v>
      </c>
      <c r="G3" s="40"/>
      <c r="H3" s="177" t="s">
        <v>252</v>
      </c>
      <c r="I3" s="1170"/>
      <c r="J3" s="91" t="s">
        <v>253</v>
      </c>
      <c r="K3" s="1133"/>
      <c r="L3" s="15" t="s">
        <v>1469</v>
      </c>
      <c r="M3" s="92" t="s">
        <v>1648</v>
      </c>
    </row>
    <row r="4" spans="1:13">
      <c r="A4" s="1127" t="s">
        <v>260</v>
      </c>
      <c r="B4" s="1764" t="s">
        <v>1638</v>
      </c>
      <c r="C4" s="1764"/>
      <c r="D4" s="1764"/>
      <c r="E4" s="1764"/>
      <c r="F4" s="1764"/>
      <c r="G4" s="1895" t="s">
        <v>1289</v>
      </c>
      <c r="H4" s="1895"/>
      <c r="I4" s="1895"/>
      <c r="J4" s="1895"/>
      <c r="K4" s="1858"/>
      <c r="L4" s="1858"/>
      <c r="M4" s="1859"/>
    </row>
    <row r="5" spans="1:13">
      <c r="A5" s="39" t="s">
        <v>258</v>
      </c>
      <c r="B5" s="1890"/>
      <c r="C5" s="1891"/>
      <c r="D5" s="1890" t="s">
        <v>1649</v>
      </c>
      <c r="E5" s="1892"/>
      <c r="F5" s="1892"/>
      <c r="G5" s="1786"/>
      <c r="H5" s="1786"/>
      <c r="I5" s="1786"/>
      <c r="J5" s="1786"/>
      <c r="L5" s="178"/>
      <c r="M5" s="1134"/>
    </row>
    <row r="6" spans="1:13" ht="57">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c r="A7" s="324">
        <v>42461</v>
      </c>
      <c r="B7" s="412">
        <v>576.4</v>
      </c>
      <c r="C7" s="412">
        <v>150815</v>
      </c>
      <c r="D7" s="412">
        <f>B7</f>
        <v>576.4</v>
      </c>
      <c r="E7" s="412">
        <f>C7</f>
        <v>150815</v>
      </c>
      <c r="F7" s="412"/>
      <c r="G7" s="412">
        <f>C7</f>
        <v>150815</v>
      </c>
      <c r="H7" s="412"/>
      <c r="I7" s="412"/>
      <c r="J7" s="412"/>
      <c r="K7" s="412"/>
      <c r="L7" s="412">
        <f>E7-J7</f>
        <v>150815</v>
      </c>
      <c r="M7" s="682"/>
    </row>
    <row r="8" spans="1:13">
      <c r="A8" s="324">
        <v>42491</v>
      </c>
      <c r="B8" s="412">
        <v>9.5</v>
      </c>
      <c r="C8" s="412">
        <v>2645</v>
      </c>
      <c r="D8" s="412">
        <f t="shared" ref="D8:E10" si="0">D7+B8</f>
        <v>585.9</v>
      </c>
      <c r="E8" s="412">
        <f t="shared" si="0"/>
        <v>153460</v>
      </c>
      <c r="F8" s="412"/>
      <c r="G8" s="412">
        <f>C8</f>
        <v>2645</v>
      </c>
      <c r="H8" s="412"/>
      <c r="I8" s="412"/>
      <c r="J8" s="412"/>
      <c r="K8" s="412">
        <f>K7+H8-I8</f>
        <v>0</v>
      </c>
      <c r="L8" s="412">
        <f>E8-J8</f>
        <v>153460</v>
      </c>
      <c r="M8" s="682"/>
    </row>
    <row r="9" spans="1:13" ht="71.25">
      <c r="A9" s="324">
        <v>42522</v>
      </c>
      <c r="B9" s="412">
        <v>0</v>
      </c>
      <c r="C9" s="412">
        <v>0</v>
      </c>
      <c r="D9" s="412">
        <f t="shared" si="0"/>
        <v>585.9</v>
      </c>
      <c r="E9" s="412">
        <f t="shared" si="0"/>
        <v>153460</v>
      </c>
      <c r="F9" s="412"/>
      <c r="G9" s="412">
        <f>C9</f>
        <v>0</v>
      </c>
      <c r="H9" s="412">
        <f>C7</f>
        <v>150815</v>
      </c>
      <c r="I9" s="412">
        <v>153460</v>
      </c>
      <c r="J9" s="412">
        <f>I9</f>
        <v>153460</v>
      </c>
      <c r="K9" s="412">
        <f>K8+H9-I9</f>
        <v>-2645</v>
      </c>
      <c r="L9" s="412">
        <f>E9-J9</f>
        <v>0</v>
      </c>
      <c r="M9" s="682" t="s">
        <v>1650</v>
      </c>
    </row>
    <row r="10" spans="1:13" ht="57">
      <c r="A10" s="324">
        <v>42583</v>
      </c>
      <c r="B10" s="412">
        <v>17.5</v>
      </c>
      <c r="C10" s="412">
        <v>4550</v>
      </c>
      <c r="D10" s="412">
        <f t="shared" si="0"/>
        <v>603.4</v>
      </c>
      <c r="E10" s="412">
        <f t="shared" si="0"/>
        <v>158010</v>
      </c>
      <c r="F10" s="412"/>
      <c r="G10" s="412">
        <f>C10</f>
        <v>4550</v>
      </c>
      <c r="H10" s="412">
        <f>C8</f>
        <v>2645</v>
      </c>
      <c r="I10" s="412">
        <v>4550</v>
      </c>
      <c r="J10" s="412">
        <f>I10+J9</f>
        <v>158010</v>
      </c>
      <c r="K10" s="412">
        <f>K9+H10-I10</f>
        <v>-4550</v>
      </c>
      <c r="L10" s="412">
        <f>E10-J10</f>
        <v>0</v>
      </c>
      <c r="M10" s="682" t="s">
        <v>1651</v>
      </c>
    </row>
    <row r="11" spans="1:13">
      <c r="A11" s="324"/>
      <c r="B11" s="412"/>
      <c r="C11" s="412"/>
      <c r="D11" s="412"/>
      <c r="E11" s="412"/>
      <c r="F11" s="412"/>
      <c r="G11" s="412"/>
      <c r="H11" s="412">
        <f>C9</f>
        <v>0</v>
      </c>
      <c r="I11" s="412"/>
      <c r="J11" s="412"/>
      <c r="K11" s="412">
        <f>K10+H11-I11</f>
        <v>-4550</v>
      </c>
      <c r="L11" s="412"/>
      <c r="M11" s="682"/>
    </row>
    <row r="12" spans="1:13">
      <c r="A12" s="324"/>
      <c r="B12" s="412"/>
      <c r="C12" s="412"/>
      <c r="D12" s="412"/>
      <c r="E12" s="412"/>
      <c r="F12" s="412"/>
      <c r="G12" s="412"/>
      <c r="H12" s="412"/>
      <c r="I12" s="412"/>
      <c r="J12" s="412"/>
      <c r="K12" s="412"/>
      <c r="L12" s="412"/>
      <c r="M12" s="682"/>
    </row>
    <row r="13" spans="1:13">
      <c r="A13" s="324"/>
      <c r="B13" s="412"/>
      <c r="C13" s="412"/>
      <c r="D13" s="412"/>
      <c r="E13" s="412"/>
      <c r="F13" s="412"/>
      <c r="G13" s="412"/>
      <c r="H13" s="412"/>
      <c r="I13" s="412"/>
      <c r="J13" s="412"/>
      <c r="K13" s="412"/>
      <c r="L13" s="412"/>
      <c r="M13" s="682"/>
    </row>
  </sheetData>
  <mergeCells count="13">
    <mergeCell ref="F1:G1"/>
    <mergeCell ref="I1:K1"/>
    <mergeCell ref="L1:M1"/>
    <mergeCell ref="B2:C2"/>
    <mergeCell ref="E2:F2"/>
    <mergeCell ref="J2:K2"/>
    <mergeCell ref="B3:C3"/>
    <mergeCell ref="B4:F4"/>
    <mergeCell ref="G4:J4"/>
    <mergeCell ref="K4:M4"/>
    <mergeCell ref="B5:C5"/>
    <mergeCell ref="D5:F5"/>
    <mergeCell ref="G5:J5"/>
  </mergeCells>
  <phoneticPr fontId="86" type="noConversion"/>
  <pageMargins left="0.7" right="0.7" top="0.75" bottom="0.75" header="0.3" footer="0.3"/>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6"/>
  <sheetViews>
    <sheetView topLeftCell="A25" zoomScaleSheetLayoutView="100" workbookViewId="0">
      <selection activeCell="A30" sqref="A30"/>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17.625" customWidth="1"/>
    <col min="12" max="12" width="13.875" customWidth="1"/>
    <col min="13" max="13" width="25.25" customWidth="1"/>
  </cols>
  <sheetData>
    <row r="1" spans="1:13" ht="87" customHeight="1">
      <c r="A1" s="1875" t="s">
        <v>556</v>
      </c>
      <c r="B1" s="1877" t="s">
        <v>1652</v>
      </c>
      <c r="C1" s="1900" t="s">
        <v>1605</v>
      </c>
      <c r="D1" s="1901" t="s">
        <v>1653</v>
      </c>
      <c r="E1" s="1879" t="s">
        <v>236</v>
      </c>
      <c r="F1" s="1903" t="s">
        <v>1654</v>
      </c>
      <c r="G1" s="1903"/>
      <c r="H1" s="1186" t="s">
        <v>237</v>
      </c>
      <c r="I1" s="1897" t="s">
        <v>1655</v>
      </c>
      <c r="J1" s="1897"/>
      <c r="K1" s="1897"/>
      <c r="L1" s="1898" t="s">
        <v>1656</v>
      </c>
      <c r="M1" s="1899"/>
    </row>
    <row r="2" spans="1:13" ht="39" customHeight="1">
      <c r="A2" s="1876"/>
      <c r="B2" s="1878"/>
      <c r="C2" s="1776"/>
      <c r="D2" s="1902"/>
      <c r="E2" s="1780"/>
      <c r="F2" s="1903"/>
      <c r="G2" s="1903"/>
      <c r="H2" s="1188" t="s">
        <v>425</v>
      </c>
      <c r="I2" s="1664" t="s">
        <v>1657</v>
      </c>
      <c r="J2" s="1664"/>
      <c r="K2" s="1664"/>
      <c r="L2" s="1664"/>
      <c r="M2" s="1664"/>
    </row>
    <row r="3" spans="1:13" ht="50.1" customHeight="1">
      <c r="A3" s="39" t="s">
        <v>240</v>
      </c>
      <c r="B3" s="1637" t="s">
        <v>1392</v>
      </c>
      <c r="C3" s="1637"/>
      <c r="D3" s="41" t="s">
        <v>242</v>
      </c>
      <c r="E3" s="1832"/>
      <c r="F3" s="1874"/>
      <c r="G3" s="1031" t="s">
        <v>1561</v>
      </c>
      <c r="H3" s="1158" t="s">
        <v>1658</v>
      </c>
      <c r="I3" s="41" t="s">
        <v>243</v>
      </c>
      <c r="J3" s="1005" t="s">
        <v>421</v>
      </c>
      <c r="K3" s="1189" t="s">
        <v>1659</v>
      </c>
      <c r="L3" s="177" t="s">
        <v>245</v>
      </c>
      <c r="M3" s="591" t="s">
        <v>1660</v>
      </c>
    </row>
    <row r="4" spans="1:13" ht="57.95" customHeight="1">
      <c r="A4" s="39" t="s">
        <v>247</v>
      </c>
      <c r="B4" s="1637" t="s">
        <v>1661</v>
      </c>
      <c r="C4" s="1637"/>
      <c r="D4" s="41" t="s">
        <v>249</v>
      </c>
      <c r="E4" s="40" t="s">
        <v>1662</v>
      </c>
      <c r="F4" s="41" t="s">
        <v>251</v>
      </c>
      <c r="G4" s="40" t="s">
        <v>1663</v>
      </c>
      <c r="H4" s="177" t="s">
        <v>252</v>
      </c>
      <c r="I4" s="1179">
        <v>13570884332</v>
      </c>
      <c r="J4" s="1180" t="s">
        <v>253</v>
      </c>
      <c r="K4" s="1181"/>
      <c r="L4" s="1013" t="s">
        <v>1469</v>
      </c>
      <c r="M4" s="1190" t="s">
        <v>1664</v>
      </c>
    </row>
    <row r="5" spans="1:13" ht="54" customHeight="1">
      <c r="A5" s="1127" t="s">
        <v>260</v>
      </c>
      <c r="B5" s="1764" t="s">
        <v>1665</v>
      </c>
      <c r="C5" s="1764"/>
      <c r="D5" s="1764"/>
      <c r="E5" s="1764"/>
      <c r="F5" s="1764"/>
      <c r="G5" s="1895" t="s">
        <v>1666</v>
      </c>
      <c r="H5" s="1895"/>
      <c r="I5" s="1895"/>
      <c r="J5" s="1895"/>
      <c r="K5" s="1858"/>
      <c r="L5" s="1858"/>
      <c r="M5" s="1859"/>
    </row>
    <row r="6" spans="1:13" ht="45" customHeight="1">
      <c r="A6" s="39" t="s">
        <v>258</v>
      </c>
      <c r="B6" s="1890"/>
      <c r="C6" s="1891"/>
      <c r="D6" s="1890"/>
      <c r="E6" s="1892"/>
      <c r="F6" s="1892"/>
      <c r="G6" s="1786"/>
      <c r="H6" s="1786"/>
      <c r="I6" s="1786"/>
      <c r="J6" s="1786"/>
      <c r="L6" s="178"/>
      <c r="M6" s="1134"/>
    </row>
    <row r="7" spans="1:13" ht="30.75">
      <c r="A7" s="381" t="s">
        <v>266</v>
      </c>
      <c r="B7" s="382" t="s">
        <v>1474</v>
      </c>
      <c r="C7" s="382" t="s">
        <v>268</v>
      </c>
      <c r="D7" s="382" t="s">
        <v>1475</v>
      </c>
      <c r="E7" s="382" t="s">
        <v>270</v>
      </c>
      <c r="F7" s="382" t="s">
        <v>1476</v>
      </c>
      <c r="G7" s="1128" t="s">
        <v>272</v>
      </c>
      <c r="H7" s="384" t="s">
        <v>273</v>
      </c>
      <c r="I7" s="390" t="s">
        <v>274</v>
      </c>
      <c r="J7" s="1135" t="s">
        <v>275</v>
      </c>
      <c r="K7" s="391" t="s">
        <v>276</v>
      </c>
      <c r="L7" s="382" t="s">
        <v>277</v>
      </c>
      <c r="M7" s="392" t="s">
        <v>278</v>
      </c>
    </row>
    <row r="8" spans="1:13" ht="27.95" customHeight="1">
      <c r="A8" s="324">
        <v>42370</v>
      </c>
      <c r="B8" s="412">
        <v>97</v>
      </c>
      <c r="C8" s="412">
        <v>23175</v>
      </c>
      <c r="D8" s="412">
        <f>B8</f>
        <v>97</v>
      </c>
      <c r="E8" s="412">
        <f>C8</f>
        <v>23175</v>
      </c>
      <c r="F8" s="412"/>
      <c r="G8" s="412">
        <f>C8</f>
        <v>23175</v>
      </c>
      <c r="H8" s="412"/>
      <c r="I8" s="412"/>
      <c r="J8" s="412"/>
      <c r="K8" s="412"/>
      <c r="L8" s="412">
        <f t="shared" ref="L8:L17" si="0">E8-J8</f>
        <v>23175</v>
      </c>
      <c r="M8" s="682"/>
    </row>
    <row r="9" spans="1:13" ht="27.95" customHeight="1">
      <c r="A9" s="324">
        <v>42401</v>
      </c>
      <c r="B9" s="412">
        <v>14.5</v>
      </c>
      <c r="C9" s="412">
        <v>3407.5</v>
      </c>
      <c r="D9" s="412">
        <f t="shared" ref="D9:D19" si="1">D8+B9</f>
        <v>111.5</v>
      </c>
      <c r="E9" s="412">
        <f t="shared" ref="E9:E19" si="2">E8+C9</f>
        <v>26582.5</v>
      </c>
      <c r="F9" s="412"/>
      <c r="G9" s="412">
        <f>E9</f>
        <v>26582.5</v>
      </c>
      <c r="H9" s="412"/>
      <c r="I9" s="412"/>
      <c r="J9" s="412"/>
      <c r="K9" s="412">
        <f t="shared" ref="K9:K17" si="3">K8+H9-I9</f>
        <v>0</v>
      </c>
      <c r="L9" s="412">
        <f t="shared" si="0"/>
        <v>26582.5</v>
      </c>
      <c r="M9" s="682"/>
    </row>
    <row r="10" spans="1:13" ht="27.95" customHeight="1">
      <c r="A10" s="324">
        <v>42430</v>
      </c>
      <c r="B10" s="412">
        <v>796.5</v>
      </c>
      <c r="C10" s="412">
        <v>214670</v>
      </c>
      <c r="D10" s="412">
        <f t="shared" si="1"/>
        <v>908</v>
      </c>
      <c r="E10" s="412">
        <f t="shared" si="2"/>
        <v>241252.5</v>
      </c>
      <c r="F10" s="412"/>
      <c r="G10" s="412">
        <f t="shared" ref="G10:G19" si="4">E9*0.2+C10</f>
        <v>219986.5</v>
      </c>
      <c r="H10" s="412">
        <f>C8*0.8</f>
        <v>18540</v>
      </c>
      <c r="I10" s="412"/>
      <c r="J10" s="412"/>
      <c r="K10" s="412">
        <f t="shared" si="3"/>
        <v>18540</v>
      </c>
      <c r="L10" s="412">
        <f t="shared" si="0"/>
        <v>241252.5</v>
      </c>
      <c r="M10" s="682"/>
    </row>
    <row r="11" spans="1:13" ht="27.95" customHeight="1">
      <c r="A11" s="324">
        <v>42461</v>
      </c>
      <c r="B11" s="412">
        <v>526.5</v>
      </c>
      <c r="C11" s="412">
        <v>141960</v>
      </c>
      <c r="D11" s="412">
        <f t="shared" si="1"/>
        <v>1434.5</v>
      </c>
      <c r="E11" s="412">
        <f t="shared" si="2"/>
        <v>383212.5</v>
      </c>
      <c r="F11" s="412"/>
      <c r="G11" s="412">
        <f t="shared" si="4"/>
        <v>190210.5</v>
      </c>
      <c r="H11" s="412">
        <f t="shared" ref="H11:H19" si="5">C9*0.8</f>
        <v>2726</v>
      </c>
      <c r="I11" s="412"/>
      <c r="J11" s="412"/>
      <c r="K11" s="412">
        <f t="shared" si="3"/>
        <v>21266</v>
      </c>
      <c r="L11" s="412">
        <f t="shared" si="0"/>
        <v>383212.5</v>
      </c>
      <c r="M11" s="682"/>
    </row>
    <row r="12" spans="1:13" ht="27.95" customHeight="1">
      <c r="A12" s="324">
        <v>42491</v>
      </c>
      <c r="B12" s="412">
        <v>1141</v>
      </c>
      <c r="C12" s="412">
        <v>288547.5</v>
      </c>
      <c r="D12" s="412">
        <f t="shared" si="1"/>
        <v>2575.5</v>
      </c>
      <c r="E12" s="412">
        <f t="shared" si="2"/>
        <v>671760</v>
      </c>
      <c r="F12" s="412"/>
      <c r="G12" s="412">
        <f t="shared" si="4"/>
        <v>365190</v>
      </c>
      <c r="H12" s="412">
        <f t="shared" si="5"/>
        <v>171736</v>
      </c>
      <c r="I12" s="412"/>
      <c r="J12" s="412"/>
      <c r="K12" s="412">
        <f t="shared" si="3"/>
        <v>193002</v>
      </c>
      <c r="L12" s="412">
        <f t="shared" si="0"/>
        <v>671760</v>
      </c>
      <c r="M12" s="682"/>
    </row>
    <row r="13" spans="1:13" ht="27.95" customHeight="1">
      <c r="A13" s="324">
        <v>42522</v>
      </c>
      <c r="B13" s="412">
        <v>6815.5</v>
      </c>
      <c r="C13" s="412">
        <v>1760677.5</v>
      </c>
      <c r="D13" s="412">
        <f t="shared" si="1"/>
        <v>9391</v>
      </c>
      <c r="E13" s="412">
        <f t="shared" si="2"/>
        <v>2432437.5</v>
      </c>
      <c r="F13" s="412"/>
      <c r="G13" s="412">
        <f t="shared" si="4"/>
        <v>1895029.5</v>
      </c>
      <c r="H13" s="412">
        <f t="shared" si="5"/>
        <v>113568</v>
      </c>
      <c r="I13" s="412"/>
      <c r="J13" s="412"/>
      <c r="K13" s="412">
        <f t="shared" si="3"/>
        <v>306570</v>
      </c>
      <c r="L13" s="412">
        <f t="shared" si="0"/>
        <v>2432437.5</v>
      </c>
      <c r="M13" s="682"/>
    </row>
    <row r="14" spans="1:13" ht="27.95" customHeight="1">
      <c r="A14" s="324">
        <v>42552</v>
      </c>
      <c r="B14" s="412">
        <v>8695</v>
      </c>
      <c r="C14" s="412">
        <v>2247575</v>
      </c>
      <c r="D14" s="412">
        <f t="shared" si="1"/>
        <v>18086</v>
      </c>
      <c r="E14" s="412">
        <f t="shared" si="2"/>
        <v>4680012.5</v>
      </c>
      <c r="F14" s="412"/>
      <c r="G14" s="412">
        <f t="shared" si="4"/>
        <v>2734062.5</v>
      </c>
      <c r="H14" s="412">
        <f t="shared" si="5"/>
        <v>230838</v>
      </c>
      <c r="I14" s="412"/>
      <c r="J14" s="412"/>
      <c r="K14" s="412">
        <f t="shared" si="3"/>
        <v>537408</v>
      </c>
      <c r="L14" s="412">
        <f t="shared" si="0"/>
        <v>4680012.5</v>
      </c>
      <c r="M14" s="682"/>
    </row>
    <row r="15" spans="1:13" ht="27.95" customHeight="1">
      <c r="A15" s="324">
        <v>42583</v>
      </c>
      <c r="B15" s="412">
        <v>6369</v>
      </c>
      <c r="C15" s="412">
        <v>1653630</v>
      </c>
      <c r="D15" s="412">
        <f t="shared" si="1"/>
        <v>24455</v>
      </c>
      <c r="E15" s="412">
        <f t="shared" si="2"/>
        <v>6333642.5</v>
      </c>
      <c r="F15" s="412"/>
      <c r="G15" s="412">
        <f t="shared" si="4"/>
        <v>2589632.5</v>
      </c>
      <c r="H15" s="412">
        <f t="shared" si="5"/>
        <v>1408542</v>
      </c>
      <c r="I15" s="412">
        <v>1945950</v>
      </c>
      <c r="J15" s="412">
        <f>I15</f>
        <v>1945950</v>
      </c>
      <c r="K15" s="412">
        <f t="shared" si="3"/>
        <v>0</v>
      </c>
      <c r="L15" s="412">
        <f t="shared" si="0"/>
        <v>4387692.5</v>
      </c>
      <c r="M15" s="682" t="s">
        <v>1667</v>
      </c>
    </row>
    <row r="16" spans="1:13" ht="27.95" customHeight="1">
      <c r="A16" s="324">
        <v>42614</v>
      </c>
      <c r="B16" s="412">
        <v>5765.5</v>
      </c>
      <c r="C16" s="412">
        <v>1519455</v>
      </c>
      <c r="D16" s="412">
        <f t="shared" si="1"/>
        <v>30220.5</v>
      </c>
      <c r="E16" s="412">
        <f t="shared" si="2"/>
        <v>7853097.5</v>
      </c>
      <c r="F16" s="412"/>
      <c r="G16" s="412">
        <f t="shared" si="4"/>
        <v>2786183.5</v>
      </c>
      <c r="H16" s="412">
        <f t="shared" si="5"/>
        <v>1798060</v>
      </c>
      <c r="I16" s="412">
        <v>1798060</v>
      </c>
      <c r="J16" s="412">
        <f>I16+J15</f>
        <v>3744010</v>
      </c>
      <c r="K16" s="412">
        <f t="shared" si="3"/>
        <v>0</v>
      </c>
      <c r="L16" s="412">
        <f t="shared" si="0"/>
        <v>4109087.5</v>
      </c>
      <c r="M16" s="682" t="s">
        <v>1668</v>
      </c>
    </row>
    <row r="17" spans="1:13" ht="27.95" customHeight="1">
      <c r="A17" s="324">
        <v>42644</v>
      </c>
      <c r="B17" s="412">
        <v>5146.5</v>
      </c>
      <c r="C17" s="412">
        <v>1334397.5</v>
      </c>
      <c r="D17" s="412">
        <f t="shared" si="1"/>
        <v>35367</v>
      </c>
      <c r="E17" s="412">
        <f t="shared" si="2"/>
        <v>9187495</v>
      </c>
      <c r="F17" s="412"/>
      <c r="G17" s="412">
        <f t="shared" si="4"/>
        <v>2905017</v>
      </c>
      <c r="H17" s="412">
        <f t="shared" si="5"/>
        <v>1322904</v>
      </c>
      <c r="I17" s="412"/>
      <c r="J17" s="412">
        <f>I17+J16</f>
        <v>3744010</v>
      </c>
      <c r="K17" s="412">
        <f t="shared" si="3"/>
        <v>1322904</v>
      </c>
      <c r="L17" s="412">
        <f t="shared" si="0"/>
        <v>5443485</v>
      </c>
      <c r="M17" s="682" t="s">
        <v>1669</v>
      </c>
    </row>
    <row r="18" spans="1:13" ht="27.95" customHeight="1">
      <c r="A18" s="324">
        <v>42675</v>
      </c>
      <c r="B18" s="412">
        <v>4520</v>
      </c>
      <c r="C18" s="412">
        <v>1157645</v>
      </c>
      <c r="D18" s="412">
        <f t="shared" si="1"/>
        <v>39887</v>
      </c>
      <c r="E18" s="412">
        <f t="shared" si="2"/>
        <v>10345140</v>
      </c>
      <c r="F18" s="412"/>
      <c r="G18" s="412">
        <f t="shared" si="4"/>
        <v>2995144</v>
      </c>
      <c r="H18" s="1141">
        <f t="shared" si="5"/>
        <v>1215564</v>
      </c>
      <c r="I18" s="412">
        <v>1322904</v>
      </c>
      <c r="J18" s="412">
        <f>I18+J17</f>
        <v>5066914</v>
      </c>
      <c r="K18" s="412">
        <f t="shared" ref="K18:K30" si="6">K17+H18-I18</f>
        <v>1215564</v>
      </c>
      <c r="L18" s="412">
        <f t="shared" ref="L18:L29" si="7">E18-J18</f>
        <v>5278226</v>
      </c>
      <c r="M18" s="682" t="s">
        <v>1670</v>
      </c>
    </row>
    <row r="19" spans="1:13" ht="27.95" customHeight="1">
      <c r="A19" s="324">
        <v>42705</v>
      </c>
      <c r="B19" s="412">
        <v>3449.5</v>
      </c>
      <c r="C19" s="412">
        <v>971770</v>
      </c>
      <c r="D19" s="412">
        <f t="shared" si="1"/>
        <v>43336.5</v>
      </c>
      <c r="E19" s="412">
        <f t="shared" si="2"/>
        <v>11316910</v>
      </c>
      <c r="F19" s="412"/>
      <c r="G19" s="412">
        <f t="shared" si="4"/>
        <v>3040798</v>
      </c>
      <c r="H19" s="412">
        <f t="shared" si="5"/>
        <v>1067518</v>
      </c>
      <c r="I19" s="412">
        <v>1215564</v>
      </c>
      <c r="J19" s="412">
        <f>I19+J18</f>
        <v>6282478</v>
      </c>
      <c r="K19" s="412">
        <f t="shared" si="6"/>
        <v>1067518</v>
      </c>
      <c r="L19" s="412">
        <f t="shared" si="7"/>
        <v>5034432</v>
      </c>
      <c r="M19" s="682" t="s">
        <v>1671</v>
      </c>
    </row>
    <row r="20" spans="1:13" ht="27.95" customHeight="1">
      <c r="A20" s="324" t="s">
        <v>672</v>
      </c>
      <c r="B20" s="412"/>
      <c r="C20" s="412">
        <v>146093</v>
      </c>
      <c r="D20" s="412">
        <f t="shared" ref="D20:D29" si="8">D19+B20</f>
        <v>43336.5</v>
      </c>
      <c r="E20" s="412">
        <f t="shared" ref="E20:E29" si="9">E19+C20</f>
        <v>11463003</v>
      </c>
      <c r="F20" s="412"/>
      <c r="G20" s="412"/>
      <c r="H20" s="412">
        <f>C20</f>
        <v>146093</v>
      </c>
      <c r="I20" s="412"/>
      <c r="J20" s="412">
        <f t="shared" ref="J20:J29" si="10">I20+J19</f>
        <v>6282478</v>
      </c>
      <c r="K20" s="412">
        <f t="shared" si="6"/>
        <v>1213611</v>
      </c>
      <c r="L20" s="412">
        <f t="shared" si="7"/>
        <v>5180525</v>
      </c>
      <c r="M20" s="682"/>
    </row>
    <row r="21" spans="1:13" ht="27.95" customHeight="1">
      <c r="A21" s="324" t="s">
        <v>433</v>
      </c>
      <c r="B21" s="412"/>
      <c r="C21" s="412">
        <v>175777</v>
      </c>
      <c r="D21" s="412">
        <f t="shared" si="8"/>
        <v>43336.5</v>
      </c>
      <c r="E21" s="412">
        <f t="shared" si="9"/>
        <v>11638780</v>
      </c>
      <c r="F21" s="412"/>
      <c r="G21" s="412"/>
      <c r="H21" s="412">
        <f>C21</f>
        <v>175777</v>
      </c>
      <c r="I21" s="412"/>
      <c r="J21" s="412">
        <f t="shared" si="10"/>
        <v>6282478</v>
      </c>
      <c r="K21" s="412">
        <f t="shared" si="6"/>
        <v>1389388</v>
      </c>
      <c r="L21" s="412">
        <f t="shared" si="7"/>
        <v>5356302</v>
      </c>
      <c r="M21" s="682"/>
    </row>
    <row r="22" spans="1:13" ht="27.95" customHeight="1">
      <c r="A22" s="324">
        <v>42736</v>
      </c>
      <c r="B22" s="412">
        <v>845</v>
      </c>
      <c r="C22" s="412">
        <v>257082.5</v>
      </c>
      <c r="D22" s="412">
        <f t="shared" si="8"/>
        <v>44181.5</v>
      </c>
      <c r="E22" s="412">
        <f t="shared" si="9"/>
        <v>11895862.5</v>
      </c>
      <c r="F22" s="412"/>
      <c r="G22" s="412">
        <f>E19*0.2+C22</f>
        <v>2520464.5</v>
      </c>
      <c r="H22" s="412">
        <f>C18*0.8</f>
        <v>926116</v>
      </c>
      <c r="I22" s="412">
        <f>1067518+926116</f>
        <v>1993634</v>
      </c>
      <c r="J22" s="412">
        <f t="shared" si="10"/>
        <v>8276112</v>
      </c>
      <c r="K22" s="412">
        <f t="shared" si="6"/>
        <v>321870</v>
      </c>
      <c r="L22" s="412">
        <f t="shared" si="7"/>
        <v>3619750.5</v>
      </c>
      <c r="M22" s="682" t="s">
        <v>1672</v>
      </c>
    </row>
    <row r="23" spans="1:13" ht="27.95" customHeight="1">
      <c r="A23" s="324">
        <v>42767</v>
      </c>
      <c r="B23" s="412">
        <v>141</v>
      </c>
      <c r="C23" s="412">
        <v>40265</v>
      </c>
      <c r="D23" s="412">
        <f t="shared" si="8"/>
        <v>44322.5</v>
      </c>
      <c r="E23" s="412">
        <f t="shared" si="9"/>
        <v>11936127.5</v>
      </c>
      <c r="F23" s="412"/>
      <c r="G23" s="412">
        <f>E19*0.2+C22*0.2+C23</f>
        <v>2355063.5</v>
      </c>
      <c r="H23" s="412">
        <f>C19*0.8</f>
        <v>777416</v>
      </c>
      <c r="I23" s="412"/>
      <c r="J23" s="412">
        <f t="shared" si="10"/>
        <v>8276112</v>
      </c>
      <c r="K23" s="412">
        <f t="shared" si="6"/>
        <v>1099286</v>
      </c>
      <c r="L23" s="412">
        <f t="shared" si="7"/>
        <v>3660015.5</v>
      </c>
      <c r="M23" s="682"/>
    </row>
    <row r="24" spans="1:13" ht="27.95" customHeight="1">
      <c r="A24" s="324">
        <v>42795</v>
      </c>
      <c r="B24" s="412">
        <v>613</v>
      </c>
      <c r="C24" s="412">
        <v>170755</v>
      </c>
      <c r="D24" s="412">
        <f t="shared" si="8"/>
        <v>44935.5</v>
      </c>
      <c r="E24" s="412">
        <f t="shared" si="9"/>
        <v>12106882.5</v>
      </c>
      <c r="F24" s="412"/>
      <c r="G24" s="412">
        <f>E19*0.2+C24+C22*0.2+C23*0.2</f>
        <v>2493606.5</v>
      </c>
      <c r="H24" s="412">
        <f t="shared" ref="H24:H30" si="11">C22*0.8</f>
        <v>205666</v>
      </c>
      <c r="I24" s="412">
        <v>777416</v>
      </c>
      <c r="J24" s="412">
        <f t="shared" si="10"/>
        <v>9053528</v>
      </c>
      <c r="K24" s="412">
        <f t="shared" si="6"/>
        <v>527536</v>
      </c>
      <c r="L24" s="412">
        <f t="shared" si="7"/>
        <v>3053354.5</v>
      </c>
      <c r="M24" s="682" t="s">
        <v>1673</v>
      </c>
    </row>
    <row r="25" spans="1:13" ht="27.95" customHeight="1">
      <c r="A25" s="324">
        <v>42826</v>
      </c>
      <c r="B25" s="412">
        <v>265.5</v>
      </c>
      <c r="C25" s="412">
        <v>73677.5</v>
      </c>
      <c r="D25" s="412">
        <f t="shared" si="8"/>
        <v>45201</v>
      </c>
      <c r="E25" s="412">
        <f t="shared" si="9"/>
        <v>12180560</v>
      </c>
      <c r="F25" s="412"/>
      <c r="G25" s="412">
        <f>E19*0.2+C25+C22*0.2+C23*0.2+C24*0.2</f>
        <v>2430680</v>
      </c>
      <c r="H25" s="412">
        <f t="shared" si="11"/>
        <v>32212</v>
      </c>
      <c r="I25" s="412"/>
      <c r="J25" s="412">
        <f t="shared" si="10"/>
        <v>9053528</v>
      </c>
      <c r="K25" s="412">
        <f t="shared" si="6"/>
        <v>559748</v>
      </c>
      <c r="L25" s="412">
        <f t="shared" si="7"/>
        <v>3127032</v>
      </c>
      <c r="M25" s="682"/>
    </row>
    <row r="26" spans="1:13" ht="27.95" customHeight="1">
      <c r="A26" s="324">
        <v>42856</v>
      </c>
      <c r="B26" s="412">
        <v>1372</v>
      </c>
      <c r="C26" s="412">
        <v>470495</v>
      </c>
      <c r="D26" s="412">
        <f t="shared" si="8"/>
        <v>46573</v>
      </c>
      <c r="E26" s="412">
        <f t="shared" si="9"/>
        <v>12651055</v>
      </c>
      <c r="F26" s="412"/>
      <c r="G26" s="412">
        <f>E19*0.2+C26+C23*0.2+C24*0.2+C25*0.2+C22*0.2</f>
        <v>2842233</v>
      </c>
      <c r="H26" s="412">
        <f t="shared" si="11"/>
        <v>136604</v>
      </c>
      <c r="I26" s="412"/>
      <c r="J26" s="412">
        <f t="shared" si="10"/>
        <v>9053528</v>
      </c>
      <c r="K26" s="412">
        <f t="shared" si="6"/>
        <v>696352</v>
      </c>
      <c r="L26" s="412">
        <f t="shared" si="7"/>
        <v>3597527</v>
      </c>
      <c r="M26" s="682" t="s">
        <v>1674</v>
      </c>
    </row>
    <row r="27" spans="1:13" ht="27.95" customHeight="1">
      <c r="A27" s="324">
        <v>42887</v>
      </c>
      <c r="B27" s="412">
        <v>887</v>
      </c>
      <c r="C27" s="412">
        <v>301455</v>
      </c>
      <c r="D27" s="412">
        <f t="shared" si="8"/>
        <v>47460</v>
      </c>
      <c r="E27" s="412">
        <f t="shared" si="9"/>
        <v>12952510</v>
      </c>
      <c r="F27" s="412"/>
      <c r="G27" s="412">
        <f>E19*0.2+C26*0.2+C23*0.2+C24*0.2+C25*0.2+C22*0.2+C27</f>
        <v>2767292</v>
      </c>
      <c r="H27" s="412">
        <f t="shared" si="11"/>
        <v>58942</v>
      </c>
      <c r="I27" s="412">
        <v>205666</v>
      </c>
      <c r="J27" s="412">
        <f t="shared" si="10"/>
        <v>9259194</v>
      </c>
      <c r="K27" s="412">
        <f t="shared" si="6"/>
        <v>549628</v>
      </c>
      <c r="L27" s="412">
        <f t="shared" si="7"/>
        <v>3693316</v>
      </c>
      <c r="M27" s="682"/>
    </row>
    <row r="28" spans="1:13" ht="27.95" customHeight="1">
      <c r="A28" s="324">
        <v>42917</v>
      </c>
      <c r="B28" s="412">
        <v>941</v>
      </c>
      <c r="C28" s="412">
        <v>302510</v>
      </c>
      <c r="D28" s="412">
        <f t="shared" si="8"/>
        <v>48401</v>
      </c>
      <c r="E28" s="412">
        <f t="shared" si="9"/>
        <v>13255020</v>
      </c>
      <c r="F28" s="412"/>
      <c r="G28" s="412">
        <f>E19*0.2+C26*0.2+C23*0.2+C24*0.2+C25*0.2+C22*0.2+C27*0.2+C28</f>
        <v>2828638</v>
      </c>
      <c r="H28" s="412">
        <f t="shared" si="11"/>
        <v>376396</v>
      </c>
      <c r="I28" s="412">
        <v>227758</v>
      </c>
      <c r="J28" s="412">
        <f t="shared" si="10"/>
        <v>9486952</v>
      </c>
      <c r="K28" s="412">
        <f t="shared" si="6"/>
        <v>698266</v>
      </c>
      <c r="L28" s="412">
        <f t="shared" si="7"/>
        <v>3768068</v>
      </c>
      <c r="M28" s="682" t="s">
        <v>1675</v>
      </c>
    </row>
    <row r="29" spans="1:13" ht="27.95" customHeight="1">
      <c r="A29" s="324">
        <v>42948</v>
      </c>
      <c r="B29" s="412">
        <v>136</v>
      </c>
      <c r="C29" s="412">
        <v>41695</v>
      </c>
      <c r="D29" s="412">
        <f t="shared" si="8"/>
        <v>48537</v>
      </c>
      <c r="E29" s="412">
        <f t="shared" si="9"/>
        <v>13296715</v>
      </c>
      <c r="F29" s="412"/>
      <c r="G29" s="412">
        <f>E19*0.2+C26*0.2+C23*0.2+C24*0.2+C25*0.2+C22*0.2+C27*0.2+C28*0.2+C29</f>
        <v>2628325</v>
      </c>
      <c r="H29" s="412">
        <f t="shared" si="11"/>
        <v>241164</v>
      </c>
      <c r="I29" s="412"/>
      <c r="J29" s="412">
        <f t="shared" si="10"/>
        <v>9486952</v>
      </c>
      <c r="K29" s="412">
        <f t="shared" si="6"/>
        <v>939430</v>
      </c>
      <c r="L29" s="412">
        <f t="shared" si="7"/>
        <v>3809763</v>
      </c>
      <c r="M29" s="682"/>
    </row>
    <row r="30" spans="1:13" ht="27.95" customHeight="1">
      <c r="A30" s="324"/>
      <c r="B30" s="412"/>
      <c r="C30" s="412"/>
      <c r="D30" s="412"/>
      <c r="E30" s="412"/>
      <c r="F30" s="412"/>
      <c r="G30" s="412"/>
      <c r="H30" s="412">
        <f t="shared" si="11"/>
        <v>242008</v>
      </c>
      <c r="I30" s="412"/>
      <c r="J30" s="412"/>
      <c r="K30" s="412">
        <f t="shared" si="6"/>
        <v>1181438</v>
      </c>
      <c r="L30" s="412"/>
      <c r="M30" s="682"/>
    </row>
    <row r="31" spans="1:13" ht="27.95" customHeight="1">
      <c r="A31" s="324"/>
      <c r="B31" s="412"/>
      <c r="C31" s="412"/>
      <c r="D31" s="412"/>
      <c r="E31" s="412"/>
      <c r="F31" s="412"/>
      <c r="G31" s="412"/>
      <c r="H31" s="412"/>
      <c r="I31" s="412"/>
      <c r="J31" s="412"/>
      <c r="K31" s="412"/>
      <c r="L31" s="412"/>
      <c r="M31" s="682"/>
    </row>
    <row r="32" spans="1:13" ht="27.95" customHeight="1">
      <c r="A32" s="324"/>
      <c r="B32" s="412"/>
      <c r="C32" s="412"/>
      <c r="D32" s="412"/>
      <c r="E32" s="412"/>
      <c r="F32" s="412"/>
      <c r="G32" s="412"/>
      <c r="H32" s="412"/>
      <c r="I32" s="412"/>
      <c r="J32" s="412"/>
      <c r="K32" s="412"/>
      <c r="L32" s="412"/>
      <c r="M32" s="682"/>
    </row>
    <row r="33" spans="1:13" ht="27.95" customHeight="1">
      <c r="A33" s="324"/>
      <c r="B33" s="412"/>
      <c r="C33" s="412"/>
      <c r="D33" s="412"/>
      <c r="E33" s="412"/>
      <c r="F33" s="412"/>
      <c r="G33" s="412"/>
      <c r="H33" s="412"/>
      <c r="I33" s="412"/>
      <c r="J33" s="412"/>
      <c r="K33" s="412"/>
      <c r="L33" s="412"/>
      <c r="M33" s="682"/>
    </row>
    <row r="34" spans="1:13" ht="27.95" customHeight="1">
      <c r="A34" s="324"/>
      <c r="B34" s="412"/>
      <c r="C34" s="412"/>
      <c r="D34" s="412"/>
      <c r="E34" s="412"/>
      <c r="F34" s="412"/>
      <c r="G34" s="412"/>
      <c r="H34" s="412"/>
      <c r="I34" s="412"/>
      <c r="J34" s="412"/>
      <c r="K34" s="412"/>
      <c r="L34" s="412"/>
      <c r="M34" s="682"/>
    </row>
    <row r="35" spans="1:13" ht="27.95" customHeight="1">
      <c r="A35" s="324"/>
      <c r="B35" s="412"/>
      <c r="C35" s="412"/>
      <c r="D35" s="412"/>
      <c r="E35" s="412"/>
      <c r="F35" s="412"/>
      <c r="G35" s="412"/>
      <c r="H35" s="412"/>
      <c r="I35" s="412"/>
      <c r="J35" s="412"/>
      <c r="K35" s="412"/>
      <c r="L35" s="412"/>
      <c r="M35" s="682"/>
    </row>
    <row r="36" spans="1:13" ht="27.95" customHeight="1">
      <c r="A36" s="324"/>
      <c r="B36" s="412"/>
      <c r="C36" s="412"/>
      <c r="D36" s="412"/>
      <c r="E36" s="412"/>
      <c r="F36" s="412"/>
      <c r="G36" s="412"/>
      <c r="H36" s="412"/>
      <c r="I36" s="412"/>
      <c r="J36" s="412"/>
      <c r="K36" s="412"/>
      <c r="L36" s="412"/>
      <c r="M36" s="682"/>
    </row>
  </sheetData>
  <mergeCells count="18">
    <mergeCell ref="A1:A2"/>
    <mergeCell ref="B1:B2"/>
    <mergeCell ref="C1:C2"/>
    <mergeCell ref="D1:D2"/>
    <mergeCell ref="E1:E2"/>
    <mergeCell ref="F1:G2"/>
    <mergeCell ref="B5:F5"/>
    <mergeCell ref="G5:J5"/>
    <mergeCell ref="K5:M5"/>
    <mergeCell ref="B6:C6"/>
    <mergeCell ref="D6:F6"/>
    <mergeCell ref="G6:J6"/>
    <mergeCell ref="I1:K1"/>
    <mergeCell ref="L1:M1"/>
    <mergeCell ref="I2:M2"/>
    <mergeCell ref="B3:C3"/>
    <mergeCell ref="E3:F3"/>
    <mergeCell ref="B4:C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topLeftCell="A19" zoomScaleSheetLayoutView="100" workbookViewId="0">
      <selection activeCell="A27" sqref="A27"/>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4.375" customWidth="1"/>
    <col min="8" max="8" width="13.75" customWidth="1"/>
    <col min="9" max="9" width="14.5" customWidth="1"/>
    <col min="10" max="10" width="14.75" customWidth="1"/>
    <col min="11" max="11" width="19.625" customWidth="1"/>
    <col min="12" max="12" width="13.875" customWidth="1"/>
    <col min="13" max="13" width="25.25" customWidth="1"/>
  </cols>
  <sheetData>
    <row r="1" spans="1:13" ht="69.95" customHeight="1">
      <c r="A1" s="34" t="s">
        <v>556</v>
      </c>
      <c r="B1" s="176" t="s">
        <v>1676</v>
      </c>
      <c r="C1" s="38" t="s">
        <v>1605</v>
      </c>
      <c r="D1" s="1124" t="s">
        <v>1677</v>
      </c>
      <c r="E1" s="38" t="s">
        <v>236</v>
      </c>
      <c r="F1" s="1790"/>
      <c r="G1" s="1790"/>
      <c r="H1" s="1183" t="s">
        <v>237</v>
      </c>
      <c r="I1" s="1897" t="s">
        <v>1678</v>
      </c>
      <c r="J1" s="1665"/>
      <c r="K1" s="1665"/>
      <c r="L1" s="1894" t="s">
        <v>1679</v>
      </c>
      <c r="M1" s="1823"/>
    </row>
    <row r="2" spans="1:13" ht="89.1" customHeight="1">
      <c r="A2" s="39" t="s">
        <v>240</v>
      </c>
      <c r="B2" s="1637" t="s">
        <v>1680</v>
      </c>
      <c r="C2" s="1637"/>
      <c r="D2" s="41" t="s">
        <v>242</v>
      </c>
      <c r="E2" s="40" t="s">
        <v>1561</v>
      </c>
      <c r="F2" s="42" t="s">
        <v>1681</v>
      </c>
      <c r="G2" s="1065" t="s">
        <v>1682</v>
      </c>
      <c r="H2" s="1811" t="s">
        <v>1683</v>
      </c>
      <c r="I2" s="1811"/>
      <c r="J2" s="1866" t="s">
        <v>1684</v>
      </c>
      <c r="K2" s="1675"/>
      <c r="L2" s="1131" t="s">
        <v>245</v>
      </c>
      <c r="M2" s="1132" t="s">
        <v>1633</v>
      </c>
    </row>
    <row r="3" spans="1:13" ht="57.95" customHeight="1">
      <c r="A3" s="39" t="s">
        <v>247</v>
      </c>
      <c r="B3" s="1637" t="s">
        <v>1685</v>
      </c>
      <c r="C3" s="1637"/>
      <c r="D3" s="41" t="s">
        <v>249</v>
      </c>
      <c r="E3" s="40">
        <v>30000</v>
      </c>
      <c r="F3" s="41" t="s">
        <v>251</v>
      </c>
      <c r="G3" s="40" t="s">
        <v>1648</v>
      </c>
      <c r="H3" s="177" t="s">
        <v>252</v>
      </c>
      <c r="I3" s="1170">
        <v>13710663222</v>
      </c>
      <c r="J3" s="91" t="s">
        <v>253</v>
      </c>
      <c r="K3" s="1133"/>
      <c r="L3" s="15" t="s">
        <v>1469</v>
      </c>
      <c r="M3" s="92" t="s">
        <v>1686</v>
      </c>
    </row>
    <row r="4" spans="1:13" ht="72" customHeight="1">
      <c r="A4" s="1127" t="s">
        <v>260</v>
      </c>
      <c r="B4" s="1764" t="s">
        <v>1687</v>
      </c>
      <c r="C4" s="1764"/>
      <c r="D4" s="1764"/>
      <c r="E4" s="1764"/>
      <c r="F4" s="1764"/>
      <c r="G4" s="1895"/>
      <c r="H4" s="1895"/>
      <c r="I4" s="1895"/>
      <c r="J4" s="1895"/>
      <c r="K4" s="1858"/>
      <c r="L4" s="1858"/>
      <c r="M4" s="1859"/>
    </row>
    <row r="5" spans="1:13" ht="54" customHeight="1">
      <c r="A5" s="39" t="s">
        <v>258</v>
      </c>
      <c r="B5" s="1890"/>
      <c r="C5" s="1891"/>
      <c r="D5" s="1890" t="s">
        <v>1657</v>
      </c>
      <c r="E5" s="1892"/>
      <c r="F5" s="1892"/>
      <c r="G5" s="1889" t="s">
        <v>1289</v>
      </c>
      <c r="H5" s="1889"/>
      <c r="I5" s="1889"/>
      <c r="J5" s="1889"/>
      <c r="L5" s="178"/>
      <c r="M5" s="1134"/>
    </row>
    <row r="6" spans="1:13" ht="42.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42430</v>
      </c>
      <c r="B7" s="412">
        <v>11</v>
      </c>
      <c r="C7" s="412">
        <v>2530</v>
      </c>
      <c r="D7" s="412">
        <f>B7</f>
        <v>11</v>
      </c>
      <c r="E7" s="412">
        <f>C7</f>
        <v>2530</v>
      </c>
      <c r="F7" s="412"/>
      <c r="G7" s="412">
        <f t="shared" ref="G7:G16" si="0">C7</f>
        <v>2530</v>
      </c>
      <c r="H7" s="412"/>
      <c r="I7" s="412"/>
      <c r="J7" s="412"/>
      <c r="K7" s="412"/>
      <c r="L7" s="412">
        <f t="shared" ref="L7:L14" si="1">E7-J7</f>
        <v>2530</v>
      </c>
      <c r="M7" s="682"/>
    </row>
    <row r="8" spans="1:13" ht="27.95" customHeight="1">
      <c r="A8" s="324">
        <v>42461</v>
      </c>
      <c r="B8" s="412">
        <v>54</v>
      </c>
      <c r="C8" s="412">
        <v>12160</v>
      </c>
      <c r="D8" s="412">
        <f t="shared" ref="D8:D16" si="2">D7+B8</f>
        <v>65</v>
      </c>
      <c r="E8" s="412">
        <f t="shared" ref="E8:E16" si="3">E7+C8</f>
        <v>14690</v>
      </c>
      <c r="F8" s="412"/>
      <c r="G8" s="412">
        <f t="shared" si="0"/>
        <v>12160</v>
      </c>
      <c r="H8" s="412"/>
      <c r="I8" s="412"/>
      <c r="J8" s="412"/>
      <c r="K8" s="412">
        <f t="shared" ref="K8:K14" si="4">K7+H8-I8</f>
        <v>0</v>
      </c>
      <c r="L8" s="412">
        <f t="shared" si="1"/>
        <v>14690</v>
      </c>
      <c r="M8" s="682"/>
    </row>
    <row r="9" spans="1:13" ht="27.95" customHeight="1">
      <c r="A9" s="324">
        <v>42491</v>
      </c>
      <c r="B9" s="412">
        <v>150</v>
      </c>
      <c r="C9" s="412">
        <v>34950</v>
      </c>
      <c r="D9" s="412">
        <f t="shared" si="2"/>
        <v>215</v>
      </c>
      <c r="E9" s="412">
        <f t="shared" si="3"/>
        <v>49640</v>
      </c>
      <c r="F9" s="412"/>
      <c r="G9" s="412">
        <f t="shared" si="0"/>
        <v>34950</v>
      </c>
      <c r="H9" s="412">
        <f t="shared" ref="H9:H16" si="5">C7</f>
        <v>2530</v>
      </c>
      <c r="I9" s="412"/>
      <c r="J9" s="412"/>
      <c r="K9" s="412">
        <f t="shared" si="4"/>
        <v>2530</v>
      </c>
      <c r="L9" s="412">
        <f t="shared" si="1"/>
        <v>49640</v>
      </c>
      <c r="M9" s="682"/>
    </row>
    <row r="10" spans="1:13" ht="27.95" customHeight="1">
      <c r="A10" s="324">
        <v>42522</v>
      </c>
      <c r="B10" s="412">
        <v>80</v>
      </c>
      <c r="C10" s="412">
        <v>18820</v>
      </c>
      <c r="D10" s="412">
        <f t="shared" si="2"/>
        <v>295</v>
      </c>
      <c r="E10" s="412">
        <f t="shared" si="3"/>
        <v>68460</v>
      </c>
      <c r="F10" s="412"/>
      <c r="G10" s="412">
        <f t="shared" si="0"/>
        <v>18820</v>
      </c>
      <c r="H10" s="412">
        <f t="shared" si="5"/>
        <v>12160</v>
      </c>
      <c r="I10" s="412">
        <v>14690</v>
      </c>
      <c r="J10" s="412">
        <f>14690</f>
        <v>14690</v>
      </c>
      <c r="K10" s="412">
        <f t="shared" si="4"/>
        <v>0</v>
      </c>
      <c r="L10" s="412">
        <f t="shared" si="1"/>
        <v>53770</v>
      </c>
      <c r="M10" s="682" t="s">
        <v>1688</v>
      </c>
    </row>
    <row r="11" spans="1:13" ht="27.95" customHeight="1">
      <c r="A11" s="324">
        <v>42552</v>
      </c>
      <c r="B11" s="412">
        <v>578.5</v>
      </c>
      <c r="C11" s="412">
        <v>145927.5</v>
      </c>
      <c r="D11" s="412">
        <f t="shared" si="2"/>
        <v>873.5</v>
      </c>
      <c r="E11" s="412">
        <f t="shared" si="3"/>
        <v>214387.5</v>
      </c>
      <c r="F11" s="412"/>
      <c r="G11" s="412">
        <f t="shared" si="0"/>
        <v>145927.5</v>
      </c>
      <c r="H11" s="412">
        <f t="shared" si="5"/>
        <v>34950</v>
      </c>
      <c r="I11" s="412"/>
      <c r="J11" s="412">
        <f t="shared" ref="J11:J16" si="6">J10+I11</f>
        <v>14690</v>
      </c>
      <c r="K11" s="412">
        <f t="shared" si="4"/>
        <v>34950</v>
      </c>
      <c r="L11" s="412">
        <f t="shared" si="1"/>
        <v>199697.5</v>
      </c>
      <c r="M11" s="682"/>
    </row>
    <row r="12" spans="1:13" ht="27.95" customHeight="1">
      <c r="A12" s="324">
        <v>42583</v>
      </c>
      <c r="B12" s="412">
        <v>1008</v>
      </c>
      <c r="C12" s="412">
        <v>256707.5</v>
      </c>
      <c r="D12" s="412">
        <f t="shared" si="2"/>
        <v>1881.5</v>
      </c>
      <c r="E12" s="412">
        <f t="shared" si="3"/>
        <v>471095</v>
      </c>
      <c r="F12" s="412"/>
      <c r="G12" s="412">
        <f t="shared" si="0"/>
        <v>256707.5</v>
      </c>
      <c r="H12" s="412">
        <f t="shared" si="5"/>
        <v>18820</v>
      </c>
      <c r="I12" s="412">
        <v>53700</v>
      </c>
      <c r="J12" s="412">
        <f t="shared" si="6"/>
        <v>68390</v>
      </c>
      <c r="K12" s="412">
        <f t="shared" si="4"/>
        <v>70</v>
      </c>
      <c r="L12" s="412">
        <f t="shared" si="1"/>
        <v>402705</v>
      </c>
      <c r="M12" s="682" t="s">
        <v>1689</v>
      </c>
    </row>
    <row r="13" spans="1:13" ht="27.95" customHeight="1">
      <c r="A13" s="324">
        <v>42614</v>
      </c>
      <c r="B13" s="412">
        <v>1352.5</v>
      </c>
      <c r="C13" s="412">
        <v>344302.5</v>
      </c>
      <c r="D13" s="412">
        <f t="shared" si="2"/>
        <v>3234</v>
      </c>
      <c r="E13" s="412">
        <f t="shared" si="3"/>
        <v>815397.5</v>
      </c>
      <c r="F13" s="412"/>
      <c r="G13" s="412">
        <f t="shared" si="0"/>
        <v>344302.5</v>
      </c>
      <c r="H13" s="412">
        <f t="shared" si="5"/>
        <v>145927.5</v>
      </c>
      <c r="I13" s="412"/>
      <c r="J13" s="412">
        <f t="shared" si="6"/>
        <v>68390</v>
      </c>
      <c r="K13" s="412">
        <f t="shared" si="4"/>
        <v>145997.5</v>
      </c>
      <c r="L13" s="412">
        <f t="shared" si="1"/>
        <v>747007.5</v>
      </c>
      <c r="M13" s="682" t="s">
        <v>1690</v>
      </c>
    </row>
    <row r="14" spans="1:13" ht="27.95" customHeight="1">
      <c r="A14" s="324">
        <v>42644</v>
      </c>
      <c r="B14" s="412">
        <v>1792.5</v>
      </c>
      <c r="C14" s="412">
        <v>414882.5</v>
      </c>
      <c r="D14" s="412">
        <f t="shared" si="2"/>
        <v>5026.5</v>
      </c>
      <c r="E14" s="412">
        <f t="shared" si="3"/>
        <v>1230280</v>
      </c>
      <c r="F14" s="412"/>
      <c r="G14" s="412">
        <f t="shared" si="0"/>
        <v>414882.5</v>
      </c>
      <c r="H14" s="412">
        <f t="shared" si="5"/>
        <v>256707.5</v>
      </c>
      <c r="I14" s="412">
        <v>402600</v>
      </c>
      <c r="J14" s="412">
        <f t="shared" si="6"/>
        <v>470990</v>
      </c>
      <c r="K14" s="412">
        <f t="shared" si="4"/>
        <v>105</v>
      </c>
      <c r="L14" s="412">
        <f t="shared" si="1"/>
        <v>759290</v>
      </c>
      <c r="M14" s="682"/>
    </row>
    <row r="15" spans="1:13" ht="27.95" customHeight="1">
      <c r="A15" s="324">
        <v>42675</v>
      </c>
      <c r="B15" s="412">
        <v>2845.5</v>
      </c>
      <c r="C15" s="412">
        <v>672185</v>
      </c>
      <c r="D15" s="412">
        <f t="shared" si="2"/>
        <v>7872</v>
      </c>
      <c r="E15" s="412">
        <f t="shared" si="3"/>
        <v>1902465</v>
      </c>
      <c r="F15" s="412"/>
      <c r="G15" s="412">
        <f t="shared" si="0"/>
        <v>672185</v>
      </c>
      <c r="H15" s="412">
        <f t="shared" si="5"/>
        <v>344302.5</v>
      </c>
      <c r="I15" s="412"/>
      <c r="J15" s="412">
        <f t="shared" si="6"/>
        <v>470990</v>
      </c>
      <c r="K15" s="412">
        <f t="shared" ref="K15:K27" si="7">K14+H15-I15</f>
        <v>344407.5</v>
      </c>
      <c r="L15" s="412">
        <f t="shared" ref="L15:L26" si="8">E15-J15</f>
        <v>1431475</v>
      </c>
      <c r="M15" s="682" t="s">
        <v>1691</v>
      </c>
    </row>
    <row r="16" spans="1:13" ht="27.95" customHeight="1">
      <c r="A16" s="324">
        <v>42705</v>
      </c>
      <c r="B16" s="412">
        <v>1567</v>
      </c>
      <c r="C16" s="412">
        <v>429475</v>
      </c>
      <c r="D16" s="412">
        <f t="shared" si="2"/>
        <v>9439</v>
      </c>
      <c r="E16" s="412">
        <f t="shared" si="3"/>
        <v>2331940</v>
      </c>
      <c r="F16" s="412"/>
      <c r="G16" s="412">
        <f t="shared" si="0"/>
        <v>429475</v>
      </c>
      <c r="H16" s="412">
        <f t="shared" si="5"/>
        <v>414882.5</v>
      </c>
      <c r="I16" s="412">
        <v>344300</v>
      </c>
      <c r="J16" s="412">
        <f t="shared" si="6"/>
        <v>815290</v>
      </c>
      <c r="K16" s="412">
        <f t="shared" si="7"/>
        <v>414990</v>
      </c>
      <c r="L16" s="412">
        <f t="shared" si="8"/>
        <v>1516650</v>
      </c>
      <c r="M16" s="682" t="s">
        <v>1692</v>
      </c>
    </row>
    <row r="17" spans="1:13" ht="27.95" customHeight="1">
      <c r="A17" s="1184" t="s">
        <v>672</v>
      </c>
      <c r="B17" s="1185"/>
      <c r="C17" s="1185">
        <v>20573</v>
      </c>
      <c r="D17" s="412">
        <f t="shared" ref="D17:D26" si="9">D16+B17</f>
        <v>9439</v>
      </c>
      <c r="E17" s="412">
        <f t="shared" ref="E17:E26" si="10">E16+C17</f>
        <v>2352513</v>
      </c>
      <c r="F17" s="412"/>
      <c r="G17" s="412"/>
      <c r="H17" s="412">
        <f>C17</f>
        <v>20573</v>
      </c>
      <c r="I17" s="412"/>
      <c r="J17" s="412">
        <f t="shared" ref="J17:J26" si="11">J16+I17</f>
        <v>815290</v>
      </c>
      <c r="K17" s="412">
        <f t="shared" si="7"/>
        <v>435563</v>
      </c>
      <c r="L17" s="412">
        <f t="shared" si="8"/>
        <v>1537223</v>
      </c>
      <c r="M17" s="682"/>
    </row>
    <row r="18" spans="1:13" ht="27.95" customHeight="1">
      <c r="A18" s="1184" t="s">
        <v>1693</v>
      </c>
      <c r="B18" s="1185"/>
      <c r="C18" s="1185">
        <v>81349</v>
      </c>
      <c r="D18" s="412">
        <f t="shared" si="9"/>
        <v>9439</v>
      </c>
      <c r="E18" s="412">
        <f t="shared" si="10"/>
        <v>2433862</v>
      </c>
      <c r="F18" s="412"/>
      <c r="G18" s="412"/>
      <c r="H18" s="412">
        <f>C18</f>
        <v>81349</v>
      </c>
      <c r="I18" s="412"/>
      <c r="J18" s="412">
        <f t="shared" si="11"/>
        <v>815290</v>
      </c>
      <c r="K18" s="412">
        <f t="shared" si="7"/>
        <v>516912</v>
      </c>
      <c r="L18" s="412">
        <f t="shared" si="8"/>
        <v>1618572</v>
      </c>
      <c r="M18" s="682"/>
    </row>
    <row r="19" spans="1:13" ht="27.95" customHeight="1">
      <c r="A19" s="324">
        <v>42736</v>
      </c>
      <c r="B19" s="412">
        <v>2283.5</v>
      </c>
      <c r="C19" s="412">
        <v>676655</v>
      </c>
      <c r="D19" s="412">
        <f t="shared" si="9"/>
        <v>11722.5</v>
      </c>
      <c r="E19" s="412">
        <f t="shared" si="10"/>
        <v>3110517</v>
      </c>
      <c r="F19" s="412"/>
      <c r="G19" s="412">
        <f t="shared" ref="G19:G26" si="12">C19</f>
        <v>676655</v>
      </c>
      <c r="H19" s="412">
        <f>C15</f>
        <v>672185</v>
      </c>
      <c r="I19" s="412">
        <f>414800+672100</f>
        <v>1086900</v>
      </c>
      <c r="J19" s="412">
        <f t="shared" si="11"/>
        <v>1902190</v>
      </c>
      <c r="K19" s="412">
        <f t="shared" si="7"/>
        <v>102197</v>
      </c>
      <c r="L19" s="412">
        <f t="shared" si="8"/>
        <v>1208327</v>
      </c>
      <c r="M19" s="682" t="s">
        <v>1694</v>
      </c>
    </row>
    <row r="20" spans="1:13" ht="27.95" customHeight="1">
      <c r="A20" s="324">
        <v>42767</v>
      </c>
      <c r="B20" s="412">
        <v>610.5</v>
      </c>
      <c r="C20" s="412">
        <v>180465</v>
      </c>
      <c r="D20" s="412">
        <f t="shared" si="9"/>
        <v>12333</v>
      </c>
      <c r="E20" s="412">
        <f t="shared" si="10"/>
        <v>3290982</v>
      </c>
      <c r="F20" s="412"/>
      <c r="G20" s="412">
        <f t="shared" si="12"/>
        <v>180465</v>
      </c>
      <c r="H20" s="412">
        <f>C16</f>
        <v>429475</v>
      </c>
      <c r="I20" s="412"/>
      <c r="J20" s="412">
        <f t="shared" si="11"/>
        <v>1902190</v>
      </c>
      <c r="K20" s="412">
        <f t="shared" si="7"/>
        <v>531672</v>
      </c>
      <c r="L20" s="412">
        <f t="shared" si="8"/>
        <v>1388792</v>
      </c>
      <c r="M20" s="682"/>
    </row>
    <row r="21" spans="1:13" ht="27.95" customHeight="1">
      <c r="A21" s="324">
        <v>42795</v>
      </c>
      <c r="B21" s="412">
        <v>1716.5</v>
      </c>
      <c r="C21" s="412">
        <v>503760</v>
      </c>
      <c r="D21" s="412">
        <f t="shared" si="9"/>
        <v>14049.5</v>
      </c>
      <c r="E21" s="412">
        <f t="shared" si="10"/>
        <v>3794742</v>
      </c>
      <c r="F21" s="412"/>
      <c r="G21" s="412">
        <f t="shared" si="12"/>
        <v>503760</v>
      </c>
      <c r="H21" s="412">
        <f>C19</f>
        <v>676655</v>
      </c>
      <c r="I21" s="412"/>
      <c r="J21" s="412">
        <f t="shared" si="11"/>
        <v>1902190</v>
      </c>
      <c r="K21" s="412">
        <f t="shared" si="7"/>
        <v>1208327</v>
      </c>
      <c r="L21" s="412">
        <f t="shared" si="8"/>
        <v>1892552</v>
      </c>
      <c r="M21" s="682" t="s">
        <v>1695</v>
      </c>
    </row>
    <row r="22" spans="1:13" ht="27.95" customHeight="1">
      <c r="A22" s="324">
        <v>42826</v>
      </c>
      <c r="B22" s="412">
        <v>1307.5</v>
      </c>
      <c r="C22" s="412">
        <v>362380</v>
      </c>
      <c r="D22" s="412">
        <f t="shared" si="9"/>
        <v>15357</v>
      </c>
      <c r="E22" s="412">
        <f t="shared" si="10"/>
        <v>4157122</v>
      </c>
      <c r="F22" s="412"/>
      <c r="G22" s="412">
        <f t="shared" si="12"/>
        <v>362380</v>
      </c>
      <c r="H22" s="412">
        <f t="shared" ref="H22:H27" si="13">C20</f>
        <v>180465</v>
      </c>
      <c r="I22" s="412">
        <v>429400</v>
      </c>
      <c r="J22" s="412">
        <f t="shared" si="11"/>
        <v>2331590</v>
      </c>
      <c r="K22" s="412">
        <f t="shared" si="7"/>
        <v>959392</v>
      </c>
      <c r="L22" s="412">
        <f t="shared" si="8"/>
        <v>1825532</v>
      </c>
      <c r="M22" s="682"/>
    </row>
    <row r="23" spans="1:13" ht="27.95" customHeight="1">
      <c r="A23" s="324">
        <v>42856</v>
      </c>
      <c r="B23" s="412">
        <v>885.5</v>
      </c>
      <c r="C23" s="412">
        <v>242062.5</v>
      </c>
      <c r="D23" s="412">
        <f t="shared" si="9"/>
        <v>16242.5</v>
      </c>
      <c r="E23" s="412">
        <f t="shared" si="10"/>
        <v>4399184.5</v>
      </c>
      <c r="F23" s="412"/>
      <c r="G23" s="412">
        <f t="shared" si="12"/>
        <v>242062.5</v>
      </c>
      <c r="H23" s="412">
        <f t="shared" si="13"/>
        <v>503760</v>
      </c>
      <c r="I23" s="412">
        <v>676600</v>
      </c>
      <c r="J23" s="412">
        <f t="shared" si="11"/>
        <v>3008190</v>
      </c>
      <c r="K23" s="412">
        <f t="shared" si="7"/>
        <v>786552</v>
      </c>
      <c r="L23" s="412">
        <f t="shared" si="8"/>
        <v>1390994.5</v>
      </c>
      <c r="M23" s="682" t="s">
        <v>1696</v>
      </c>
    </row>
    <row r="24" spans="1:13" ht="27.95" customHeight="1">
      <c r="A24" s="324">
        <v>42887</v>
      </c>
      <c r="B24" s="412">
        <v>491.5</v>
      </c>
      <c r="C24" s="412">
        <v>133985.70000000001</v>
      </c>
      <c r="D24" s="412">
        <f t="shared" si="9"/>
        <v>16734</v>
      </c>
      <c r="E24" s="412">
        <f t="shared" si="10"/>
        <v>4533170.2</v>
      </c>
      <c r="F24" s="412"/>
      <c r="G24" s="412">
        <f t="shared" si="12"/>
        <v>133985.70000000001</v>
      </c>
      <c r="H24" s="412">
        <f t="shared" si="13"/>
        <v>362380</v>
      </c>
      <c r="I24" s="412">
        <v>684225</v>
      </c>
      <c r="J24" s="412">
        <f t="shared" si="11"/>
        <v>3692415</v>
      </c>
      <c r="K24" s="412">
        <f t="shared" si="7"/>
        <v>464707</v>
      </c>
      <c r="L24" s="412">
        <f t="shared" si="8"/>
        <v>840755.20000000019</v>
      </c>
      <c r="M24" s="682"/>
    </row>
    <row r="25" spans="1:13" ht="27.95" customHeight="1">
      <c r="A25" s="324">
        <v>42917</v>
      </c>
      <c r="B25" s="412">
        <v>768.5</v>
      </c>
      <c r="C25" s="412">
        <v>196107.5</v>
      </c>
      <c r="D25" s="412">
        <f t="shared" si="9"/>
        <v>17502.5</v>
      </c>
      <c r="E25" s="412">
        <f t="shared" si="10"/>
        <v>4729277.7</v>
      </c>
      <c r="F25" s="412"/>
      <c r="G25" s="412">
        <f t="shared" si="12"/>
        <v>196107.5</v>
      </c>
      <c r="H25" s="412">
        <f t="shared" si="13"/>
        <v>242062.5</v>
      </c>
      <c r="I25" s="412"/>
      <c r="J25" s="412">
        <f t="shared" si="11"/>
        <v>3692415</v>
      </c>
      <c r="K25" s="412">
        <f t="shared" si="7"/>
        <v>706769.5</v>
      </c>
      <c r="L25" s="412">
        <f t="shared" si="8"/>
        <v>1036862.7000000002</v>
      </c>
      <c r="M25" s="682" t="s">
        <v>1697</v>
      </c>
    </row>
    <row r="26" spans="1:13" ht="27.95" customHeight="1">
      <c r="A26" s="324">
        <v>42948</v>
      </c>
      <c r="B26" s="412">
        <v>202.5</v>
      </c>
      <c r="C26" s="412">
        <v>50632.5</v>
      </c>
      <c r="D26" s="412">
        <f t="shared" si="9"/>
        <v>17705</v>
      </c>
      <c r="E26" s="412">
        <f t="shared" si="10"/>
        <v>4779910.2</v>
      </c>
      <c r="F26" s="412"/>
      <c r="G26" s="412">
        <f t="shared" si="12"/>
        <v>50632.5</v>
      </c>
      <c r="H26" s="412">
        <f t="shared" si="13"/>
        <v>133985.70000000001</v>
      </c>
      <c r="I26" s="412">
        <v>706300</v>
      </c>
      <c r="J26" s="412">
        <f t="shared" si="11"/>
        <v>4398715</v>
      </c>
      <c r="K26" s="412">
        <f t="shared" si="7"/>
        <v>134455.19999999995</v>
      </c>
      <c r="L26" s="412">
        <f t="shared" si="8"/>
        <v>381195.20000000019</v>
      </c>
      <c r="M26" s="682"/>
    </row>
    <row r="27" spans="1:13" ht="27.95" customHeight="1">
      <c r="A27" s="324"/>
      <c r="B27" s="412"/>
      <c r="C27" s="412"/>
      <c r="D27" s="412"/>
      <c r="E27" s="412"/>
      <c r="F27" s="412"/>
      <c r="G27" s="412"/>
      <c r="H27" s="412">
        <f t="shared" si="13"/>
        <v>196107.5</v>
      </c>
      <c r="I27" s="412"/>
      <c r="J27" s="412"/>
      <c r="K27" s="412">
        <f t="shared" si="7"/>
        <v>330562.69999999995</v>
      </c>
      <c r="L27" s="412"/>
      <c r="M27" s="682"/>
    </row>
    <row r="28" spans="1:13" ht="27.95" customHeight="1">
      <c r="A28" s="324"/>
      <c r="B28" s="412"/>
      <c r="C28" s="412"/>
      <c r="D28" s="412"/>
      <c r="E28" s="412"/>
      <c r="F28" s="412"/>
      <c r="G28" s="412"/>
      <c r="H28" s="412"/>
      <c r="I28" s="412"/>
      <c r="J28" s="412"/>
      <c r="K28" s="412"/>
      <c r="L28" s="412"/>
      <c r="M28" s="682"/>
    </row>
    <row r="29" spans="1:13" ht="27.95" customHeight="1">
      <c r="A29" s="324"/>
      <c r="B29" s="412"/>
      <c r="C29" s="412"/>
      <c r="D29" s="412"/>
      <c r="E29" s="412"/>
      <c r="F29" s="412"/>
      <c r="G29" s="412"/>
      <c r="H29" s="412"/>
      <c r="I29" s="412"/>
      <c r="J29" s="412"/>
      <c r="K29" s="412"/>
      <c r="L29" s="412"/>
      <c r="M29" s="682"/>
    </row>
    <row r="30" spans="1:13" ht="27.95" customHeight="1">
      <c r="A30" s="324"/>
      <c r="B30" s="412"/>
      <c r="C30" s="412"/>
      <c r="D30" s="412"/>
      <c r="E30" s="412"/>
      <c r="F30" s="412"/>
      <c r="G30" s="412"/>
      <c r="H30" s="412"/>
      <c r="I30" s="412"/>
      <c r="J30" s="412"/>
      <c r="K30" s="412"/>
      <c r="L30" s="412"/>
      <c r="M30" s="682"/>
    </row>
    <row r="31" spans="1:13" ht="27.95" customHeight="1">
      <c r="A31" s="324"/>
      <c r="B31" s="412"/>
      <c r="C31" s="412"/>
      <c r="D31" s="412"/>
      <c r="E31" s="412"/>
      <c r="F31" s="412"/>
      <c r="G31" s="412"/>
      <c r="H31" s="412"/>
      <c r="I31" s="412"/>
      <c r="J31" s="412"/>
      <c r="K31" s="412"/>
      <c r="L31" s="412"/>
      <c r="M31" s="682"/>
    </row>
    <row r="32" spans="1:13" ht="27.95" customHeight="1">
      <c r="A32" s="324"/>
      <c r="B32" s="412"/>
      <c r="C32" s="412"/>
      <c r="D32" s="412"/>
      <c r="E32" s="412"/>
      <c r="F32" s="412"/>
      <c r="G32" s="412"/>
      <c r="H32" s="412"/>
      <c r="I32" s="412"/>
      <c r="J32" s="412"/>
      <c r="K32" s="412"/>
      <c r="L32" s="412"/>
      <c r="M32" s="682"/>
    </row>
    <row r="33" spans="1:13" ht="27.95" customHeight="1">
      <c r="A33" s="324"/>
      <c r="B33" s="412"/>
      <c r="C33" s="412"/>
      <c r="D33" s="412"/>
      <c r="E33" s="412"/>
      <c r="F33" s="412"/>
      <c r="G33" s="412"/>
      <c r="H33" s="412"/>
      <c r="I33" s="412"/>
      <c r="J33" s="412"/>
      <c r="K33" s="412"/>
      <c r="L33" s="412"/>
      <c r="M33" s="682"/>
    </row>
    <row r="44" spans="1:13" ht="17.100000000000001" customHeight="1"/>
  </sheetData>
  <mergeCells count="13">
    <mergeCell ref="B3:C3"/>
    <mergeCell ref="B4:F4"/>
    <mergeCell ref="G4:J4"/>
    <mergeCell ref="K4:M4"/>
    <mergeCell ref="B5:C5"/>
    <mergeCell ref="D5:F5"/>
    <mergeCell ref="G5:J5"/>
    <mergeCell ref="F1:G1"/>
    <mergeCell ref="I1:K1"/>
    <mergeCell ref="L1:M1"/>
    <mergeCell ref="B2:C2"/>
    <mergeCell ref="H2:I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M18"/>
  <sheetViews>
    <sheetView topLeftCell="A7" zoomScaleSheetLayoutView="100" workbookViewId="0">
      <selection activeCell="B15" sqref="B15:M15"/>
    </sheetView>
  </sheetViews>
  <sheetFormatPr defaultColWidth="9" defaultRowHeight="14.25"/>
  <cols>
    <col min="1" max="1" width="15.2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19.75" customWidth="1"/>
    <col min="12" max="12" width="13.875" customWidth="1"/>
    <col min="13" max="13" width="30.125" customWidth="1"/>
  </cols>
  <sheetData>
    <row r="1" spans="1:13" ht="63" customHeight="1">
      <c r="A1" s="34" t="s">
        <v>556</v>
      </c>
      <c r="B1" s="176" t="s">
        <v>1698</v>
      </c>
      <c r="C1" s="1124" t="s">
        <v>1699</v>
      </c>
      <c r="D1" s="1124" t="s">
        <v>1700</v>
      </c>
      <c r="E1" s="38" t="s">
        <v>236</v>
      </c>
      <c r="F1" s="1893" t="s">
        <v>1698</v>
      </c>
      <c r="G1" s="1790"/>
      <c r="H1" s="1126" t="s">
        <v>237</v>
      </c>
      <c r="I1" s="1633" t="s">
        <v>1701</v>
      </c>
      <c r="J1" s="1633"/>
      <c r="K1" s="1633"/>
      <c r="L1" s="1904" t="s">
        <v>1702</v>
      </c>
      <c r="M1" s="1812"/>
    </row>
    <row r="2" spans="1:13" ht="72" customHeight="1">
      <c r="A2" s="39" t="s">
        <v>240</v>
      </c>
      <c r="B2" s="1637" t="s">
        <v>1703</v>
      </c>
      <c r="C2" s="1637"/>
      <c r="D2" s="41" t="s">
        <v>242</v>
      </c>
      <c r="E2" s="1832"/>
      <c r="F2" s="1833"/>
      <c r="G2" s="40" t="s">
        <v>1561</v>
      </c>
      <c r="H2" s="40" t="s">
        <v>425</v>
      </c>
      <c r="I2" s="1772" t="s">
        <v>1704</v>
      </c>
      <c r="J2" s="1773"/>
      <c r="K2" s="1773"/>
      <c r="L2" s="1773"/>
      <c r="M2" s="1905"/>
    </row>
    <row r="3" spans="1:13" ht="57.95" customHeight="1">
      <c r="A3" s="39" t="s">
        <v>247</v>
      </c>
      <c r="B3" s="1637" t="s">
        <v>1705</v>
      </c>
      <c r="C3" s="1637"/>
      <c r="D3" s="41" t="s">
        <v>249</v>
      </c>
      <c r="E3" s="40">
        <f>264+260+6227</f>
        <v>6751</v>
      </c>
      <c r="F3" s="40" t="s">
        <v>1706</v>
      </c>
      <c r="G3" s="40" t="s">
        <v>1707</v>
      </c>
      <c r="H3" s="177"/>
      <c r="I3" s="531" t="s">
        <v>243</v>
      </c>
      <c r="J3" s="1866" t="s">
        <v>421</v>
      </c>
      <c r="K3" s="1675"/>
      <c r="L3" s="1131" t="s">
        <v>245</v>
      </c>
      <c r="M3" s="1182" t="s">
        <v>1339</v>
      </c>
    </row>
    <row r="4" spans="1:13" ht="72" customHeight="1">
      <c r="A4" s="1127" t="s">
        <v>260</v>
      </c>
      <c r="B4" s="1764" t="s">
        <v>1708</v>
      </c>
      <c r="C4" s="1764"/>
      <c r="D4" s="1764"/>
      <c r="E4" s="1764"/>
      <c r="F4" s="1764"/>
      <c r="G4" s="1896" t="s">
        <v>1709</v>
      </c>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t="s">
        <v>1710</v>
      </c>
      <c r="B7" s="412">
        <v>2754</v>
      </c>
      <c r="C7" s="412">
        <v>736035</v>
      </c>
      <c r="D7" s="412">
        <f>B7</f>
        <v>2754</v>
      </c>
      <c r="E7" s="412">
        <f>C7</f>
        <v>736035</v>
      </c>
      <c r="F7" s="412"/>
      <c r="G7" s="412">
        <f t="shared" ref="G7:G13" si="0">C7</f>
        <v>736035</v>
      </c>
      <c r="H7" s="412"/>
      <c r="I7" s="412"/>
      <c r="J7" s="412"/>
      <c r="K7" s="412"/>
      <c r="L7" s="412">
        <f t="shared" ref="L7:L13" si="1">E7-J7</f>
        <v>736035</v>
      </c>
      <c r="M7" s="682"/>
    </row>
    <row r="8" spans="1:13" ht="27.95" customHeight="1">
      <c r="A8" s="324" t="s">
        <v>1711</v>
      </c>
      <c r="B8" s="412">
        <v>1715</v>
      </c>
      <c r="C8" s="412">
        <v>444305</v>
      </c>
      <c r="D8" s="412">
        <f t="shared" ref="D8:D13" si="2">D7+B8</f>
        <v>4469</v>
      </c>
      <c r="E8" s="412">
        <f t="shared" ref="E8:E13" si="3">E7+C8</f>
        <v>1180340</v>
      </c>
      <c r="F8" s="412"/>
      <c r="G8" s="412">
        <f t="shared" si="0"/>
        <v>444305</v>
      </c>
      <c r="H8" s="412"/>
      <c r="I8" s="412"/>
      <c r="J8" s="412"/>
      <c r="K8" s="412">
        <f t="shared" ref="K8:K14" si="4">K7+H8-I8</f>
        <v>0</v>
      </c>
      <c r="L8" s="412">
        <f t="shared" si="1"/>
        <v>1180340</v>
      </c>
      <c r="M8" s="682"/>
    </row>
    <row r="9" spans="1:13" ht="27.95" customHeight="1">
      <c r="A9" s="324" t="s">
        <v>1712</v>
      </c>
      <c r="B9" s="412">
        <v>0</v>
      </c>
      <c r="C9" s="412">
        <v>0</v>
      </c>
      <c r="D9" s="412">
        <f t="shared" si="2"/>
        <v>4469</v>
      </c>
      <c r="E9" s="412">
        <f t="shared" si="3"/>
        <v>1180340</v>
      </c>
      <c r="F9" s="412"/>
      <c r="G9" s="412">
        <f t="shared" si="0"/>
        <v>0</v>
      </c>
      <c r="H9" s="412">
        <f t="shared" ref="H9:H14" si="5">C7</f>
        <v>736035</v>
      </c>
      <c r="I9" s="412">
        <v>735835</v>
      </c>
      <c r="J9" s="412">
        <f>I9</f>
        <v>735835</v>
      </c>
      <c r="K9" s="412">
        <f t="shared" si="4"/>
        <v>200</v>
      </c>
      <c r="L9" s="412">
        <f t="shared" si="1"/>
        <v>444505</v>
      </c>
      <c r="M9" s="682" t="s">
        <v>1713</v>
      </c>
    </row>
    <row r="10" spans="1:13" ht="27.95" customHeight="1">
      <c r="A10" s="324" t="s">
        <v>1714</v>
      </c>
      <c r="B10" s="412">
        <v>811.5</v>
      </c>
      <c r="C10" s="412">
        <v>206932.5</v>
      </c>
      <c r="D10" s="412">
        <f t="shared" si="2"/>
        <v>5280.5</v>
      </c>
      <c r="E10" s="412">
        <f t="shared" si="3"/>
        <v>1387272.5</v>
      </c>
      <c r="F10" s="412"/>
      <c r="G10" s="412">
        <f t="shared" si="0"/>
        <v>206932.5</v>
      </c>
      <c r="H10" s="412">
        <f t="shared" si="5"/>
        <v>444305</v>
      </c>
      <c r="I10" s="412">
        <v>444305</v>
      </c>
      <c r="J10" s="412">
        <f>J9+I10</f>
        <v>1180140</v>
      </c>
      <c r="K10" s="412">
        <f t="shared" si="4"/>
        <v>200</v>
      </c>
      <c r="L10" s="412">
        <f t="shared" si="1"/>
        <v>207132.5</v>
      </c>
      <c r="M10" s="682" t="s">
        <v>1715</v>
      </c>
    </row>
    <row r="11" spans="1:13" ht="27.95" customHeight="1">
      <c r="A11" s="324" t="s">
        <v>1716</v>
      </c>
      <c r="B11" s="412">
        <v>8</v>
      </c>
      <c r="C11" s="412">
        <v>1800</v>
      </c>
      <c r="D11" s="412">
        <f t="shared" si="2"/>
        <v>5288.5</v>
      </c>
      <c r="E11" s="412">
        <f t="shared" si="3"/>
        <v>1389072.5</v>
      </c>
      <c r="F11" s="412"/>
      <c r="G11" s="412">
        <f t="shared" si="0"/>
        <v>1800</v>
      </c>
      <c r="H11" s="412">
        <f t="shared" si="5"/>
        <v>0</v>
      </c>
      <c r="I11" s="412">
        <v>206932.5</v>
      </c>
      <c r="J11" s="412">
        <f>J10+I11</f>
        <v>1387072.5</v>
      </c>
      <c r="K11" s="412">
        <f t="shared" si="4"/>
        <v>-206732.5</v>
      </c>
      <c r="L11" s="412">
        <f t="shared" si="1"/>
        <v>2000</v>
      </c>
      <c r="M11" s="682" t="s">
        <v>1717</v>
      </c>
    </row>
    <row r="12" spans="1:13" ht="27" customHeight="1">
      <c r="A12" s="324" t="s">
        <v>433</v>
      </c>
      <c r="B12" s="412">
        <v>0</v>
      </c>
      <c r="C12" s="412">
        <v>13505.360000000015</v>
      </c>
      <c r="D12" s="412">
        <f t="shared" si="2"/>
        <v>5288.5</v>
      </c>
      <c r="E12" s="412">
        <f t="shared" si="3"/>
        <v>1402577.86</v>
      </c>
      <c r="F12" s="412"/>
      <c r="G12" s="412">
        <f t="shared" si="0"/>
        <v>13505.360000000015</v>
      </c>
      <c r="H12" s="412">
        <f t="shared" si="5"/>
        <v>206932.5</v>
      </c>
      <c r="I12" s="412">
        <v>1800</v>
      </c>
      <c r="J12" s="412">
        <f>J11+I12</f>
        <v>1388872.5</v>
      </c>
      <c r="K12" s="412">
        <f t="shared" si="4"/>
        <v>-1600</v>
      </c>
      <c r="L12" s="412">
        <f t="shared" si="1"/>
        <v>13705.360000000102</v>
      </c>
      <c r="M12" s="682" t="s">
        <v>1718</v>
      </c>
    </row>
    <row r="13" spans="1:13" ht="27.95" customHeight="1">
      <c r="A13" s="324" t="s">
        <v>672</v>
      </c>
      <c r="B13" s="412"/>
      <c r="C13" s="412">
        <v>32221.489999999907</v>
      </c>
      <c r="D13" s="412">
        <f t="shared" si="2"/>
        <v>5288.5</v>
      </c>
      <c r="E13" s="412">
        <f t="shared" si="3"/>
        <v>1434799.35</v>
      </c>
      <c r="F13" s="412"/>
      <c r="G13" s="412">
        <f t="shared" si="0"/>
        <v>32221.489999999907</v>
      </c>
      <c r="H13" s="412">
        <f t="shared" si="5"/>
        <v>1800</v>
      </c>
      <c r="I13" s="412"/>
      <c r="J13" s="412">
        <f>J12+I13</f>
        <v>1388872.5</v>
      </c>
      <c r="K13" s="412">
        <f t="shared" si="4"/>
        <v>200</v>
      </c>
      <c r="L13" s="412">
        <f t="shared" si="1"/>
        <v>45926.850000000093</v>
      </c>
      <c r="M13" s="682"/>
    </row>
    <row r="14" spans="1:13" ht="27.95" customHeight="1">
      <c r="A14" s="324"/>
      <c r="B14" s="412"/>
      <c r="C14" s="412"/>
      <c r="D14" s="412"/>
      <c r="E14" s="412"/>
      <c r="F14" s="412"/>
      <c r="G14" s="412"/>
      <c r="H14" s="412">
        <f t="shared" si="5"/>
        <v>13505.360000000015</v>
      </c>
      <c r="I14" s="412"/>
      <c r="J14" s="412"/>
      <c r="K14" s="412">
        <f t="shared" si="4"/>
        <v>13705.360000000015</v>
      </c>
      <c r="L14" s="412"/>
      <c r="M14" s="682"/>
    </row>
    <row r="15" spans="1:13" ht="27.95" customHeight="1">
      <c r="A15" s="324">
        <v>42979</v>
      </c>
      <c r="B15" s="412"/>
      <c r="C15" s="412">
        <v>32221.489999999907</v>
      </c>
      <c r="D15" s="412">
        <v>5288.5</v>
      </c>
      <c r="E15" s="412">
        <v>1434799.35</v>
      </c>
      <c r="F15" s="412"/>
      <c r="G15" s="412">
        <v>32221.489999999907</v>
      </c>
      <c r="H15" s="412">
        <v>1800</v>
      </c>
      <c r="I15" s="412"/>
      <c r="J15" s="412">
        <v>1388872.5</v>
      </c>
      <c r="K15" s="412">
        <v>200</v>
      </c>
      <c r="L15" s="412">
        <v>45926.850000000093</v>
      </c>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6"/>
  <sheetViews>
    <sheetView topLeftCell="A16" zoomScaleSheetLayoutView="100" workbookViewId="0">
      <selection activeCell="A24" sqref="A24"/>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117" customHeight="1">
      <c r="A1" s="34" t="s">
        <v>556</v>
      </c>
      <c r="B1" s="176" t="s">
        <v>499</v>
      </c>
      <c r="C1" s="38" t="s">
        <v>1719</v>
      </c>
      <c r="D1" s="1124" t="s">
        <v>1720</v>
      </c>
      <c r="E1" s="38" t="s">
        <v>236</v>
      </c>
      <c r="F1" s="1893"/>
      <c r="G1" s="1790"/>
      <c r="H1" s="1126" t="s">
        <v>237</v>
      </c>
      <c r="I1" s="1633" t="s">
        <v>1721</v>
      </c>
      <c r="J1" s="1633"/>
      <c r="K1" s="1633"/>
      <c r="L1" s="1904" t="s">
        <v>1722</v>
      </c>
      <c r="M1" s="1812"/>
    </row>
    <row r="2" spans="1:13" ht="65.099999999999994" customHeight="1">
      <c r="A2" s="39" t="s">
        <v>240</v>
      </c>
      <c r="B2" s="1637" t="s">
        <v>1723</v>
      </c>
      <c r="C2" s="1637"/>
      <c r="D2" s="41" t="s">
        <v>242</v>
      </c>
      <c r="E2" s="1832"/>
      <c r="F2" s="1833"/>
      <c r="G2" s="90" t="s">
        <v>1561</v>
      </c>
      <c r="H2" s="68" t="s">
        <v>1724</v>
      </c>
      <c r="I2" s="531" t="s">
        <v>243</v>
      </c>
      <c r="J2" s="1866" t="s">
        <v>421</v>
      </c>
      <c r="K2" s="1675"/>
      <c r="L2" s="1131" t="s">
        <v>245</v>
      </c>
      <c r="M2" s="1132" t="s">
        <v>1725</v>
      </c>
    </row>
    <row r="3" spans="1:13" ht="57.95" customHeight="1">
      <c r="A3" s="39" t="s">
        <v>247</v>
      </c>
      <c r="B3" s="1637" t="s">
        <v>1726</v>
      </c>
      <c r="C3" s="1637"/>
      <c r="D3" s="41" t="s">
        <v>249</v>
      </c>
      <c r="E3" s="40">
        <v>15000</v>
      </c>
      <c r="F3" s="41" t="s">
        <v>251</v>
      </c>
      <c r="G3" s="40" t="s">
        <v>1727</v>
      </c>
      <c r="H3" s="177" t="s">
        <v>252</v>
      </c>
      <c r="I3" s="1170">
        <v>15889249698</v>
      </c>
      <c r="J3" s="91" t="s">
        <v>253</v>
      </c>
      <c r="K3" s="1133" t="s">
        <v>1728</v>
      </c>
      <c r="L3" s="15" t="s">
        <v>1469</v>
      </c>
      <c r="M3" s="92" t="s">
        <v>1728</v>
      </c>
    </row>
    <row r="4" spans="1:13" ht="45" customHeight="1">
      <c r="A4" s="1127" t="s">
        <v>260</v>
      </c>
      <c r="B4" s="1764" t="s">
        <v>1729</v>
      </c>
      <c r="C4" s="1764"/>
      <c r="D4" s="1764"/>
      <c r="E4" s="1764"/>
      <c r="F4" s="1764"/>
      <c r="G4" s="1895" t="s">
        <v>1730</v>
      </c>
      <c r="H4" s="1895"/>
      <c r="I4" s="1895"/>
      <c r="J4" s="1895"/>
      <c r="K4" s="1910" t="s">
        <v>1289</v>
      </c>
      <c r="L4" s="1910"/>
      <c r="M4" s="1911"/>
    </row>
    <row r="5" spans="1:13" ht="36" customHeight="1">
      <c r="A5" s="39" t="s">
        <v>258</v>
      </c>
      <c r="B5" s="1890"/>
      <c r="C5" s="1891"/>
      <c r="D5" s="1890"/>
      <c r="E5" s="1892"/>
      <c r="F5" s="1892"/>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42430</v>
      </c>
      <c r="B7" s="412">
        <v>267</v>
      </c>
      <c r="C7" s="412">
        <v>61055</v>
      </c>
      <c r="D7" s="412">
        <f>B7</f>
        <v>267</v>
      </c>
      <c r="E7" s="412">
        <f>C7</f>
        <v>61055</v>
      </c>
      <c r="F7" s="412"/>
      <c r="G7" s="412"/>
      <c r="H7" s="412"/>
      <c r="I7" s="412">
        <v>100000</v>
      </c>
      <c r="J7" s="412">
        <f>I7</f>
        <v>100000</v>
      </c>
      <c r="K7" s="412"/>
      <c r="L7" s="412">
        <f>E7-J7</f>
        <v>-38945</v>
      </c>
      <c r="M7" s="682" t="s">
        <v>1731</v>
      </c>
    </row>
    <row r="8" spans="1:13" ht="27.95" customHeight="1">
      <c r="A8" s="324">
        <v>42461</v>
      </c>
      <c r="B8" s="412">
        <v>1374</v>
      </c>
      <c r="C8" s="412">
        <v>324920</v>
      </c>
      <c r="D8" s="412">
        <f t="shared" ref="D8:D23" si="0">D7+B8</f>
        <v>1641</v>
      </c>
      <c r="E8" s="412">
        <f t="shared" ref="E8:E23" si="1">E7+C8</f>
        <v>385975</v>
      </c>
      <c r="F8" s="412"/>
      <c r="G8" s="412"/>
      <c r="H8" s="412"/>
      <c r="I8" s="412">
        <v>400000</v>
      </c>
      <c r="J8" s="412">
        <f t="shared" ref="J8:J23" si="2">I8+J7</f>
        <v>500000</v>
      </c>
      <c r="K8" s="412"/>
      <c r="L8" s="412">
        <f t="shared" ref="L8:L23" si="3">E8-J8</f>
        <v>-114025</v>
      </c>
      <c r="M8" s="682" t="s">
        <v>1732</v>
      </c>
    </row>
    <row r="9" spans="1:13" ht="27.95" customHeight="1">
      <c r="A9" s="324">
        <v>42491</v>
      </c>
      <c r="B9" s="412">
        <v>1466</v>
      </c>
      <c r="C9" s="412">
        <v>344545</v>
      </c>
      <c r="D9" s="412">
        <f t="shared" si="0"/>
        <v>3107</v>
      </c>
      <c r="E9" s="412">
        <f t="shared" si="1"/>
        <v>730520</v>
      </c>
      <c r="F9" s="412"/>
      <c r="G9" s="412"/>
      <c r="H9" s="412"/>
      <c r="I9" s="412">
        <v>270000</v>
      </c>
      <c r="J9" s="412">
        <f t="shared" si="2"/>
        <v>770000</v>
      </c>
      <c r="K9" s="412"/>
      <c r="L9" s="412">
        <f t="shared" si="3"/>
        <v>-39480</v>
      </c>
      <c r="M9" s="682" t="s">
        <v>1733</v>
      </c>
    </row>
    <row r="10" spans="1:13" ht="27.95" customHeight="1">
      <c r="A10" s="324">
        <v>42522</v>
      </c>
      <c r="B10" s="412">
        <v>1429</v>
      </c>
      <c r="C10" s="412">
        <v>333002.5</v>
      </c>
      <c r="D10" s="412">
        <f t="shared" si="0"/>
        <v>4536</v>
      </c>
      <c r="E10" s="412">
        <f t="shared" si="1"/>
        <v>1063522.5</v>
      </c>
      <c r="F10" s="412"/>
      <c r="G10" s="412"/>
      <c r="H10" s="412"/>
      <c r="I10" s="412">
        <v>400000</v>
      </c>
      <c r="J10" s="412">
        <f t="shared" si="2"/>
        <v>1170000</v>
      </c>
      <c r="K10" s="412"/>
      <c r="L10" s="412">
        <f t="shared" si="3"/>
        <v>-106477.5</v>
      </c>
      <c r="M10" s="682" t="s">
        <v>1734</v>
      </c>
    </row>
    <row r="11" spans="1:13" ht="27.95" customHeight="1">
      <c r="A11" s="324">
        <v>42552</v>
      </c>
      <c r="B11" s="412">
        <v>1190</v>
      </c>
      <c r="C11" s="412">
        <v>281095</v>
      </c>
      <c r="D11" s="412">
        <f t="shared" si="0"/>
        <v>5726</v>
      </c>
      <c r="E11" s="412">
        <f t="shared" si="1"/>
        <v>1344617.5</v>
      </c>
      <c r="F11" s="412"/>
      <c r="G11" s="412"/>
      <c r="H11" s="412"/>
      <c r="I11" s="412">
        <v>150000</v>
      </c>
      <c r="J11" s="412">
        <f t="shared" si="2"/>
        <v>1320000</v>
      </c>
      <c r="K11" s="412"/>
      <c r="L11" s="412">
        <f t="shared" si="3"/>
        <v>24617.5</v>
      </c>
      <c r="M11" s="682" t="s">
        <v>1735</v>
      </c>
    </row>
    <row r="12" spans="1:13" ht="27.95" customHeight="1">
      <c r="A12" s="324">
        <v>42583</v>
      </c>
      <c r="B12" s="412">
        <v>887</v>
      </c>
      <c r="C12" s="412">
        <v>215502.5</v>
      </c>
      <c r="D12" s="412">
        <f t="shared" si="0"/>
        <v>6613</v>
      </c>
      <c r="E12" s="412">
        <f t="shared" si="1"/>
        <v>1560120</v>
      </c>
      <c r="F12" s="412"/>
      <c r="G12" s="412"/>
      <c r="H12" s="412"/>
      <c r="I12" s="412">
        <v>200000</v>
      </c>
      <c r="J12" s="412">
        <f t="shared" si="2"/>
        <v>1520000</v>
      </c>
      <c r="K12" s="412"/>
      <c r="L12" s="412">
        <f t="shared" si="3"/>
        <v>40120</v>
      </c>
      <c r="M12" s="682" t="s">
        <v>1736</v>
      </c>
    </row>
    <row r="13" spans="1:13" ht="27.95" customHeight="1">
      <c r="A13" s="324">
        <v>42614</v>
      </c>
      <c r="B13" s="412">
        <v>698</v>
      </c>
      <c r="C13" s="412">
        <v>172157.5</v>
      </c>
      <c r="D13" s="412">
        <f t="shared" si="0"/>
        <v>7311</v>
      </c>
      <c r="E13" s="412">
        <f t="shared" si="1"/>
        <v>1732277.5</v>
      </c>
      <c r="F13" s="412"/>
      <c r="G13" s="412"/>
      <c r="H13" s="412"/>
      <c r="I13" s="412">
        <v>200000</v>
      </c>
      <c r="J13" s="412">
        <f t="shared" si="2"/>
        <v>1720000</v>
      </c>
      <c r="K13" s="412"/>
      <c r="L13" s="412">
        <f t="shared" si="3"/>
        <v>12277.5</v>
      </c>
      <c r="M13" s="682" t="s">
        <v>1737</v>
      </c>
    </row>
    <row r="14" spans="1:13" ht="27.95" customHeight="1">
      <c r="A14" s="324" t="s">
        <v>1738</v>
      </c>
      <c r="B14" s="412">
        <v>43.5</v>
      </c>
      <c r="C14" s="412">
        <v>11745</v>
      </c>
      <c r="D14" s="412">
        <f t="shared" si="0"/>
        <v>7354.5</v>
      </c>
      <c r="E14" s="412">
        <f t="shared" si="1"/>
        <v>1744022.5</v>
      </c>
      <c r="F14" s="412"/>
      <c r="G14" s="412"/>
      <c r="H14" s="412"/>
      <c r="I14" s="412"/>
      <c r="J14" s="412">
        <f t="shared" si="2"/>
        <v>1720000</v>
      </c>
      <c r="K14" s="412"/>
      <c r="L14" s="412">
        <f t="shared" si="3"/>
        <v>24022.5</v>
      </c>
      <c r="M14" s="682" t="s">
        <v>1739</v>
      </c>
    </row>
    <row r="15" spans="1:13" ht="27.95" customHeight="1">
      <c r="A15" s="324">
        <v>42644</v>
      </c>
      <c r="B15" s="412">
        <v>347.5</v>
      </c>
      <c r="C15" s="412">
        <v>86592.5</v>
      </c>
      <c r="D15" s="412">
        <f t="shared" si="0"/>
        <v>7702</v>
      </c>
      <c r="E15" s="412">
        <f t="shared" si="1"/>
        <v>1830615</v>
      </c>
      <c r="F15" s="412"/>
      <c r="G15" s="412"/>
      <c r="H15" s="412"/>
      <c r="I15" s="412">
        <v>100000</v>
      </c>
      <c r="J15" s="412">
        <f t="shared" si="2"/>
        <v>1820000</v>
      </c>
      <c r="K15" s="412"/>
      <c r="L15" s="412">
        <f t="shared" si="3"/>
        <v>10615</v>
      </c>
      <c r="M15" s="682" t="s">
        <v>1740</v>
      </c>
    </row>
    <row r="16" spans="1:13" ht="27.95" customHeight="1">
      <c r="A16" s="324">
        <v>42675</v>
      </c>
      <c r="B16" s="412">
        <v>297</v>
      </c>
      <c r="C16" s="412">
        <v>74235</v>
      </c>
      <c r="D16" s="412">
        <f t="shared" si="0"/>
        <v>7999</v>
      </c>
      <c r="E16" s="412">
        <f t="shared" si="1"/>
        <v>1904850</v>
      </c>
      <c r="F16" s="412"/>
      <c r="G16" s="412"/>
      <c r="H16" s="412"/>
      <c r="I16" s="412">
        <v>100000</v>
      </c>
      <c r="J16" s="412">
        <f t="shared" si="2"/>
        <v>1920000</v>
      </c>
      <c r="K16" s="412"/>
      <c r="L16" s="412">
        <f t="shared" si="3"/>
        <v>-15150</v>
      </c>
      <c r="M16" s="682" t="s">
        <v>1741</v>
      </c>
    </row>
    <row r="17" spans="1:13" ht="27.95" customHeight="1">
      <c r="A17" s="324">
        <v>42705</v>
      </c>
      <c r="B17" s="412">
        <v>545</v>
      </c>
      <c r="C17" s="412">
        <v>146905</v>
      </c>
      <c r="D17" s="412">
        <f t="shared" si="0"/>
        <v>8544</v>
      </c>
      <c r="E17" s="412">
        <f t="shared" si="1"/>
        <v>2051755</v>
      </c>
      <c r="F17" s="412"/>
      <c r="G17" s="412"/>
      <c r="H17" s="412"/>
      <c r="I17" s="412">
        <v>49950</v>
      </c>
      <c r="J17" s="412">
        <f t="shared" si="2"/>
        <v>1969950</v>
      </c>
      <c r="K17" s="412"/>
      <c r="L17" s="412">
        <f t="shared" si="3"/>
        <v>81805</v>
      </c>
      <c r="M17" s="682"/>
    </row>
    <row r="18" spans="1:13" ht="27.95" customHeight="1">
      <c r="A18" s="324">
        <v>42736</v>
      </c>
      <c r="B18" s="412">
        <v>518</v>
      </c>
      <c r="C18" s="412">
        <v>144822.5</v>
      </c>
      <c r="D18" s="412">
        <f t="shared" si="0"/>
        <v>9062</v>
      </c>
      <c r="E18" s="412">
        <f t="shared" si="1"/>
        <v>2196577.5</v>
      </c>
      <c r="F18" s="412"/>
      <c r="G18" s="412"/>
      <c r="H18" s="412"/>
      <c r="I18" s="412">
        <v>200000</v>
      </c>
      <c r="J18" s="412">
        <f t="shared" si="2"/>
        <v>2169950</v>
      </c>
      <c r="K18" s="412"/>
      <c r="L18" s="412">
        <f t="shared" si="3"/>
        <v>26627.5</v>
      </c>
      <c r="M18" s="682"/>
    </row>
    <row r="19" spans="1:13" ht="27.95" customHeight="1">
      <c r="A19" s="324">
        <v>42767</v>
      </c>
      <c r="B19" s="412">
        <v>84</v>
      </c>
      <c r="C19" s="412">
        <v>23575</v>
      </c>
      <c r="D19" s="412">
        <f t="shared" si="0"/>
        <v>9146</v>
      </c>
      <c r="E19" s="412">
        <f t="shared" si="1"/>
        <v>2220152.5</v>
      </c>
      <c r="F19" s="412"/>
      <c r="G19" s="412"/>
      <c r="H19" s="412"/>
      <c r="I19" s="412"/>
      <c r="J19" s="412">
        <f t="shared" si="2"/>
        <v>2169950</v>
      </c>
      <c r="K19" s="412"/>
      <c r="L19" s="412">
        <f t="shared" si="3"/>
        <v>50202.5</v>
      </c>
      <c r="M19" s="682"/>
    </row>
    <row r="20" spans="1:13" ht="27.95" customHeight="1">
      <c r="A20" s="324">
        <v>42795</v>
      </c>
      <c r="B20" s="412">
        <v>226</v>
      </c>
      <c r="C20" s="412">
        <v>63145</v>
      </c>
      <c r="D20" s="412">
        <f t="shared" si="0"/>
        <v>9372</v>
      </c>
      <c r="E20" s="412">
        <f t="shared" si="1"/>
        <v>2283297.5</v>
      </c>
      <c r="F20" s="412"/>
      <c r="G20" s="412"/>
      <c r="H20" s="412"/>
      <c r="I20" s="412">
        <v>100000</v>
      </c>
      <c r="J20" s="412">
        <f t="shared" si="2"/>
        <v>2269950</v>
      </c>
      <c r="K20" s="412"/>
      <c r="L20" s="412">
        <f t="shared" si="3"/>
        <v>13347.5</v>
      </c>
      <c r="M20" s="682" t="s">
        <v>1742</v>
      </c>
    </row>
    <row r="21" spans="1:13" ht="27.95" customHeight="1">
      <c r="A21" s="324">
        <v>42826</v>
      </c>
      <c r="B21" s="412">
        <v>492.5</v>
      </c>
      <c r="C21" s="412">
        <v>136712.5</v>
      </c>
      <c r="D21" s="412">
        <f t="shared" si="0"/>
        <v>9864.5</v>
      </c>
      <c r="E21" s="412">
        <f t="shared" si="1"/>
        <v>2420010</v>
      </c>
      <c r="F21" s="412"/>
      <c r="G21" s="412"/>
      <c r="H21" s="412"/>
      <c r="I21" s="412">
        <v>100000</v>
      </c>
      <c r="J21" s="412">
        <f t="shared" si="2"/>
        <v>2369950</v>
      </c>
      <c r="K21" s="412"/>
      <c r="L21" s="412">
        <f t="shared" si="3"/>
        <v>50060</v>
      </c>
      <c r="M21" s="682" t="s">
        <v>1743</v>
      </c>
    </row>
    <row r="22" spans="1:13" ht="27.95" customHeight="1">
      <c r="A22" s="324">
        <v>42856</v>
      </c>
      <c r="B22" s="412">
        <v>0</v>
      </c>
      <c r="C22" s="412">
        <v>0</v>
      </c>
      <c r="D22" s="412">
        <f t="shared" si="0"/>
        <v>9864.5</v>
      </c>
      <c r="E22" s="412">
        <f t="shared" si="1"/>
        <v>2420010</v>
      </c>
      <c r="F22" s="412"/>
      <c r="G22" s="412"/>
      <c r="H22" s="412"/>
      <c r="I22" s="412"/>
      <c r="J22" s="412">
        <f t="shared" si="2"/>
        <v>2369950</v>
      </c>
      <c r="K22" s="412"/>
      <c r="L22" s="412">
        <f t="shared" si="3"/>
        <v>50060</v>
      </c>
      <c r="M22" s="682"/>
    </row>
    <row r="23" spans="1:13" ht="27.95" customHeight="1">
      <c r="A23" s="324">
        <v>42917</v>
      </c>
      <c r="B23" s="412">
        <v>0</v>
      </c>
      <c r="C23" s="412">
        <v>0</v>
      </c>
      <c r="D23" s="412">
        <f t="shared" si="0"/>
        <v>9864.5</v>
      </c>
      <c r="E23" s="412">
        <f t="shared" si="1"/>
        <v>2420010</v>
      </c>
      <c r="F23" s="412"/>
      <c r="G23" s="412"/>
      <c r="H23" s="412"/>
      <c r="I23" s="412">
        <v>50060</v>
      </c>
      <c r="J23" s="412">
        <f t="shared" si="2"/>
        <v>2420010</v>
      </c>
      <c r="K23" s="412"/>
      <c r="L23" s="412">
        <f t="shared" si="3"/>
        <v>0</v>
      </c>
      <c r="M23" s="682" t="s">
        <v>1744</v>
      </c>
    </row>
    <row r="24" spans="1:13" ht="27.95" customHeight="1">
      <c r="A24" s="324"/>
      <c r="B24" s="412"/>
      <c r="C24" s="412"/>
      <c r="D24" s="412"/>
      <c r="E24" s="412"/>
      <c r="F24" s="412"/>
      <c r="G24" s="412"/>
      <c r="H24" s="412"/>
      <c r="I24" s="412"/>
      <c r="J24" s="412"/>
      <c r="K24" s="412"/>
      <c r="L24" s="412"/>
      <c r="M24" s="682" t="s">
        <v>1745</v>
      </c>
    </row>
    <row r="25" spans="1:13" ht="27.95" customHeight="1">
      <c r="A25" s="324"/>
      <c r="B25" s="412"/>
      <c r="C25" s="412"/>
      <c r="D25" s="412"/>
      <c r="E25" s="412"/>
      <c r="F25" s="412"/>
      <c r="G25" s="412"/>
      <c r="H25" s="412"/>
      <c r="I25" s="412"/>
      <c r="J25" s="412"/>
      <c r="K25" s="412"/>
      <c r="L25" s="412"/>
      <c r="M25" s="682"/>
    </row>
    <row r="26" spans="1:13" ht="27.95" customHeight="1">
      <c r="A26" s="324"/>
      <c r="B26" s="412"/>
      <c r="C26" s="412"/>
      <c r="D26" s="412"/>
      <c r="E26" s="412"/>
      <c r="F26" s="412"/>
      <c r="G26" s="412"/>
      <c r="H26" s="412"/>
      <c r="I26" s="412"/>
      <c r="J26" s="412"/>
      <c r="K26" s="412"/>
      <c r="L26" s="412"/>
      <c r="M26" s="682"/>
    </row>
  </sheetData>
  <mergeCells count="13">
    <mergeCell ref="B3:C3"/>
    <mergeCell ref="B4:F4"/>
    <mergeCell ref="G4:J4"/>
    <mergeCell ref="K4:M4"/>
    <mergeCell ref="B5:C5"/>
    <mergeCell ref="D5:F5"/>
    <mergeCell ref="G5:J5"/>
    <mergeCell ref="F1:G1"/>
    <mergeCell ref="I1:K1"/>
    <mergeCell ref="L1:M1"/>
    <mergeCell ref="B2:C2"/>
    <mergeCell ref="E2:F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43"/>
  <sheetViews>
    <sheetView topLeftCell="A25" zoomScaleSheetLayoutView="100" workbookViewId="0">
      <selection activeCell="A31" sqref="A31"/>
    </sheetView>
  </sheetViews>
  <sheetFormatPr defaultColWidth="9" defaultRowHeight="14.25"/>
  <cols>
    <col min="1" max="1" width="15.875" customWidth="1"/>
    <col min="2" max="2" width="14.25" customWidth="1"/>
    <col min="3" max="3" width="14.5" customWidth="1"/>
    <col min="4" max="4" width="14" customWidth="1"/>
    <col min="5" max="5" width="14.75" customWidth="1"/>
    <col min="6" max="6" width="14.625" customWidth="1"/>
    <col min="7" max="7" width="14.5" customWidth="1"/>
    <col min="8" max="8" width="15.25" customWidth="1"/>
    <col min="9" max="9" width="19.25" customWidth="1"/>
    <col min="10" max="10" width="16.125" customWidth="1"/>
    <col min="11" max="11" width="16.5" customWidth="1"/>
    <col min="12" max="12" width="13.875" customWidth="1"/>
    <col min="13" max="13" width="32.375" customWidth="1"/>
  </cols>
  <sheetData>
    <row r="1" spans="1:13" ht="72" customHeight="1">
      <c r="A1" s="1875" t="s">
        <v>556</v>
      </c>
      <c r="B1" s="1877">
        <v>42495</v>
      </c>
      <c r="C1" s="1879" t="s">
        <v>1746</v>
      </c>
      <c r="D1" s="1916"/>
      <c r="E1" s="1915" t="s">
        <v>236</v>
      </c>
      <c r="F1" s="1917"/>
      <c r="G1" s="1918"/>
      <c r="H1" s="998" t="s">
        <v>1747</v>
      </c>
      <c r="I1" s="1912" t="s">
        <v>1748</v>
      </c>
      <c r="J1" s="1912"/>
      <c r="K1" s="1912"/>
      <c r="L1" s="1913" t="s">
        <v>1749</v>
      </c>
      <c r="M1" s="1914"/>
    </row>
    <row r="2" spans="1:13" ht="72" customHeight="1">
      <c r="A2" s="1876"/>
      <c r="B2" s="1878"/>
      <c r="C2" s="1780"/>
      <c r="D2" s="1781"/>
      <c r="E2" s="1776"/>
      <c r="F2" s="1919"/>
      <c r="G2" s="1920"/>
      <c r="H2" s="1176" t="s">
        <v>425</v>
      </c>
      <c r="I2" s="1648" t="s">
        <v>1750</v>
      </c>
      <c r="J2" s="1648"/>
      <c r="K2" s="1648"/>
      <c r="L2" s="1648"/>
      <c r="M2" s="1648"/>
    </row>
    <row r="3" spans="1:13" ht="80.099999999999994" customHeight="1">
      <c r="A3" s="39" t="s">
        <v>240</v>
      </c>
      <c r="B3" s="1637" t="s">
        <v>1751</v>
      </c>
      <c r="C3" s="1637"/>
      <c r="D3" s="399" t="s">
        <v>242</v>
      </c>
      <c r="E3" s="1637" t="s">
        <v>1752</v>
      </c>
      <c r="F3" s="1637"/>
      <c r="G3" s="40" t="s">
        <v>1561</v>
      </c>
      <c r="H3" s="1637" t="s">
        <v>1753</v>
      </c>
      <c r="I3" s="1675"/>
      <c r="J3" s="1675"/>
      <c r="K3" s="1177" t="s">
        <v>1684</v>
      </c>
      <c r="L3" s="1178" t="s">
        <v>245</v>
      </c>
      <c r="M3" s="1132" t="s">
        <v>1725</v>
      </c>
    </row>
    <row r="4" spans="1:13" ht="57.95" customHeight="1">
      <c r="A4" s="39" t="s">
        <v>247</v>
      </c>
      <c r="B4" s="1637" t="s">
        <v>1754</v>
      </c>
      <c r="C4" s="1637"/>
      <c r="D4" s="41" t="s">
        <v>249</v>
      </c>
      <c r="E4" s="642">
        <v>22000</v>
      </c>
      <c r="F4" s="531" t="s">
        <v>251</v>
      </c>
      <c r="G4" s="642" t="s">
        <v>1755</v>
      </c>
      <c r="H4" s="1131" t="s">
        <v>252</v>
      </c>
      <c r="I4" s="1179">
        <v>18520137903</v>
      </c>
      <c r="J4" s="1180" t="s">
        <v>253</v>
      </c>
      <c r="K4" s="1181"/>
      <c r="L4" s="15" t="s">
        <v>1469</v>
      </c>
      <c r="M4" s="92" t="s">
        <v>1756</v>
      </c>
    </row>
    <row r="5" spans="1:13" ht="84" customHeight="1">
      <c r="A5" s="1127" t="s">
        <v>260</v>
      </c>
      <c r="B5" s="1764" t="s">
        <v>1757</v>
      </c>
      <c r="C5" s="1764"/>
      <c r="D5" s="1764"/>
      <c r="E5" s="1764"/>
      <c r="F5" s="1764"/>
      <c r="G5" s="1895" t="s">
        <v>1758</v>
      </c>
      <c r="H5" s="1895"/>
      <c r="I5" s="1895"/>
      <c r="J5" s="1895"/>
      <c r="K5" s="1858"/>
      <c r="L5" s="1858"/>
      <c r="M5" s="1859"/>
    </row>
    <row r="6" spans="1:13" ht="53.1" customHeight="1">
      <c r="A6" s="39" t="s">
        <v>258</v>
      </c>
      <c r="B6" s="1890"/>
      <c r="C6" s="1891"/>
      <c r="D6" s="1890"/>
      <c r="E6" s="1892"/>
      <c r="F6" s="1892"/>
      <c r="G6" s="1765"/>
      <c r="H6" s="1765"/>
      <c r="I6" s="1765"/>
      <c r="J6" s="1765"/>
      <c r="L6" s="178"/>
      <c r="M6" s="1134"/>
    </row>
    <row r="7" spans="1:13" ht="30.75">
      <c r="A7" s="381" t="s">
        <v>266</v>
      </c>
      <c r="B7" s="382" t="s">
        <v>1474</v>
      </c>
      <c r="C7" s="382" t="s">
        <v>268</v>
      </c>
      <c r="D7" s="382" t="s">
        <v>1475</v>
      </c>
      <c r="E7" s="382" t="s">
        <v>270</v>
      </c>
      <c r="F7" s="382" t="s">
        <v>1476</v>
      </c>
      <c r="G7" s="1128" t="s">
        <v>272</v>
      </c>
      <c r="H7" s="384" t="s">
        <v>273</v>
      </c>
      <c r="I7" s="390" t="s">
        <v>274</v>
      </c>
      <c r="J7" s="1135" t="s">
        <v>275</v>
      </c>
      <c r="K7" s="391" t="s">
        <v>276</v>
      </c>
      <c r="L7" s="382" t="s">
        <v>277</v>
      </c>
      <c r="M7" s="392" t="s">
        <v>278</v>
      </c>
    </row>
    <row r="8" spans="1:13" ht="27.95" customHeight="1">
      <c r="A8" s="324">
        <v>42430</v>
      </c>
      <c r="B8" s="412">
        <v>481</v>
      </c>
      <c r="C8" s="412">
        <v>108104</v>
      </c>
      <c r="D8" s="412">
        <f>B8</f>
        <v>481</v>
      </c>
      <c r="E8" s="224">
        <f>C8</f>
        <v>108104</v>
      </c>
      <c r="F8" s="412"/>
      <c r="G8" s="224">
        <f t="shared" ref="G8:G18" si="0">E8*0.3</f>
        <v>32431.199999999997</v>
      </c>
      <c r="H8" s="412"/>
      <c r="I8" s="412"/>
      <c r="J8" s="412"/>
      <c r="K8" s="412"/>
      <c r="L8" s="224">
        <f t="shared" ref="L8:L30" si="1">E8-J8</f>
        <v>108104</v>
      </c>
      <c r="M8" s="682"/>
    </row>
    <row r="9" spans="1:13" ht="27.95" customHeight="1">
      <c r="A9" s="324" t="s">
        <v>1759</v>
      </c>
      <c r="B9" s="412"/>
      <c r="C9" s="412">
        <f>C8*0.05</f>
        <v>5405.2000000000007</v>
      </c>
      <c r="D9" s="412">
        <f t="shared" ref="D9:D30" si="2">D8+B9</f>
        <v>481</v>
      </c>
      <c r="E9" s="224">
        <f t="shared" ref="E9:E30" si="3">E8+C9</f>
        <v>113509.2</v>
      </c>
      <c r="F9" s="412"/>
      <c r="G9" s="224">
        <f t="shared" si="0"/>
        <v>34052.759999999995</v>
      </c>
      <c r="H9" s="412"/>
      <c r="I9" s="412"/>
      <c r="J9" s="412"/>
      <c r="K9" s="412"/>
      <c r="L9" s="224">
        <f t="shared" si="1"/>
        <v>113509.2</v>
      </c>
      <c r="M9" s="682"/>
    </row>
    <row r="10" spans="1:13" ht="27.95" customHeight="1">
      <c r="A10" s="324">
        <v>42461</v>
      </c>
      <c r="B10" s="412">
        <v>1893.5</v>
      </c>
      <c r="C10" s="412">
        <v>491273.5</v>
      </c>
      <c r="D10" s="412">
        <f t="shared" si="2"/>
        <v>2374.5</v>
      </c>
      <c r="E10" s="224">
        <f t="shared" si="3"/>
        <v>604782.69999999995</v>
      </c>
      <c r="F10" s="412"/>
      <c r="G10" s="224">
        <f t="shared" si="0"/>
        <v>181434.80999999997</v>
      </c>
      <c r="H10" s="224">
        <f>C8*0.7</f>
        <v>75672.799999999988</v>
      </c>
      <c r="I10" s="412"/>
      <c r="J10" s="412"/>
      <c r="K10" s="224">
        <f t="shared" ref="K10:K31" si="4">K9+H10-I10</f>
        <v>75672.799999999988</v>
      </c>
      <c r="L10" s="224">
        <f t="shared" si="1"/>
        <v>604782.69999999995</v>
      </c>
      <c r="M10" s="682"/>
    </row>
    <row r="11" spans="1:13" ht="27.95" customHeight="1">
      <c r="A11" s="324" t="s">
        <v>1760</v>
      </c>
      <c r="B11" s="412"/>
      <c r="C11" s="412">
        <f>C10*0.05</f>
        <v>24563.675000000003</v>
      </c>
      <c r="D11" s="412">
        <f t="shared" si="2"/>
        <v>2374.5</v>
      </c>
      <c r="E11" s="224">
        <f t="shared" si="3"/>
        <v>629346.375</v>
      </c>
      <c r="F11" s="412"/>
      <c r="G11" s="224">
        <f t="shared" si="0"/>
        <v>188803.91250000001</v>
      </c>
      <c r="H11" s="224">
        <f>C9*0.7</f>
        <v>3783.6400000000003</v>
      </c>
      <c r="I11" s="412"/>
      <c r="J11" s="412"/>
      <c r="K11" s="224">
        <f t="shared" si="4"/>
        <v>79456.439999999988</v>
      </c>
      <c r="L11" s="224">
        <f t="shared" si="1"/>
        <v>629346.375</v>
      </c>
      <c r="M11" s="682"/>
    </row>
    <row r="12" spans="1:13" ht="27.95" customHeight="1">
      <c r="A12" s="324">
        <v>42491</v>
      </c>
      <c r="B12" s="412">
        <v>2916.5</v>
      </c>
      <c r="C12" s="412">
        <v>795281.5</v>
      </c>
      <c r="D12" s="412">
        <f t="shared" si="2"/>
        <v>5291</v>
      </c>
      <c r="E12" s="224">
        <f t="shared" si="3"/>
        <v>1424627.875</v>
      </c>
      <c r="F12" s="412"/>
      <c r="G12" s="224">
        <f t="shared" si="0"/>
        <v>427388.36249999999</v>
      </c>
      <c r="H12" s="224">
        <f t="shared" ref="H12:H24" si="5">C10*0.7</f>
        <v>343891.44999999995</v>
      </c>
      <c r="I12" s="412"/>
      <c r="J12" s="412"/>
      <c r="K12" s="224">
        <f t="shared" si="4"/>
        <v>423347.88999999996</v>
      </c>
      <c r="L12" s="224">
        <f t="shared" si="1"/>
        <v>1424627.875</v>
      </c>
      <c r="M12" s="682"/>
    </row>
    <row r="13" spans="1:13" ht="27.95" customHeight="1">
      <c r="A13" s="324" t="s">
        <v>1761</v>
      </c>
      <c r="B13" s="412"/>
      <c r="C13" s="224">
        <f>C12*0.05</f>
        <v>39764.075000000004</v>
      </c>
      <c r="D13" s="412">
        <f t="shared" si="2"/>
        <v>5291</v>
      </c>
      <c r="E13" s="224">
        <f t="shared" si="3"/>
        <v>1464391.95</v>
      </c>
      <c r="F13" s="412"/>
      <c r="G13" s="224">
        <f t="shared" si="0"/>
        <v>439317.58499999996</v>
      </c>
      <c r="H13" s="224">
        <f t="shared" si="5"/>
        <v>17194.572500000002</v>
      </c>
      <c r="I13" s="412"/>
      <c r="J13" s="412"/>
      <c r="K13" s="224">
        <f t="shared" si="4"/>
        <v>440542.46249999997</v>
      </c>
      <c r="L13" s="224">
        <f t="shared" si="1"/>
        <v>1464391.95</v>
      </c>
      <c r="M13" s="682"/>
    </row>
    <row r="14" spans="1:13" ht="27.95" customHeight="1">
      <c r="A14" s="324">
        <v>42522</v>
      </c>
      <c r="B14" s="412">
        <v>3669.5</v>
      </c>
      <c r="C14" s="224">
        <v>1030482.5</v>
      </c>
      <c r="D14" s="412">
        <f t="shared" si="2"/>
        <v>8960.5</v>
      </c>
      <c r="E14" s="224">
        <f t="shared" si="3"/>
        <v>2494874.4500000002</v>
      </c>
      <c r="F14" s="412"/>
      <c r="G14" s="224">
        <f t="shared" si="0"/>
        <v>748462.33500000008</v>
      </c>
      <c r="H14" s="224">
        <f t="shared" si="5"/>
        <v>556697.04999999993</v>
      </c>
      <c r="I14" s="412">
        <v>440542.46</v>
      </c>
      <c r="J14" s="412">
        <f>I14</f>
        <v>440542.46</v>
      </c>
      <c r="K14" s="224">
        <f t="shared" si="4"/>
        <v>556697.05249999999</v>
      </c>
      <c r="L14" s="224">
        <f t="shared" si="1"/>
        <v>2054331.9900000002</v>
      </c>
      <c r="M14" s="682" t="s">
        <v>1762</v>
      </c>
    </row>
    <row r="15" spans="1:13" ht="27.95" customHeight="1">
      <c r="A15" s="324" t="s">
        <v>1763</v>
      </c>
      <c r="B15" s="412"/>
      <c r="C15" s="224">
        <f>C14*0.05</f>
        <v>51524.125</v>
      </c>
      <c r="D15" s="412">
        <f t="shared" si="2"/>
        <v>8960.5</v>
      </c>
      <c r="E15" s="224">
        <f t="shared" si="3"/>
        <v>2546398.5750000002</v>
      </c>
      <c r="F15" s="412"/>
      <c r="G15" s="224">
        <f t="shared" si="0"/>
        <v>763919.57250000001</v>
      </c>
      <c r="H15" s="224">
        <f t="shared" si="5"/>
        <v>27834.852500000001</v>
      </c>
      <c r="I15" s="412"/>
      <c r="J15" s="412">
        <f t="shared" ref="J15:J30" si="6">J14+I15</f>
        <v>440542.46</v>
      </c>
      <c r="K15" s="224">
        <f t="shared" si="4"/>
        <v>584531.90500000003</v>
      </c>
      <c r="L15" s="224">
        <f t="shared" si="1"/>
        <v>2105856.1150000002</v>
      </c>
      <c r="M15" s="682"/>
    </row>
    <row r="16" spans="1:13" ht="27.95" customHeight="1">
      <c r="A16" s="324">
        <v>42552</v>
      </c>
      <c r="B16" s="412">
        <v>2632.5</v>
      </c>
      <c r="C16" s="224">
        <v>749285.5</v>
      </c>
      <c r="D16" s="412">
        <f t="shared" si="2"/>
        <v>11593</v>
      </c>
      <c r="E16" s="224">
        <f t="shared" si="3"/>
        <v>3295684.0750000002</v>
      </c>
      <c r="F16" s="412"/>
      <c r="G16" s="224">
        <f t="shared" si="0"/>
        <v>988705.22250000003</v>
      </c>
      <c r="H16" s="224">
        <f t="shared" si="5"/>
        <v>721337.75</v>
      </c>
      <c r="I16" s="412">
        <v>584531.9</v>
      </c>
      <c r="J16" s="412">
        <f t="shared" si="6"/>
        <v>1025074.3600000001</v>
      </c>
      <c r="K16" s="224">
        <f t="shared" si="4"/>
        <v>721337.755</v>
      </c>
      <c r="L16" s="224">
        <f t="shared" si="1"/>
        <v>2270609.7149999999</v>
      </c>
      <c r="M16" s="682" t="s">
        <v>1764</v>
      </c>
    </row>
    <row r="17" spans="1:14" ht="27.95" customHeight="1">
      <c r="A17" s="324" t="s">
        <v>1765</v>
      </c>
      <c r="B17" s="412"/>
      <c r="C17" s="224">
        <f>C16*0.05</f>
        <v>37464.275000000001</v>
      </c>
      <c r="D17" s="412">
        <f t="shared" si="2"/>
        <v>11593</v>
      </c>
      <c r="E17" s="224">
        <f t="shared" si="3"/>
        <v>3333148.35</v>
      </c>
      <c r="F17" s="412"/>
      <c r="G17" s="224">
        <f t="shared" si="0"/>
        <v>999944.505</v>
      </c>
      <c r="H17" s="224">
        <f t="shared" si="5"/>
        <v>36066.887499999997</v>
      </c>
      <c r="I17" s="412">
        <v>757404.64</v>
      </c>
      <c r="J17" s="412">
        <f t="shared" si="6"/>
        <v>1782479</v>
      </c>
      <c r="K17" s="224">
        <f t="shared" si="4"/>
        <v>2.4999999441206455E-3</v>
      </c>
      <c r="L17" s="224">
        <f t="shared" si="1"/>
        <v>1550669.35</v>
      </c>
      <c r="M17" s="682"/>
    </row>
    <row r="18" spans="1:14" ht="27.95" customHeight="1">
      <c r="A18" s="324">
        <v>42583</v>
      </c>
      <c r="B18" s="412">
        <v>2315</v>
      </c>
      <c r="C18" s="224">
        <v>706252.58</v>
      </c>
      <c r="D18" s="412">
        <f t="shared" si="2"/>
        <v>13908</v>
      </c>
      <c r="E18" s="224">
        <f t="shared" si="3"/>
        <v>4039400.93</v>
      </c>
      <c r="F18" s="412"/>
      <c r="G18" s="224">
        <f t="shared" si="0"/>
        <v>1211820.2790000001</v>
      </c>
      <c r="H18" s="224">
        <f t="shared" si="5"/>
        <v>524499.85</v>
      </c>
      <c r="I18" s="412">
        <v>550724.84</v>
      </c>
      <c r="J18" s="412">
        <f t="shared" si="6"/>
        <v>2333203.84</v>
      </c>
      <c r="K18" s="224">
        <f t="shared" si="4"/>
        <v>-26224.987500000047</v>
      </c>
      <c r="L18" s="224">
        <f t="shared" si="1"/>
        <v>1706197.0900000003</v>
      </c>
      <c r="M18" s="682" t="s">
        <v>1766</v>
      </c>
    </row>
    <row r="19" spans="1:14" ht="27.95" customHeight="1">
      <c r="A19" s="324">
        <v>42614</v>
      </c>
      <c r="B19" s="412">
        <v>2698.5</v>
      </c>
      <c r="C19" s="224">
        <v>837317.77500000002</v>
      </c>
      <c r="D19" s="412">
        <f t="shared" si="2"/>
        <v>16606.5</v>
      </c>
      <c r="E19" s="224">
        <f t="shared" si="3"/>
        <v>4876718.7050000001</v>
      </c>
      <c r="F19" s="412"/>
      <c r="G19" s="224">
        <f>E18*0.3+C19</f>
        <v>2049138.054</v>
      </c>
      <c r="H19" s="224">
        <f t="shared" si="5"/>
        <v>26224.9925</v>
      </c>
      <c r="I19" s="412">
        <v>494376.8</v>
      </c>
      <c r="J19" s="412">
        <f t="shared" si="6"/>
        <v>2827580.6399999997</v>
      </c>
      <c r="K19" s="224">
        <f t="shared" si="4"/>
        <v>-494376.79500000004</v>
      </c>
      <c r="L19" s="224">
        <f t="shared" si="1"/>
        <v>2049138.0650000004</v>
      </c>
      <c r="M19" s="682" t="s">
        <v>1767</v>
      </c>
    </row>
    <row r="20" spans="1:14" ht="27.95" customHeight="1">
      <c r="A20" s="324">
        <v>42644</v>
      </c>
      <c r="B20" s="412">
        <v>767</v>
      </c>
      <c r="C20" s="224">
        <v>234318.52499999999</v>
      </c>
      <c r="D20" s="412">
        <f t="shared" si="2"/>
        <v>17373.5</v>
      </c>
      <c r="E20" s="224">
        <f t="shared" si="3"/>
        <v>5111037.2300000004</v>
      </c>
      <c r="F20" s="412"/>
      <c r="G20" s="224">
        <f>E19*0.3+C20</f>
        <v>1697334.1364999998</v>
      </c>
      <c r="H20" s="224">
        <f t="shared" si="5"/>
        <v>494376.80599999992</v>
      </c>
      <c r="I20" s="412">
        <v>586122.43999999994</v>
      </c>
      <c r="J20" s="412">
        <f t="shared" si="6"/>
        <v>3413703.0799999996</v>
      </c>
      <c r="K20" s="224">
        <f t="shared" si="4"/>
        <v>-586122.429</v>
      </c>
      <c r="L20" s="224">
        <f t="shared" si="1"/>
        <v>1697334.1500000008</v>
      </c>
      <c r="M20" s="682" t="s">
        <v>1768</v>
      </c>
    </row>
    <row r="21" spans="1:14" ht="27.95" customHeight="1">
      <c r="A21" s="324" t="s">
        <v>1769</v>
      </c>
      <c r="B21" s="412">
        <v>2999</v>
      </c>
      <c r="C21" s="224">
        <v>899869.42500000005</v>
      </c>
      <c r="D21" s="412">
        <f t="shared" si="2"/>
        <v>20372.5</v>
      </c>
      <c r="E21" s="224">
        <f t="shared" si="3"/>
        <v>6010906.6550000003</v>
      </c>
      <c r="F21" s="412"/>
      <c r="G21" s="224">
        <f>E20*0.3+C21</f>
        <v>2433180.594</v>
      </c>
      <c r="H21" s="224">
        <f t="shared" si="5"/>
        <v>586122.4425</v>
      </c>
      <c r="I21" s="412">
        <v>164022.97</v>
      </c>
      <c r="J21" s="412">
        <f t="shared" si="6"/>
        <v>3577726.05</v>
      </c>
      <c r="K21" s="224">
        <f t="shared" si="4"/>
        <v>-164022.9565</v>
      </c>
      <c r="L21" s="224">
        <f t="shared" si="1"/>
        <v>2433180.6050000004</v>
      </c>
      <c r="M21" s="682" t="s">
        <v>1770</v>
      </c>
    </row>
    <row r="22" spans="1:14" ht="27.95" customHeight="1">
      <c r="A22" s="324" t="s">
        <v>1771</v>
      </c>
      <c r="B22" s="412">
        <v>1655</v>
      </c>
      <c r="C22" s="224">
        <v>480612.3</v>
      </c>
      <c r="D22" s="412">
        <f t="shared" si="2"/>
        <v>22027.5</v>
      </c>
      <c r="E22" s="224">
        <f t="shared" si="3"/>
        <v>6491518.9550000001</v>
      </c>
      <c r="F22" s="412"/>
      <c r="G22" s="224">
        <f>E21*0.3+C22</f>
        <v>2283884.2965000002</v>
      </c>
      <c r="H22" s="224">
        <f t="shared" si="5"/>
        <v>164022.9675</v>
      </c>
      <c r="I22" s="412"/>
      <c r="J22" s="412">
        <f t="shared" si="6"/>
        <v>3577726.05</v>
      </c>
      <c r="K22" s="224">
        <f t="shared" si="4"/>
        <v>1.0999999998603016E-2</v>
      </c>
      <c r="L22" s="224">
        <f t="shared" si="1"/>
        <v>2913792.9050000003</v>
      </c>
      <c r="M22" s="682"/>
    </row>
    <row r="23" spans="1:14" ht="27.95" customHeight="1">
      <c r="A23" s="324" t="s">
        <v>1772</v>
      </c>
      <c r="B23" s="412">
        <v>3527</v>
      </c>
      <c r="C23" s="224">
        <v>996366.52500000002</v>
      </c>
      <c r="D23" s="412">
        <f t="shared" si="2"/>
        <v>25554.5</v>
      </c>
      <c r="E23" s="224">
        <f t="shared" si="3"/>
        <v>7487885.4800000004</v>
      </c>
      <c r="F23" s="412"/>
      <c r="G23" s="224">
        <f>E22*0.3+C23</f>
        <v>2943822.2114999997</v>
      </c>
      <c r="H23" s="224">
        <f t="shared" si="5"/>
        <v>629908.59750000003</v>
      </c>
      <c r="I23" s="412"/>
      <c r="J23" s="412">
        <f t="shared" si="6"/>
        <v>3577726.05</v>
      </c>
      <c r="K23" s="224">
        <f t="shared" si="4"/>
        <v>629908.60850000009</v>
      </c>
      <c r="L23" s="224">
        <f t="shared" si="1"/>
        <v>3910159.4300000006</v>
      </c>
      <c r="M23" s="682"/>
    </row>
    <row r="24" spans="1:14" ht="27.95" customHeight="1">
      <c r="A24" s="324" t="s">
        <v>672</v>
      </c>
      <c r="B24" s="412"/>
      <c r="C24" s="224">
        <v>37384.379999999997</v>
      </c>
      <c r="D24" s="412">
        <f t="shared" si="2"/>
        <v>25554.5</v>
      </c>
      <c r="E24" s="224">
        <f t="shared" si="3"/>
        <v>7525269.8600000003</v>
      </c>
      <c r="F24" s="412"/>
      <c r="G24" s="224">
        <f>E22*0.3+C23+C24*0.3</f>
        <v>2955037.5254999995</v>
      </c>
      <c r="H24" s="224">
        <f t="shared" si="5"/>
        <v>336428.61</v>
      </c>
      <c r="I24" s="412">
        <v>629908.6</v>
      </c>
      <c r="J24" s="412">
        <f t="shared" si="6"/>
        <v>4207634.6499999994</v>
      </c>
      <c r="K24" s="224">
        <f t="shared" si="4"/>
        <v>336428.6185000001</v>
      </c>
      <c r="L24" s="224">
        <f t="shared" si="1"/>
        <v>3317635.2100000009</v>
      </c>
      <c r="M24" s="682" t="s">
        <v>1773</v>
      </c>
      <c r="N24" t="s">
        <v>1774</v>
      </c>
    </row>
    <row r="25" spans="1:14" ht="27.95" customHeight="1">
      <c r="A25" s="324" t="s">
        <v>433</v>
      </c>
      <c r="B25" s="412"/>
      <c r="C25" s="224">
        <v>78693.350000000006</v>
      </c>
      <c r="D25" s="412">
        <f t="shared" si="2"/>
        <v>25554.5</v>
      </c>
      <c r="E25" s="224">
        <f t="shared" si="3"/>
        <v>7603963.21</v>
      </c>
      <c r="F25" s="412"/>
      <c r="G25" s="224">
        <f>E22*0.3+C23+C24*0.3+C25*0.3</f>
        <v>2978645.5304999994</v>
      </c>
      <c r="H25" s="224">
        <f>C24*0.7</f>
        <v>26169.065999999995</v>
      </c>
      <c r="I25" s="412"/>
      <c r="J25" s="412">
        <f t="shared" si="6"/>
        <v>4207634.6499999994</v>
      </c>
      <c r="K25" s="224">
        <f t="shared" si="4"/>
        <v>362597.68450000009</v>
      </c>
      <c r="L25" s="224">
        <f t="shared" si="1"/>
        <v>3396328.5600000005</v>
      </c>
      <c r="M25" s="682" t="s">
        <v>1775</v>
      </c>
    </row>
    <row r="26" spans="1:14" ht="27.95" customHeight="1">
      <c r="A26" s="324" t="s">
        <v>434</v>
      </c>
      <c r="B26" s="412"/>
      <c r="C26" s="412">
        <v>19589.439999999999</v>
      </c>
      <c r="D26" s="412">
        <f t="shared" si="2"/>
        <v>25554.5</v>
      </c>
      <c r="E26" s="224">
        <f t="shared" si="3"/>
        <v>7623552.6500000004</v>
      </c>
      <c r="F26" s="412"/>
      <c r="G26" s="224">
        <f>E22*0.3+C23+C24*0.3+C25*0.3+C26*0.3</f>
        <v>2984522.3624999993</v>
      </c>
      <c r="H26" s="224">
        <f>C25*0.7</f>
        <v>55085.345000000001</v>
      </c>
      <c r="I26" s="412">
        <v>336428.61</v>
      </c>
      <c r="J26" s="412">
        <f t="shared" si="6"/>
        <v>4544063.26</v>
      </c>
      <c r="K26" s="224">
        <f t="shared" si="4"/>
        <v>81254.419500000076</v>
      </c>
      <c r="L26" s="224">
        <f t="shared" si="1"/>
        <v>3079489.3900000006</v>
      </c>
      <c r="M26" s="682" t="s">
        <v>1776</v>
      </c>
    </row>
    <row r="27" spans="1:14" ht="27.95" customHeight="1">
      <c r="A27" s="324">
        <v>42887</v>
      </c>
      <c r="B27" s="412">
        <v>514</v>
      </c>
      <c r="C27" s="224">
        <v>142607.53450000001</v>
      </c>
      <c r="D27" s="412">
        <f t="shared" si="2"/>
        <v>26068.5</v>
      </c>
      <c r="E27" s="224">
        <f t="shared" si="3"/>
        <v>7766160.1845000004</v>
      </c>
      <c r="F27" s="412"/>
      <c r="G27" s="224">
        <f>E23*0.2+C24*0.3+C25*0.3+C26*0.3+C27</f>
        <v>1680884.7815</v>
      </c>
      <c r="H27" s="224">
        <f>C26*0.7</f>
        <v>13712.607999999998</v>
      </c>
      <c r="I27" s="412"/>
      <c r="J27" s="412">
        <f t="shared" si="6"/>
        <v>4544063.26</v>
      </c>
      <c r="K27" s="224">
        <f t="shared" si="4"/>
        <v>94967.027500000069</v>
      </c>
      <c r="L27" s="224">
        <f t="shared" si="1"/>
        <v>3222096.9245000007</v>
      </c>
      <c r="M27" s="682"/>
    </row>
    <row r="28" spans="1:14" ht="27.95" customHeight="1">
      <c r="A28" s="324">
        <v>42917</v>
      </c>
      <c r="B28" s="412">
        <v>71</v>
      </c>
      <c r="C28" s="412">
        <v>18840.150000000001</v>
      </c>
      <c r="D28" s="412">
        <f t="shared" si="2"/>
        <v>26139.5</v>
      </c>
      <c r="E28" s="224">
        <f t="shared" si="3"/>
        <v>7785000.3345000008</v>
      </c>
      <c r="F28" s="412"/>
      <c r="G28" s="224">
        <f>E23*0.1+C24*0.3+C25*0.3+C26*0.3+C27*0.3+C28</f>
        <v>851111.10935000016</v>
      </c>
      <c r="H28" s="224">
        <f>C23*0.7+E23*0.1</f>
        <v>1446245.1155000001</v>
      </c>
      <c r="I28" s="412"/>
      <c r="J28" s="412">
        <f t="shared" si="6"/>
        <v>4544063.26</v>
      </c>
      <c r="K28" s="224">
        <f t="shared" si="4"/>
        <v>1541212.1430000002</v>
      </c>
      <c r="L28" s="224">
        <f t="shared" si="1"/>
        <v>3240937.074500001</v>
      </c>
      <c r="M28" s="682" t="s">
        <v>1777</v>
      </c>
      <c r="N28" t="s">
        <v>1778</v>
      </c>
    </row>
    <row r="29" spans="1:14" ht="27.95" customHeight="1">
      <c r="A29" s="324" t="s">
        <v>687</v>
      </c>
      <c r="B29" s="412"/>
      <c r="C29" s="412">
        <v>8704.32</v>
      </c>
      <c r="D29" s="412">
        <f t="shared" si="2"/>
        <v>26139.5</v>
      </c>
      <c r="E29" s="224">
        <f t="shared" si="3"/>
        <v>7793704.6545000011</v>
      </c>
      <c r="F29" s="412"/>
      <c r="G29" s="224">
        <f>C29+E28*0.1</f>
        <v>787204.35345000005</v>
      </c>
      <c r="H29" s="224">
        <f>C27*0.7+E23*0.1</f>
        <v>848613.82215000002</v>
      </c>
      <c r="I29" s="412"/>
      <c r="J29" s="412">
        <f t="shared" si="6"/>
        <v>4544063.26</v>
      </c>
      <c r="K29" s="224">
        <f t="shared" si="4"/>
        <v>2389825.9651500001</v>
      </c>
      <c r="L29" s="224">
        <f t="shared" si="1"/>
        <v>3249641.3945000013</v>
      </c>
      <c r="M29" s="682"/>
    </row>
    <row r="30" spans="1:14" ht="26.1" customHeight="1">
      <c r="A30" s="324">
        <v>42948</v>
      </c>
      <c r="B30" s="412">
        <v>238</v>
      </c>
      <c r="C30" s="412">
        <v>61258</v>
      </c>
      <c r="D30" s="412">
        <f t="shared" si="2"/>
        <v>26377.5</v>
      </c>
      <c r="E30" s="224">
        <f t="shared" si="3"/>
        <v>7854962.6545000011</v>
      </c>
      <c r="F30" s="412"/>
      <c r="G30" s="224">
        <f>C30+E29*0.1+55654.94</f>
        <v>896283.40545000019</v>
      </c>
      <c r="H30" s="224">
        <f>C28*0.9</f>
        <v>16956.135000000002</v>
      </c>
      <c r="I30" s="412">
        <f>700282.03+653009.99+700939.3+234440.59</f>
        <v>2288671.91</v>
      </c>
      <c r="J30" s="412">
        <f t="shared" si="6"/>
        <v>6832735.1699999999</v>
      </c>
      <c r="K30" s="224">
        <f t="shared" si="4"/>
        <v>118110.19014999969</v>
      </c>
      <c r="L30" s="224">
        <f t="shared" si="1"/>
        <v>1022227.4845000012</v>
      </c>
      <c r="M30" s="682" t="s">
        <v>1779</v>
      </c>
    </row>
    <row r="31" spans="1:14" ht="27.95" customHeight="1">
      <c r="A31" s="324"/>
      <c r="B31" s="412"/>
      <c r="C31" s="224"/>
      <c r="D31" s="412"/>
      <c r="E31" s="412"/>
      <c r="F31" s="412"/>
      <c r="G31" s="224"/>
      <c r="H31" s="224">
        <f>C29*0.9</f>
        <v>7833.8879999999999</v>
      </c>
      <c r="I31" s="412"/>
      <c r="J31" s="412"/>
      <c r="K31" s="224">
        <f t="shared" si="4"/>
        <v>125944.0781499997</v>
      </c>
      <c r="L31" s="224"/>
      <c r="M31" s="682"/>
      <c r="N31" t="s">
        <v>1780</v>
      </c>
    </row>
    <row r="32" spans="1:14" ht="27.95" customHeight="1">
      <c r="A32" s="324"/>
      <c r="B32" s="412"/>
      <c r="C32" s="224"/>
      <c r="D32" s="412"/>
      <c r="E32" s="412"/>
      <c r="F32" s="412"/>
      <c r="G32" s="224"/>
      <c r="H32" s="224"/>
      <c r="I32" s="412"/>
      <c r="J32" s="412"/>
      <c r="K32" s="224"/>
      <c r="L32" s="412"/>
      <c r="M32" s="682"/>
    </row>
    <row r="33" spans="1:13" ht="27.95" customHeight="1">
      <c r="A33" s="324"/>
      <c r="B33" s="412"/>
      <c r="C33" s="412"/>
      <c r="D33" s="412"/>
      <c r="E33" s="412"/>
      <c r="F33" s="412"/>
      <c r="G33" s="224"/>
      <c r="H33" s="224"/>
      <c r="I33" s="412"/>
      <c r="J33" s="412"/>
      <c r="K33" s="412"/>
      <c r="L33" s="412"/>
      <c r="M33" s="682"/>
    </row>
    <row r="34" spans="1:13" ht="14.1" customHeight="1">
      <c r="C34" s="994"/>
      <c r="H34" s="434"/>
    </row>
    <row r="35" spans="1:13" ht="14.1" customHeight="1">
      <c r="C35" s="994"/>
      <c r="H35" s="434"/>
    </row>
    <row r="42" spans="1:13">
      <c r="F42" s="864"/>
    </row>
    <row r="43" spans="1:13">
      <c r="F43" s="864"/>
    </row>
  </sheetData>
  <mergeCells count="18">
    <mergeCell ref="A1:A2"/>
    <mergeCell ref="B1:B2"/>
    <mergeCell ref="E1:E2"/>
    <mergeCell ref="C1:D2"/>
    <mergeCell ref="F1:G2"/>
    <mergeCell ref="B4:C4"/>
    <mergeCell ref="B5:F5"/>
    <mergeCell ref="G5:J5"/>
    <mergeCell ref="K5:M5"/>
    <mergeCell ref="B6:C6"/>
    <mergeCell ref="D6:F6"/>
    <mergeCell ref="G6:J6"/>
    <mergeCell ref="I1:K1"/>
    <mergeCell ref="L1:M1"/>
    <mergeCell ref="I2:M2"/>
    <mergeCell ref="B3:C3"/>
    <mergeCell ref="E3:F3"/>
    <mergeCell ref="H3:J3"/>
  </mergeCells>
  <phoneticPr fontId="84" type="noConversion"/>
  <pageMargins left="0.75" right="0.75" top="1" bottom="1" header="0.51" footer="0.51"/>
  <pageSetup paperSize="9" orientation="portrait" horizontalDpi="200" verticalDpi="200"/>
  <headerFooter scaleWithDoc="0" alignWithMargins="0"/>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19" zoomScaleSheetLayoutView="100" workbookViewId="0">
      <selection activeCell="A25" sqref="A25"/>
    </sheetView>
  </sheetViews>
  <sheetFormatPr defaultColWidth="9" defaultRowHeight="14.25"/>
  <cols>
    <col min="1" max="1" width="13.5" customWidth="1"/>
    <col min="2" max="2" width="16.5" customWidth="1"/>
    <col min="3" max="3" width="20" customWidth="1"/>
    <col min="4" max="5" width="14.25" customWidth="1"/>
    <col min="6" max="6" width="11.375" customWidth="1"/>
    <col min="7" max="7" width="11.75" customWidth="1"/>
    <col min="8" max="8" width="14.5" customWidth="1"/>
    <col min="9" max="9" width="13.5" customWidth="1"/>
    <col min="10" max="10" width="15.375" customWidth="1"/>
    <col min="11" max="11" width="14.75" customWidth="1"/>
    <col min="12" max="12" width="13.5" customWidth="1"/>
    <col min="13" max="13" width="28.375" customWidth="1"/>
  </cols>
  <sheetData>
    <row r="1" spans="1:13" ht="39" customHeight="1">
      <c r="A1" s="1032" t="s">
        <v>348</v>
      </c>
      <c r="B1" s="1033">
        <v>42382</v>
      </c>
      <c r="C1" s="1487" t="s">
        <v>376</v>
      </c>
      <c r="D1" s="1175"/>
      <c r="E1" s="1034" t="s">
        <v>236</v>
      </c>
      <c r="F1" s="1406"/>
      <c r="G1" s="1407" t="s">
        <v>351</v>
      </c>
      <c r="H1" s="1407"/>
      <c r="I1" s="1652" t="s">
        <v>237</v>
      </c>
      <c r="J1" s="1656" t="s">
        <v>377</v>
      </c>
      <c r="K1" s="1657"/>
      <c r="L1" s="1658"/>
      <c r="M1" s="1654" t="s">
        <v>378</v>
      </c>
    </row>
    <row r="2" spans="1:13" ht="72" customHeight="1">
      <c r="A2" s="39" t="s">
        <v>240</v>
      </c>
      <c r="B2" s="1637" t="s">
        <v>379</v>
      </c>
      <c r="C2" s="1637"/>
      <c r="D2" s="41" t="s">
        <v>242</v>
      </c>
      <c r="E2" s="1662" t="s">
        <v>380</v>
      </c>
      <c r="F2" s="1663"/>
      <c r="G2" s="41" t="s">
        <v>243</v>
      </c>
      <c r="H2" s="1488">
        <v>0.05</v>
      </c>
      <c r="I2" s="1653"/>
      <c r="J2" s="1659"/>
      <c r="K2" s="1660"/>
      <c r="L2" s="1661"/>
      <c r="M2" s="1655"/>
    </row>
    <row r="3" spans="1:13" ht="87.95" customHeight="1">
      <c r="A3" s="39" t="s">
        <v>247</v>
      </c>
      <c r="B3" s="1637" t="s">
        <v>381</v>
      </c>
      <c r="C3" s="1637"/>
      <c r="D3" s="41" t="s">
        <v>249</v>
      </c>
      <c r="E3" s="186">
        <v>4000</v>
      </c>
      <c r="F3" s="41" t="s">
        <v>251</v>
      </c>
      <c r="G3" s="41" t="s">
        <v>382</v>
      </c>
      <c r="H3" s="41" t="s">
        <v>252</v>
      </c>
      <c r="I3" s="40">
        <v>13826446388</v>
      </c>
      <c r="J3" s="91" t="s">
        <v>253</v>
      </c>
      <c r="K3" s="40" t="s">
        <v>383</v>
      </c>
      <c r="L3" s="15" t="s">
        <v>255</v>
      </c>
      <c r="M3" s="105" t="s">
        <v>382</v>
      </c>
    </row>
    <row r="4" spans="1:13" ht="47.25" customHeight="1">
      <c r="A4" s="39" t="s">
        <v>257</v>
      </c>
      <c r="B4" s="1637"/>
      <c r="C4" s="1637"/>
      <c r="D4" s="1637"/>
      <c r="E4" s="43" t="s">
        <v>258</v>
      </c>
      <c r="F4" s="1638"/>
      <c r="G4" s="1638"/>
      <c r="H4" s="1638"/>
      <c r="I4" s="1637"/>
      <c r="J4" s="1637"/>
      <c r="K4" s="15"/>
      <c r="L4" s="41" t="s">
        <v>360</v>
      </c>
      <c r="M4" s="149" t="s">
        <v>384</v>
      </c>
    </row>
    <row r="5" spans="1:13" ht="75" customHeight="1">
      <c r="A5" s="1036" t="s">
        <v>260</v>
      </c>
      <c r="B5" s="1664" t="s">
        <v>385</v>
      </c>
      <c r="C5" s="1664"/>
      <c r="D5" s="1664"/>
      <c r="E5" s="1648" t="s">
        <v>386</v>
      </c>
      <c r="F5" s="1648"/>
      <c r="G5" s="1648"/>
      <c r="H5" s="1648"/>
      <c r="I5" s="1649"/>
      <c r="J5" s="1650"/>
      <c r="K5" s="1650"/>
      <c r="L5" s="1651"/>
      <c r="M5" s="150"/>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6" customHeight="1">
      <c r="A7" s="1409">
        <v>42339</v>
      </c>
      <c r="B7" s="1248">
        <v>222</v>
      </c>
      <c r="C7" s="1248">
        <v>62160</v>
      </c>
      <c r="D7" s="1067">
        <f>+B7</f>
        <v>222</v>
      </c>
      <c r="E7" s="1067">
        <f>C7</f>
        <v>62160</v>
      </c>
      <c r="F7" s="1485"/>
      <c r="G7" s="1486"/>
      <c r="H7" s="1414"/>
      <c r="I7" s="1415"/>
      <c r="J7" s="1415"/>
      <c r="K7" s="1416"/>
      <c r="L7" s="1417">
        <f t="shared" ref="L7:L24" si="0">E7-J7</f>
        <v>62160</v>
      </c>
      <c r="M7" s="1165"/>
    </row>
    <row r="8" spans="1:13" ht="36" customHeight="1">
      <c r="A8" s="1409">
        <v>42370</v>
      </c>
      <c r="B8" s="1067">
        <v>410</v>
      </c>
      <c r="C8" s="1067">
        <v>113942.5</v>
      </c>
      <c r="D8" s="1067">
        <f t="shared" ref="D8:D24" si="1">B8+D7</f>
        <v>632</v>
      </c>
      <c r="E8" s="1067">
        <f t="shared" ref="E8:E24" si="2">C8+E7</f>
        <v>176102.5</v>
      </c>
      <c r="F8" s="1067"/>
      <c r="G8" s="1245"/>
      <c r="H8" s="1414">
        <f>C7</f>
        <v>62160</v>
      </c>
      <c r="I8" s="1418"/>
      <c r="J8" s="1415">
        <f>I8</f>
        <v>0</v>
      </c>
      <c r="K8" s="1416">
        <f t="shared" ref="K8:K25" si="3">K7+H8-I8</f>
        <v>62160</v>
      </c>
      <c r="L8" s="1417">
        <f t="shared" si="0"/>
        <v>176102.5</v>
      </c>
      <c r="M8" s="1199" t="s">
        <v>387</v>
      </c>
    </row>
    <row r="9" spans="1:13" ht="36" customHeight="1">
      <c r="A9" s="1409">
        <v>42401</v>
      </c>
      <c r="B9" s="1067">
        <v>0</v>
      </c>
      <c r="C9" s="1067">
        <v>0</v>
      </c>
      <c r="D9" s="1067">
        <f t="shared" si="1"/>
        <v>632</v>
      </c>
      <c r="E9" s="1067">
        <f t="shared" si="2"/>
        <v>176102.5</v>
      </c>
      <c r="F9" s="1067"/>
      <c r="G9" s="1245"/>
      <c r="H9" s="1414">
        <f t="shared" ref="H9:H24" si="4">C8</f>
        <v>113942.5</v>
      </c>
      <c r="I9" s="1418">
        <v>176102.5</v>
      </c>
      <c r="J9" s="1418">
        <f t="shared" ref="J9:J24" si="5">I9+J8</f>
        <v>176102.5</v>
      </c>
      <c r="K9" s="1416">
        <f t="shared" si="3"/>
        <v>0</v>
      </c>
      <c r="L9" s="1417">
        <f t="shared" si="0"/>
        <v>0</v>
      </c>
      <c r="M9" s="412"/>
    </row>
    <row r="10" spans="1:13" ht="36" customHeight="1">
      <c r="A10" s="1413">
        <v>42430</v>
      </c>
      <c r="B10" s="1067">
        <v>0</v>
      </c>
      <c r="C10" s="1067">
        <v>0</v>
      </c>
      <c r="D10" s="1067">
        <f t="shared" si="1"/>
        <v>632</v>
      </c>
      <c r="E10" s="1067">
        <f t="shared" si="2"/>
        <v>176102.5</v>
      </c>
      <c r="F10" s="1067"/>
      <c r="G10" s="1245"/>
      <c r="H10" s="1414">
        <f t="shared" si="4"/>
        <v>0</v>
      </c>
      <c r="I10" s="1418"/>
      <c r="J10" s="1418">
        <f t="shared" si="5"/>
        <v>176102.5</v>
      </c>
      <c r="K10" s="1416">
        <f t="shared" si="3"/>
        <v>0</v>
      </c>
      <c r="L10" s="1417">
        <f t="shared" si="0"/>
        <v>0</v>
      </c>
      <c r="M10" s="412"/>
    </row>
    <row r="11" spans="1:13" ht="36" customHeight="1">
      <c r="A11" s="1413">
        <v>42461</v>
      </c>
      <c r="B11" s="1067">
        <v>0</v>
      </c>
      <c r="C11" s="1067">
        <v>0</v>
      </c>
      <c r="D11" s="1067">
        <f t="shared" si="1"/>
        <v>632</v>
      </c>
      <c r="E11" s="1067">
        <f t="shared" si="2"/>
        <v>176102.5</v>
      </c>
      <c r="F11" s="1067"/>
      <c r="G11" s="1245"/>
      <c r="H11" s="1414">
        <f t="shared" si="4"/>
        <v>0</v>
      </c>
      <c r="I11" s="1418"/>
      <c r="J11" s="1418">
        <f t="shared" si="5"/>
        <v>176102.5</v>
      </c>
      <c r="K11" s="1416">
        <f t="shared" si="3"/>
        <v>0</v>
      </c>
      <c r="L11" s="1417">
        <f t="shared" si="0"/>
        <v>0</v>
      </c>
      <c r="M11" s="412"/>
    </row>
    <row r="12" spans="1:13" ht="36" customHeight="1">
      <c r="A12" s="1413">
        <v>42491</v>
      </c>
      <c r="B12" s="1067">
        <v>541</v>
      </c>
      <c r="C12" s="1067">
        <v>146190</v>
      </c>
      <c r="D12" s="1067">
        <f t="shared" si="1"/>
        <v>1173</v>
      </c>
      <c r="E12" s="1067">
        <f t="shared" si="2"/>
        <v>322292.5</v>
      </c>
      <c r="F12" s="1067"/>
      <c r="G12" s="1245"/>
      <c r="H12" s="1414">
        <f t="shared" si="4"/>
        <v>0</v>
      </c>
      <c r="I12" s="1418"/>
      <c r="J12" s="1418">
        <f t="shared" si="5"/>
        <v>176102.5</v>
      </c>
      <c r="K12" s="1416">
        <f t="shared" si="3"/>
        <v>0</v>
      </c>
      <c r="L12" s="1417">
        <f t="shared" si="0"/>
        <v>146190</v>
      </c>
      <c r="M12" s="412"/>
    </row>
    <row r="13" spans="1:13" ht="36" customHeight="1">
      <c r="A13" s="1413">
        <v>42522</v>
      </c>
      <c r="B13" s="1067">
        <v>83</v>
      </c>
      <c r="C13" s="1067">
        <v>21350</v>
      </c>
      <c r="D13" s="1067">
        <f t="shared" si="1"/>
        <v>1256</v>
      </c>
      <c r="E13" s="1067">
        <f t="shared" si="2"/>
        <v>343642.5</v>
      </c>
      <c r="F13" s="1067"/>
      <c r="G13" s="1245"/>
      <c r="H13" s="1414">
        <f t="shared" si="4"/>
        <v>146190</v>
      </c>
      <c r="I13" s="1418"/>
      <c r="J13" s="1418">
        <f t="shared" si="5"/>
        <v>176102.5</v>
      </c>
      <c r="K13" s="1416">
        <f t="shared" si="3"/>
        <v>146190</v>
      </c>
      <c r="L13" s="1417">
        <f t="shared" si="0"/>
        <v>167540</v>
      </c>
      <c r="M13" s="412"/>
    </row>
    <row r="14" spans="1:13" ht="36" customHeight="1">
      <c r="A14" s="1413">
        <v>42552</v>
      </c>
      <c r="B14" s="1067">
        <v>12</v>
      </c>
      <c r="C14" s="1067">
        <v>3360</v>
      </c>
      <c r="D14" s="1067">
        <f t="shared" si="1"/>
        <v>1268</v>
      </c>
      <c r="E14" s="1067">
        <f t="shared" si="2"/>
        <v>347002.5</v>
      </c>
      <c r="F14" s="1067"/>
      <c r="G14" s="1245"/>
      <c r="H14" s="1414">
        <f t="shared" si="4"/>
        <v>21350</v>
      </c>
      <c r="I14" s="1418"/>
      <c r="J14" s="1418">
        <f t="shared" si="5"/>
        <v>176102.5</v>
      </c>
      <c r="K14" s="1416">
        <f t="shared" si="3"/>
        <v>167540</v>
      </c>
      <c r="L14" s="1417">
        <f t="shared" si="0"/>
        <v>170900</v>
      </c>
      <c r="M14" s="412" t="s">
        <v>388</v>
      </c>
    </row>
    <row r="15" spans="1:13" ht="36" customHeight="1">
      <c r="A15" s="1413">
        <v>42583</v>
      </c>
      <c r="B15" s="1067">
        <v>59.5</v>
      </c>
      <c r="C15" s="1067">
        <v>16352.5</v>
      </c>
      <c r="D15" s="1067">
        <f t="shared" si="1"/>
        <v>1327.5</v>
      </c>
      <c r="E15" s="1067">
        <f t="shared" si="2"/>
        <v>363355</v>
      </c>
      <c r="F15" s="1067"/>
      <c r="G15" s="1245"/>
      <c r="H15" s="1414">
        <f t="shared" si="4"/>
        <v>3360</v>
      </c>
      <c r="I15" s="1418"/>
      <c r="J15" s="1418">
        <f t="shared" si="5"/>
        <v>176102.5</v>
      </c>
      <c r="K15" s="1416">
        <f t="shared" si="3"/>
        <v>170900</v>
      </c>
      <c r="L15" s="1417">
        <f t="shared" si="0"/>
        <v>187252.5</v>
      </c>
      <c r="M15" s="412"/>
    </row>
    <row r="16" spans="1:13" ht="36" customHeight="1">
      <c r="A16" s="1413">
        <v>42614</v>
      </c>
      <c r="B16" s="1067">
        <v>2.5</v>
      </c>
      <c r="C16" s="1067">
        <v>737.5</v>
      </c>
      <c r="D16" s="1067">
        <f t="shared" si="1"/>
        <v>1330</v>
      </c>
      <c r="E16" s="1067">
        <f t="shared" si="2"/>
        <v>364092.5</v>
      </c>
      <c r="F16" s="1067"/>
      <c r="G16" s="1245"/>
      <c r="H16" s="1414">
        <f t="shared" si="4"/>
        <v>16352.5</v>
      </c>
      <c r="I16" s="1418">
        <v>170900</v>
      </c>
      <c r="J16" s="1418">
        <f t="shared" si="5"/>
        <v>347002.5</v>
      </c>
      <c r="K16" s="1416">
        <f t="shared" si="3"/>
        <v>16352.5</v>
      </c>
      <c r="L16" s="1417">
        <f t="shared" si="0"/>
        <v>17090</v>
      </c>
      <c r="M16" s="412"/>
    </row>
    <row r="17" spans="1:13" ht="36" customHeight="1">
      <c r="A17" s="1413">
        <v>42705</v>
      </c>
      <c r="B17" s="1067">
        <v>184</v>
      </c>
      <c r="C17" s="1067">
        <v>59800</v>
      </c>
      <c r="D17" s="1067">
        <f t="shared" si="1"/>
        <v>1514</v>
      </c>
      <c r="E17" s="1067">
        <f t="shared" si="2"/>
        <v>423892.5</v>
      </c>
      <c r="F17" s="1067"/>
      <c r="G17" s="1245"/>
      <c r="H17" s="1414">
        <f t="shared" si="4"/>
        <v>737.5</v>
      </c>
      <c r="I17" s="1418">
        <v>17090</v>
      </c>
      <c r="J17" s="1418">
        <f t="shared" si="5"/>
        <v>364092.5</v>
      </c>
      <c r="K17" s="1416">
        <f t="shared" si="3"/>
        <v>0</v>
      </c>
      <c r="L17" s="1417">
        <f t="shared" si="0"/>
        <v>59800</v>
      </c>
      <c r="M17" s="412" t="s">
        <v>389</v>
      </c>
    </row>
    <row r="18" spans="1:13" ht="36" customHeight="1">
      <c r="A18" s="1413">
        <v>42736</v>
      </c>
      <c r="B18" s="1067">
        <v>471</v>
      </c>
      <c r="C18" s="1067">
        <v>153075</v>
      </c>
      <c r="D18" s="1067">
        <f t="shared" si="1"/>
        <v>1985</v>
      </c>
      <c r="E18" s="1067">
        <f t="shared" si="2"/>
        <v>576967.5</v>
      </c>
      <c r="F18" s="1067"/>
      <c r="G18" s="1245"/>
      <c r="H18" s="1414">
        <f t="shared" si="4"/>
        <v>59800</v>
      </c>
      <c r="I18" s="1418"/>
      <c r="J18" s="1418">
        <f t="shared" si="5"/>
        <v>364092.5</v>
      </c>
      <c r="K18" s="1416">
        <f t="shared" si="3"/>
        <v>59800</v>
      </c>
      <c r="L18" s="1417">
        <f t="shared" si="0"/>
        <v>212875</v>
      </c>
      <c r="M18" s="412"/>
    </row>
    <row r="19" spans="1:13" ht="36" customHeight="1">
      <c r="A19" s="1413">
        <v>42767</v>
      </c>
      <c r="B19" s="1067">
        <v>0</v>
      </c>
      <c r="C19" s="1067">
        <v>0</v>
      </c>
      <c r="D19" s="1067">
        <f t="shared" si="1"/>
        <v>1985</v>
      </c>
      <c r="E19" s="1067">
        <f t="shared" si="2"/>
        <v>576967.5</v>
      </c>
      <c r="F19" s="1067"/>
      <c r="G19" s="1245"/>
      <c r="H19" s="1414">
        <f t="shared" si="4"/>
        <v>153075</v>
      </c>
      <c r="I19" s="1418"/>
      <c r="J19" s="1418">
        <f t="shared" si="5"/>
        <v>364092.5</v>
      </c>
      <c r="K19" s="1416">
        <f t="shared" si="3"/>
        <v>212875</v>
      </c>
      <c r="L19" s="1417">
        <f t="shared" si="0"/>
        <v>212875</v>
      </c>
      <c r="M19" s="412"/>
    </row>
    <row r="20" spans="1:13" ht="36" customHeight="1">
      <c r="A20" s="1413">
        <v>42795</v>
      </c>
      <c r="B20" s="1067">
        <v>0</v>
      </c>
      <c r="C20" s="1067">
        <v>0</v>
      </c>
      <c r="D20" s="1067">
        <f t="shared" si="1"/>
        <v>1985</v>
      </c>
      <c r="E20" s="1067">
        <f t="shared" si="2"/>
        <v>576967.5</v>
      </c>
      <c r="F20" s="1067"/>
      <c r="G20" s="1245"/>
      <c r="H20" s="1414">
        <f t="shared" si="4"/>
        <v>0</v>
      </c>
      <c r="I20" s="1418"/>
      <c r="J20" s="1418">
        <f t="shared" si="5"/>
        <v>364092.5</v>
      </c>
      <c r="K20" s="1416">
        <f t="shared" si="3"/>
        <v>212875</v>
      </c>
      <c r="L20" s="1417">
        <f t="shared" si="0"/>
        <v>212875</v>
      </c>
      <c r="M20" s="412" t="s">
        <v>390</v>
      </c>
    </row>
    <row r="21" spans="1:13" ht="36" customHeight="1">
      <c r="A21" s="1413">
        <v>42826</v>
      </c>
      <c r="B21" s="1067">
        <v>216</v>
      </c>
      <c r="C21" s="1067">
        <v>67890</v>
      </c>
      <c r="D21" s="1067">
        <f t="shared" si="1"/>
        <v>2201</v>
      </c>
      <c r="E21" s="1067">
        <f t="shared" si="2"/>
        <v>644857.5</v>
      </c>
      <c r="F21" s="1067"/>
      <c r="G21" s="1245"/>
      <c r="H21" s="1414">
        <f t="shared" si="4"/>
        <v>0</v>
      </c>
      <c r="I21" s="1418"/>
      <c r="J21" s="1418">
        <f t="shared" si="5"/>
        <v>364092.5</v>
      </c>
      <c r="K21" s="1416">
        <f t="shared" si="3"/>
        <v>212875</v>
      </c>
      <c r="L21" s="1417">
        <f t="shared" si="0"/>
        <v>280765</v>
      </c>
      <c r="M21" s="412"/>
    </row>
    <row r="22" spans="1:13" ht="36" customHeight="1">
      <c r="A22" s="1413">
        <v>42856</v>
      </c>
      <c r="B22" s="1067">
        <v>12</v>
      </c>
      <c r="C22" s="1067">
        <v>3180</v>
      </c>
      <c r="D22" s="1067">
        <f t="shared" si="1"/>
        <v>2213</v>
      </c>
      <c r="E22" s="1067">
        <f t="shared" si="2"/>
        <v>648037.5</v>
      </c>
      <c r="F22" s="1067"/>
      <c r="G22" s="1245"/>
      <c r="H22" s="1414">
        <f t="shared" si="4"/>
        <v>67890</v>
      </c>
      <c r="I22" s="1418">
        <f>153075+59800</f>
        <v>212875</v>
      </c>
      <c r="J22" s="1418">
        <f t="shared" si="5"/>
        <v>576967.5</v>
      </c>
      <c r="K22" s="1416">
        <f t="shared" si="3"/>
        <v>67890</v>
      </c>
      <c r="L22" s="1417">
        <f t="shared" si="0"/>
        <v>71070</v>
      </c>
      <c r="M22" s="412"/>
    </row>
    <row r="23" spans="1:13" ht="36" customHeight="1">
      <c r="A23" s="1413">
        <v>42917</v>
      </c>
      <c r="B23" s="1067">
        <v>0</v>
      </c>
      <c r="C23" s="1067">
        <v>0</v>
      </c>
      <c r="D23" s="1067">
        <f t="shared" si="1"/>
        <v>2213</v>
      </c>
      <c r="E23" s="1067">
        <f t="shared" si="2"/>
        <v>648037.5</v>
      </c>
      <c r="F23" s="1067"/>
      <c r="G23" s="1245"/>
      <c r="H23" s="1414">
        <f t="shared" si="4"/>
        <v>3180</v>
      </c>
      <c r="I23" s="1418"/>
      <c r="J23" s="1418">
        <f t="shared" si="5"/>
        <v>576967.5</v>
      </c>
      <c r="K23" s="1416">
        <f t="shared" si="3"/>
        <v>71070</v>
      </c>
      <c r="L23" s="1417">
        <f t="shared" si="0"/>
        <v>71070</v>
      </c>
      <c r="M23" s="412"/>
    </row>
    <row r="24" spans="1:13" ht="36" customHeight="1">
      <c r="A24" s="1413">
        <v>42948</v>
      </c>
      <c r="B24" s="1067"/>
      <c r="C24" s="1067"/>
      <c r="D24" s="1067">
        <f t="shared" si="1"/>
        <v>2213</v>
      </c>
      <c r="E24" s="1067">
        <f t="shared" si="2"/>
        <v>648037.5</v>
      </c>
      <c r="F24" s="1067"/>
      <c r="G24" s="1245"/>
      <c r="H24" s="1414">
        <f t="shared" si="4"/>
        <v>0</v>
      </c>
      <c r="I24" s="1418"/>
      <c r="J24" s="1418">
        <f t="shared" si="5"/>
        <v>576967.5</v>
      </c>
      <c r="K24" s="1416">
        <f t="shared" si="3"/>
        <v>71070</v>
      </c>
      <c r="L24" s="1417">
        <f t="shared" si="0"/>
        <v>71070</v>
      </c>
      <c r="M24" s="412" t="s">
        <v>391</v>
      </c>
    </row>
    <row r="25" spans="1:13" ht="36" customHeight="1">
      <c r="A25" s="1413"/>
      <c r="B25" s="1067"/>
      <c r="C25" s="1067"/>
      <c r="D25" s="1067"/>
      <c r="E25" s="1067"/>
      <c r="F25" s="1067"/>
      <c r="G25" s="1245"/>
      <c r="H25" s="1414"/>
      <c r="I25" s="1418"/>
      <c r="J25" s="1418"/>
      <c r="K25" s="1416">
        <f t="shared" si="3"/>
        <v>71070</v>
      </c>
      <c r="L25" s="259"/>
      <c r="M25" s="412"/>
    </row>
    <row r="26" spans="1:13" ht="36" customHeight="1">
      <c r="A26" s="1413"/>
      <c r="B26" s="1067"/>
      <c r="C26" s="1067"/>
      <c r="D26" s="1067"/>
      <c r="E26" s="1067"/>
      <c r="F26" s="1067"/>
      <c r="G26" s="1245"/>
      <c r="H26" s="1414"/>
      <c r="I26" s="1418"/>
      <c r="J26" s="1418"/>
      <c r="K26" s="1416"/>
      <c r="L26" s="259"/>
      <c r="M26" s="412"/>
    </row>
    <row r="27" spans="1:13" ht="36" customHeight="1">
      <c r="A27" s="1413"/>
      <c r="B27" s="1067"/>
      <c r="C27" s="1067"/>
      <c r="D27" s="1067"/>
      <c r="E27" s="1067"/>
      <c r="F27" s="1067"/>
      <c r="G27" s="1245"/>
      <c r="H27" s="1414"/>
      <c r="I27" s="1418"/>
      <c r="J27" s="1418"/>
      <c r="K27" s="1067"/>
      <c r="L27" s="259"/>
      <c r="M27" s="412"/>
    </row>
    <row r="32" spans="1:13">
      <c r="G32" s="287"/>
    </row>
    <row r="33" spans="7:7">
      <c r="G33" s="287"/>
    </row>
    <row r="34" spans="7:7">
      <c r="G34" s="287"/>
    </row>
    <row r="35" spans="7:7">
      <c r="G35" s="287"/>
    </row>
    <row r="36" spans="7:7">
      <c r="G36" s="287"/>
    </row>
    <row r="37" spans="7:7">
      <c r="G37" s="287"/>
    </row>
    <row r="38" spans="7:7">
      <c r="G38" s="287"/>
    </row>
    <row r="39" spans="7:7">
      <c r="G39" s="287"/>
    </row>
    <row r="40" spans="7:7">
      <c r="G40" s="287"/>
    </row>
    <row r="41" spans="7:7">
      <c r="G41" s="287"/>
    </row>
    <row r="42" spans="7:7">
      <c r="G42" s="287"/>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5"/>
  <sheetViews>
    <sheetView topLeftCell="A16" zoomScaleSheetLayoutView="100" workbookViewId="0">
      <selection activeCell="A23" sqref="A23"/>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11.875" customWidth="1"/>
    <col min="12" max="12" width="13.875" customWidth="1"/>
    <col min="13" max="13" width="27.375" customWidth="1"/>
  </cols>
  <sheetData>
    <row r="1" spans="1:13" ht="117" customHeight="1">
      <c r="A1" s="34" t="s">
        <v>556</v>
      </c>
      <c r="B1" s="176" t="s">
        <v>1781</v>
      </c>
      <c r="C1" s="38" t="s">
        <v>1388</v>
      </c>
      <c r="D1" s="1124" t="s">
        <v>1782</v>
      </c>
      <c r="E1" s="38" t="s">
        <v>236</v>
      </c>
      <c r="F1" s="1893"/>
      <c r="G1" s="1790"/>
      <c r="H1" s="1172" t="s">
        <v>1783</v>
      </c>
      <c r="I1" s="1633" t="s">
        <v>1784</v>
      </c>
      <c r="J1" s="1633"/>
      <c r="K1" s="1633"/>
      <c r="L1" s="1904" t="s">
        <v>1785</v>
      </c>
      <c r="M1" s="1812"/>
    </row>
    <row r="2" spans="1:13" ht="50.1" customHeight="1">
      <c r="A2" s="39" t="s">
        <v>240</v>
      </c>
      <c r="B2" s="1637" t="s">
        <v>1786</v>
      </c>
      <c r="C2" s="1637"/>
      <c r="D2" s="41" t="s">
        <v>242</v>
      </c>
      <c r="E2" s="1158"/>
      <c r="F2" s="90" t="s">
        <v>1561</v>
      </c>
      <c r="G2" s="90"/>
      <c r="H2" s="40" t="s">
        <v>425</v>
      </c>
      <c r="I2" s="1921" t="s">
        <v>1787</v>
      </c>
      <c r="J2" s="1922"/>
      <c r="K2" s="1922"/>
      <c r="L2" s="1922"/>
      <c r="M2" s="1923"/>
    </row>
    <row r="3" spans="1:13" ht="57.95" customHeight="1">
      <c r="A3" s="39" t="s">
        <v>247</v>
      </c>
      <c r="B3" s="1637" t="s">
        <v>1788</v>
      </c>
      <c r="C3" s="1637"/>
      <c r="D3" s="41" t="s">
        <v>249</v>
      </c>
      <c r="E3" s="40" t="s">
        <v>1789</v>
      </c>
      <c r="F3" s="40" t="s">
        <v>1706</v>
      </c>
      <c r="G3" s="40"/>
      <c r="H3" s="184" t="s">
        <v>1790</v>
      </c>
      <c r="I3" s="531" t="s">
        <v>243</v>
      </c>
      <c r="J3" s="1866" t="s">
        <v>421</v>
      </c>
      <c r="K3" s="1675"/>
      <c r="L3" s="1131" t="s">
        <v>245</v>
      </c>
      <c r="M3" s="1132" t="s">
        <v>1791</v>
      </c>
    </row>
    <row r="4" spans="1:13" ht="72" customHeight="1">
      <c r="A4" s="1127" t="s">
        <v>260</v>
      </c>
      <c r="B4" s="1764" t="s">
        <v>1792</v>
      </c>
      <c r="C4" s="1764"/>
      <c r="D4" s="1764"/>
      <c r="E4" s="1764"/>
      <c r="F4" s="1764"/>
      <c r="G4" s="1895" t="s">
        <v>1793</v>
      </c>
      <c r="H4" s="1895"/>
      <c r="I4" s="1895"/>
      <c r="J4" s="1895"/>
      <c r="K4" s="1150"/>
      <c r="L4" s="15" t="s">
        <v>1469</v>
      </c>
      <c r="M4" s="92" t="s">
        <v>1794</v>
      </c>
    </row>
    <row r="5" spans="1:13" ht="54" customHeight="1">
      <c r="A5" s="39" t="s">
        <v>258</v>
      </c>
      <c r="B5" s="1890"/>
      <c r="C5" s="1891"/>
      <c r="D5" s="1890"/>
      <c r="E5" s="1892"/>
      <c r="F5" s="1892"/>
      <c r="G5" s="1889"/>
      <c r="H5" s="1889"/>
      <c r="I5" s="1889"/>
      <c r="J5" s="1889"/>
      <c r="L5" s="178"/>
      <c r="M5" s="1134"/>
    </row>
    <row r="6" spans="1:13" ht="42.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42461</v>
      </c>
      <c r="B7" s="412">
        <v>289</v>
      </c>
      <c r="C7" s="412">
        <v>70340</v>
      </c>
      <c r="D7" s="412">
        <f>B7</f>
        <v>289</v>
      </c>
      <c r="E7" s="412">
        <f>C7</f>
        <v>70340</v>
      </c>
      <c r="F7" s="412"/>
      <c r="G7" s="412">
        <f t="shared" ref="G7:G16" si="0">C7</f>
        <v>70340</v>
      </c>
      <c r="H7" s="412"/>
      <c r="I7" s="412"/>
      <c r="J7" s="412"/>
      <c r="K7" s="412"/>
      <c r="L7" s="412">
        <f>E7-J7</f>
        <v>70340</v>
      </c>
      <c r="M7" s="682"/>
    </row>
    <row r="8" spans="1:13" ht="27.95" customHeight="1">
      <c r="A8" s="324">
        <v>42491</v>
      </c>
      <c r="B8" s="412">
        <v>433</v>
      </c>
      <c r="C8" s="412">
        <v>105440</v>
      </c>
      <c r="D8" s="412">
        <f t="shared" ref="D8:D22" si="1">D7+B8</f>
        <v>722</v>
      </c>
      <c r="E8" s="412">
        <f t="shared" ref="E8:E22" si="2">E7+C8</f>
        <v>175780</v>
      </c>
      <c r="F8" s="412"/>
      <c r="G8" s="412">
        <f t="shared" si="0"/>
        <v>105440</v>
      </c>
      <c r="H8" s="412"/>
      <c r="I8" s="412"/>
      <c r="J8" s="412"/>
      <c r="K8" s="412">
        <f t="shared" ref="K8:K23" si="3">K7+H8-I8</f>
        <v>0</v>
      </c>
      <c r="L8" s="412">
        <f t="shared" ref="L8:L22" si="4">E8-J8</f>
        <v>175780</v>
      </c>
      <c r="M8" s="682"/>
    </row>
    <row r="9" spans="1:13" ht="27.95" customHeight="1">
      <c r="A9" s="324">
        <v>42522</v>
      </c>
      <c r="B9" s="412">
        <f>98+73</f>
        <v>171</v>
      </c>
      <c r="C9" s="412">
        <v>43395</v>
      </c>
      <c r="D9" s="412">
        <f t="shared" si="1"/>
        <v>893</v>
      </c>
      <c r="E9" s="412">
        <f t="shared" si="2"/>
        <v>219175</v>
      </c>
      <c r="F9" s="412"/>
      <c r="G9" s="412">
        <f t="shared" si="0"/>
        <v>43395</v>
      </c>
      <c r="H9" s="1173">
        <f>C7</f>
        <v>70340</v>
      </c>
      <c r="I9" s="412"/>
      <c r="J9" s="412"/>
      <c r="K9" s="412">
        <f t="shared" si="3"/>
        <v>70340</v>
      </c>
      <c r="L9" s="412">
        <f t="shared" si="4"/>
        <v>219175</v>
      </c>
      <c r="M9" s="682"/>
    </row>
    <row r="10" spans="1:13" ht="27.95" customHeight="1">
      <c r="A10" s="324">
        <v>42552</v>
      </c>
      <c r="B10" s="412">
        <v>2523</v>
      </c>
      <c r="C10" s="412">
        <v>692945</v>
      </c>
      <c r="D10" s="412">
        <f t="shared" si="1"/>
        <v>3416</v>
      </c>
      <c r="E10" s="412">
        <f t="shared" si="2"/>
        <v>912120</v>
      </c>
      <c r="F10" s="412"/>
      <c r="G10" s="412">
        <f t="shared" si="0"/>
        <v>692945</v>
      </c>
      <c r="H10" s="1173">
        <f t="shared" ref="H10:H17" si="5">C8</f>
        <v>105440</v>
      </c>
      <c r="I10" s="412">
        <v>219175</v>
      </c>
      <c r="J10" s="412">
        <f>I10</f>
        <v>219175</v>
      </c>
      <c r="K10" s="412">
        <f t="shared" si="3"/>
        <v>-43395</v>
      </c>
      <c r="L10" s="412">
        <f t="shared" si="4"/>
        <v>692945</v>
      </c>
      <c r="M10" s="682" t="s">
        <v>1795</v>
      </c>
    </row>
    <row r="11" spans="1:13" ht="27.95" customHeight="1">
      <c r="A11" s="324">
        <v>42583</v>
      </c>
      <c r="B11" s="412">
        <v>2501.5</v>
      </c>
      <c r="C11" s="412">
        <v>676820</v>
      </c>
      <c r="D11" s="412">
        <f t="shared" si="1"/>
        <v>5917.5</v>
      </c>
      <c r="E11" s="412">
        <f t="shared" si="2"/>
        <v>1588940</v>
      </c>
      <c r="F11" s="412"/>
      <c r="G11" s="412">
        <f t="shared" si="0"/>
        <v>676820</v>
      </c>
      <c r="H11" s="1173">
        <f t="shared" si="5"/>
        <v>43395</v>
      </c>
      <c r="I11" s="412"/>
      <c r="J11" s="412">
        <f t="shared" ref="J11:J22" si="6">J10+I11</f>
        <v>219175</v>
      </c>
      <c r="K11" s="412">
        <f t="shared" si="3"/>
        <v>0</v>
      </c>
      <c r="L11" s="412">
        <f t="shared" si="4"/>
        <v>1369765</v>
      </c>
      <c r="M11" s="682"/>
    </row>
    <row r="12" spans="1:13" ht="27.95" customHeight="1">
      <c r="A12" s="324">
        <v>42614</v>
      </c>
      <c r="B12" s="412">
        <v>1391</v>
      </c>
      <c r="C12" s="412">
        <v>339140</v>
      </c>
      <c r="D12" s="412">
        <f t="shared" si="1"/>
        <v>7308.5</v>
      </c>
      <c r="E12" s="412">
        <f t="shared" si="2"/>
        <v>1928080</v>
      </c>
      <c r="F12" s="412"/>
      <c r="G12" s="412">
        <f t="shared" si="0"/>
        <v>339140</v>
      </c>
      <c r="H12" s="412">
        <f t="shared" si="5"/>
        <v>692945</v>
      </c>
      <c r="I12" s="412">
        <v>400000</v>
      </c>
      <c r="J12" s="412">
        <f t="shared" si="6"/>
        <v>619175</v>
      </c>
      <c r="K12" s="412">
        <f t="shared" si="3"/>
        <v>292945</v>
      </c>
      <c r="L12" s="412">
        <f t="shared" si="4"/>
        <v>1308905</v>
      </c>
      <c r="M12" s="682" t="s">
        <v>1796</v>
      </c>
    </row>
    <row r="13" spans="1:13" ht="27.95" customHeight="1">
      <c r="A13" s="324">
        <v>42644</v>
      </c>
      <c r="B13" s="412">
        <v>2957.5</v>
      </c>
      <c r="C13" s="412">
        <v>715745</v>
      </c>
      <c r="D13" s="412">
        <f t="shared" si="1"/>
        <v>10266</v>
      </c>
      <c r="E13" s="412">
        <f t="shared" si="2"/>
        <v>2643825</v>
      </c>
      <c r="F13" s="412"/>
      <c r="G13" s="412">
        <f t="shared" si="0"/>
        <v>715745</v>
      </c>
      <c r="H13" s="412">
        <f t="shared" si="5"/>
        <v>676820</v>
      </c>
      <c r="I13" s="412">
        <v>676820</v>
      </c>
      <c r="J13" s="412">
        <f t="shared" si="6"/>
        <v>1295995</v>
      </c>
      <c r="K13" s="412">
        <f t="shared" si="3"/>
        <v>292945</v>
      </c>
      <c r="L13" s="412">
        <f t="shared" si="4"/>
        <v>1347830</v>
      </c>
      <c r="M13" s="682" t="s">
        <v>1797</v>
      </c>
    </row>
    <row r="14" spans="1:13" ht="27.95" customHeight="1">
      <c r="A14" s="324">
        <v>42675</v>
      </c>
      <c r="B14" s="412">
        <v>4837.5</v>
      </c>
      <c r="C14" s="412">
        <v>1249896</v>
      </c>
      <c r="D14" s="412">
        <f t="shared" si="1"/>
        <v>15103.5</v>
      </c>
      <c r="E14" s="412">
        <f t="shared" si="2"/>
        <v>3893721</v>
      </c>
      <c r="F14" s="412"/>
      <c r="G14" s="412">
        <f t="shared" si="0"/>
        <v>1249896</v>
      </c>
      <c r="H14" s="412">
        <f t="shared" si="5"/>
        <v>339140</v>
      </c>
      <c r="I14" s="412">
        <v>292945</v>
      </c>
      <c r="J14" s="412">
        <f t="shared" si="6"/>
        <v>1588940</v>
      </c>
      <c r="K14" s="412">
        <f t="shared" si="3"/>
        <v>339140</v>
      </c>
      <c r="L14" s="412">
        <f t="shared" si="4"/>
        <v>2304781</v>
      </c>
      <c r="M14" s="682" t="s">
        <v>1798</v>
      </c>
    </row>
    <row r="15" spans="1:13" ht="27.95" customHeight="1">
      <c r="A15" s="324">
        <v>42705</v>
      </c>
      <c r="B15" s="412">
        <v>4245.5</v>
      </c>
      <c r="C15" s="412">
        <v>1140948</v>
      </c>
      <c r="D15" s="412">
        <f t="shared" si="1"/>
        <v>19349</v>
      </c>
      <c r="E15" s="412">
        <f t="shared" si="2"/>
        <v>5034669</v>
      </c>
      <c r="F15" s="412"/>
      <c r="G15" s="412">
        <f t="shared" si="0"/>
        <v>1140948</v>
      </c>
      <c r="H15" s="412">
        <f t="shared" si="5"/>
        <v>715745</v>
      </c>
      <c r="I15" s="412">
        <v>339140</v>
      </c>
      <c r="J15" s="412">
        <f t="shared" si="6"/>
        <v>1928080</v>
      </c>
      <c r="K15" s="412">
        <f t="shared" si="3"/>
        <v>715745</v>
      </c>
      <c r="L15" s="412">
        <f t="shared" si="4"/>
        <v>3106589</v>
      </c>
      <c r="M15" s="682" t="s">
        <v>1799</v>
      </c>
    </row>
    <row r="16" spans="1:13" ht="27.95" customHeight="1">
      <c r="A16" s="324">
        <v>42736</v>
      </c>
      <c r="B16" s="412">
        <v>2365</v>
      </c>
      <c r="C16" s="412">
        <v>667040</v>
      </c>
      <c r="D16" s="412">
        <f t="shared" si="1"/>
        <v>21714</v>
      </c>
      <c r="E16" s="412">
        <f t="shared" si="2"/>
        <v>5701709</v>
      </c>
      <c r="F16" s="412"/>
      <c r="G16" s="412">
        <f t="shared" si="0"/>
        <v>667040</v>
      </c>
      <c r="H16" s="412">
        <f t="shared" si="5"/>
        <v>1249896</v>
      </c>
      <c r="I16" s="412">
        <v>715745</v>
      </c>
      <c r="J16" s="412">
        <f t="shared" si="6"/>
        <v>2643825</v>
      </c>
      <c r="K16" s="412">
        <f t="shared" si="3"/>
        <v>1249896</v>
      </c>
      <c r="L16" s="412">
        <f t="shared" si="4"/>
        <v>3057884</v>
      </c>
      <c r="M16" s="682" t="s">
        <v>1800</v>
      </c>
    </row>
    <row r="17" spans="1:13" ht="27.95" customHeight="1">
      <c r="A17" s="324" t="s">
        <v>1404</v>
      </c>
      <c r="B17" s="412"/>
      <c r="C17" s="224">
        <v>118488.56733307093</v>
      </c>
      <c r="D17" s="412">
        <f t="shared" si="1"/>
        <v>21714</v>
      </c>
      <c r="E17" s="224">
        <f t="shared" si="2"/>
        <v>5820197.5673330706</v>
      </c>
      <c r="F17" s="412"/>
      <c r="G17" s="412">
        <f>C16</f>
        <v>667040</v>
      </c>
      <c r="H17" s="1141">
        <f t="shared" si="5"/>
        <v>1140948</v>
      </c>
      <c r="I17" s="412"/>
      <c r="J17" s="412">
        <f t="shared" si="6"/>
        <v>2643825</v>
      </c>
      <c r="K17" s="412">
        <f t="shared" si="3"/>
        <v>2390844</v>
      </c>
      <c r="L17" s="224">
        <f t="shared" si="4"/>
        <v>3176372.5673330706</v>
      </c>
      <c r="M17" s="1174" t="s">
        <v>1801</v>
      </c>
    </row>
    <row r="18" spans="1:13" ht="27.95" customHeight="1">
      <c r="A18" s="324">
        <v>42795</v>
      </c>
      <c r="B18" s="412">
        <v>340.5</v>
      </c>
      <c r="C18" s="412">
        <v>96205</v>
      </c>
      <c r="D18" s="412">
        <f t="shared" si="1"/>
        <v>22054.5</v>
      </c>
      <c r="E18" s="224">
        <f t="shared" si="2"/>
        <v>5916402.5673330706</v>
      </c>
      <c r="F18" s="412"/>
      <c r="G18" s="412">
        <f>C18</f>
        <v>96205</v>
      </c>
      <c r="H18" s="412">
        <f>C17</f>
        <v>118488.56733307093</v>
      </c>
      <c r="I18" s="412"/>
      <c r="J18" s="412">
        <f t="shared" si="6"/>
        <v>2643825</v>
      </c>
      <c r="K18" s="412">
        <f t="shared" si="3"/>
        <v>2509332.567333071</v>
      </c>
      <c r="L18" s="224">
        <f t="shared" si="4"/>
        <v>3272577.5673330706</v>
      </c>
      <c r="M18" s="682"/>
    </row>
    <row r="19" spans="1:13" ht="27.95" customHeight="1">
      <c r="A19" s="324">
        <v>42826</v>
      </c>
      <c r="B19" s="412">
        <v>239</v>
      </c>
      <c r="C19" s="412">
        <v>67525</v>
      </c>
      <c r="D19" s="412">
        <f t="shared" si="1"/>
        <v>22293.5</v>
      </c>
      <c r="E19" s="224">
        <f t="shared" si="2"/>
        <v>5983927.5673330706</v>
      </c>
      <c r="F19" s="412"/>
      <c r="G19" s="412">
        <f>C19</f>
        <v>67525</v>
      </c>
      <c r="H19" s="412">
        <f>C16</f>
        <v>667040</v>
      </c>
      <c r="I19" s="412"/>
      <c r="J19" s="412">
        <f t="shared" si="6"/>
        <v>2643825</v>
      </c>
      <c r="K19" s="412">
        <f t="shared" si="3"/>
        <v>3176372.567333071</v>
      </c>
      <c r="L19" s="224">
        <f t="shared" si="4"/>
        <v>3340102.5673330706</v>
      </c>
      <c r="M19" s="682"/>
    </row>
    <row r="20" spans="1:13" ht="27.95" customHeight="1">
      <c r="A20" s="324">
        <v>42856</v>
      </c>
      <c r="B20" s="412">
        <v>0</v>
      </c>
      <c r="C20" s="224">
        <v>0</v>
      </c>
      <c r="D20" s="412">
        <f t="shared" si="1"/>
        <v>22293.5</v>
      </c>
      <c r="E20" s="224">
        <f t="shared" si="2"/>
        <v>5983927.5673330706</v>
      </c>
      <c r="F20" s="412"/>
      <c r="G20" s="412">
        <f>C20</f>
        <v>0</v>
      </c>
      <c r="H20" s="412">
        <f>C18</f>
        <v>96205</v>
      </c>
      <c r="I20" s="412">
        <v>400000</v>
      </c>
      <c r="J20" s="412">
        <f t="shared" si="6"/>
        <v>3043825</v>
      </c>
      <c r="K20" s="412">
        <f t="shared" si="3"/>
        <v>2872577.567333071</v>
      </c>
      <c r="L20" s="224">
        <f t="shared" si="4"/>
        <v>2940102.5673330706</v>
      </c>
      <c r="M20" s="682" t="s">
        <v>1802</v>
      </c>
    </row>
    <row r="21" spans="1:13" ht="27.95" customHeight="1">
      <c r="A21" s="324">
        <v>42887</v>
      </c>
      <c r="B21" s="412">
        <v>0</v>
      </c>
      <c r="C21" s="412">
        <v>0</v>
      </c>
      <c r="D21" s="412">
        <f t="shared" si="1"/>
        <v>22293.5</v>
      </c>
      <c r="E21" s="224">
        <f t="shared" si="2"/>
        <v>5983927.5673330706</v>
      </c>
      <c r="F21" s="412"/>
      <c r="G21" s="412">
        <f>C21</f>
        <v>0</v>
      </c>
      <c r="H21" s="412">
        <f>C19</f>
        <v>67525</v>
      </c>
      <c r="I21" s="412"/>
      <c r="J21" s="412">
        <f t="shared" si="6"/>
        <v>3043825</v>
      </c>
      <c r="K21" s="412">
        <f t="shared" si="3"/>
        <v>2940102.567333071</v>
      </c>
      <c r="L21" s="224">
        <f t="shared" si="4"/>
        <v>2940102.5673330706</v>
      </c>
      <c r="M21" s="682" t="s">
        <v>1803</v>
      </c>
    </row>
    <row r="22" spans="1:13" ht="27.95" customHeight="1">
      <c r="A22" s="324">
        <v>42948</v>
      </c>
      <c r="B22" s="412">
        <v>0</v>
      </c>
      <c r="C22" s="412">
        <v>0</v>
      </c>
      <c r="D22" s="412">
        <f t="shared" si="1"/>
        <v>22293.5</v>
      </c>
      <c r="E22" s="224">
        <f t="shared" si="2"/>
        <v>5983927.5673330706</v>
      </c>
      <c r="F22" s="412"/>
      <c r="G22" s="412">
        <f>C22</f>
        <v>0</v>
      </c>
      <c r="H22" s="412">
        <f>C20</f>
        <v>0</v>
      </c>
      <c r="I22" s="412"/>
      <c r="J22" s="412">
        <f t="shared" si="6"/>
        <v>3043825</v>
      </c>
      <c r="K22" s="412">
        <f t="shared" si="3"/>
        <v>2940102.567333071</v>
      </c>
      <c r="L22" s="224">
        <f t="shared" si="4"/>
        <v>2940102.5673330706</v>
      </c>
      <c r="M22" s="682"/>
    </row>
    <row r="23" spans="1:13" ht="27.95" customHeight="1">
      <c r="A23" s="324"/>
      <c r="B23" s="412"/>
      <c r="C23" s="412"/>
      <c r="D23" s="412"/>
      <c r="E23" s="412"/>
      <c r="F23" s="412"/>
      <c r="G23" s="412"/>
      <c r="H23" s="412">
        <f>C21</f>
        <v>0</v>
      </c>
      <c r="I23" s="412"/>
      <c r="J23" s="412"/>
      <c r="K23" s="412">
        <f t="shared" si="3"/>
        <v>2940102.567333071</v>
      </c>
      <c r="L23" s="412"/>
      <c r="M23" s="682"/>
    </row>
    <row r="24" spans="1:13" ht="27.95" customHeight="1">
      <c r="A24" s="324"/>
      <c r="B24" s="412"/>
      <c r="C24" s="412"/>
      <c r="D24" s="412"/>
      <c r="E24" s="412"/>
      <c r="F24" s="412"/>
      <c r="G24" s="412"/>
      <c r="H24" s="412"/>
      <c r="I24" s="412"/>
      <c r="J24" s="412"/>
      <c r="K24" s="412"/>
      <c r="L24" s="412"/>
      <c r="M24" s="682"/>
    </row>
    <row r="25" spans="1:13" ht="27.95" customHeight="1">
      <c r="A25" s="324"/>
      <c r="B25" s="412"/>
      <c r="C25" s="412"/>
      <c r="D25" s="412"/>
      <c r="E25" s="412"/>
      <c r="F25" s="412"/>
      <c r="G25" s="412"/>
      <c r="H25" s="412"/>
      <c r="I25" s="412"/>
      <c r="J25" s="412"/>
      <c r="K25" s="412"/>
      <c r="L25" s="412"/>
      <c r="M25" s="682"/>
    </row>
  </sheetData>
  <mergeCells count="12">
    <mergeCell ref="B5:C5"/>
    <mergeCell ref="D5:F5"/>
    <mergeCell ref="G5:J5"/>
    <mergeCell ref="F1:G1"/>
    <mergeCell ref="I1:K1"/>
    <mergeCell ref="L1:M1"/>
    <mergeCell ref="B2:C2"/>
    <mergeCell ref="I2:M2"/>
    <mergeCell ref="B3:C3"/>
    <mergeCell ref="J3:K3"/>
    <mergeCell ref="B4:F4"/>
    <mergeCell ref="G4:J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3"/>
  <sheetViews>
    <sheetView topLeftCell="A13" zoomScaleSheetLayoutView="100" workbookViewId="0">
      <selection activeCell="A21" sqref="A21"/>
    </sheetView>
  </sheetViews>
  <sheetFormatPr defaultColWidth="9" defaultRowHeight="14.25"/>
  <cols>
    <col min="1" max="1" width="15.2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17.875" customWidth="1"/>
    <col min="12" max="12" width="13.875" customWidth="1"/>
    <col min="13" max="13" width="27.375" customWidth="1"/>
  </cols>
  <sheetData>
    <row r="1" spans="1:13" ht="117" customHeight="1">
      <c r="A1" s="34" t="s">
        <v>556</v>
      </c>
      <c r="B1" s="176" t="s">
        <v>1804</v>
      </c>
      <c r="C1" s="38" t="s">
        <v>1605</v>
      </c>
      <c r="D1" s="1124" t="s">
        <v>1805</v>
      </c>
      <c r="E1" s="38" t="s">
        <v>236</v>
      </c>
      <c r="F1" s="1893" t="s">
        <v>1804</v>
      </c>
      <c r="G1" s="1790"/>
      <c r="H1" s="1126" t="s">
        <v>237</v>
      </c>
      <c r="I1" s="1633" t="s">
        <v>1806</v>
      </c>
      <c r="J1" s="1633"/>
      <c r="K1" s="1633"/>
      <c r="L1" s="1904" t="s">
        <v>1807</v>
      </c>
      <c r="M1" s="1812"/>
    </row>
    <row r="2" spans="1:13" ht="50.1" customHeight="1">
      <c r="A2" s="39" t="s">
        <v>240</v>
      </c>
      <c r="B2" s="1637" t="s">
        <v>925</v>
      </c>
      <c r="C2" s="1637"/>
      <c r="D2" s="41" t="s">
        <v>242</v>
      </c>
      <c r="E2" s="1832" t="s">
        <v>1808</v>
      </c>
      <c r="F2" s="1833"/>
      <c r="G2" s="40" t="s">
        <v>1561</v>
      </c>
      <c r="H2" s="40" t="s">
        <v>425</v>
      </c>
      <c r="I2" s="1921" t="s">
        <v>1809</v>
      </c>
      <c r="J2" s="1922"/>
      <c r="K2" s="1922"/>
      <c r="L2" s="1922"/>
      <c r="M2" s="1923"/>
    </row>
    <row r="3" spans="1:13" ht="57.95" customHeight="1">
      <c r="A3" s="39" t="s">
        <v>247</v>
      </c>
      <c r="B3" s="1637" t="s">
        <v>1810</v>
      </c>
      <c r="C3" s="1637"/>
      <c r="D3" s="41" t="s">
        <v>249</v>
      </c>
      <c r="E3" s="268" t="s">
        <v>1811</v>
      </c>
      <c r="F3" s="40" t="s">
        <v>1812</v>
      </c>
      <c r="G3" s="40" t="s">
        <v>1813</v>
      </c>
      <c r="H3" s="177"/>
      <c r="I3" s="531" t="s">
        <v>243</v>
      </c>
      <c r="J3" s="1866">
        <v>0.05</v>
      </c>
      <c r="K3" s="1675"/>
      <c r="L3" s="1131" t="s">
        <v>245</v>
      </c>
      <c r="M3" s="1132" t="s">
        <v>1814</v>
      </c>
    </row>
    <row r="4" spans="1:13" ht="72" customHeight="1">
      <c r="A4" s="1127" t="s">
        <v>260</v>
      </c>
      <c r="B4" s="1764" t="s">
        <v>1815</v>
      </c>
      <c r="C4" s="1764"/>
      <c r="D4" s="1764"/>
      <c r="E4" s="1764"/>
      <c r="F4" s="1764"/>
      <c r="G4" s="1896" t="s">
        <v>1793</v>
      </c>
      <c r="H4" s="1906"/>
      <c r="I4" s="1907"/>
      <c r="J4" s="91" t="s">
        <v>253</v>
      </c>
      <c r="K4" s="1133" t="s">
        <v>1816</v>
      </c>
      <c r="L4" s="15" t="s">
        <v>1469</v>
      </c>
      <c r="M4" s="92" t="s">
        <v>1817</v>
      </c>
    </row>
    <row r="5" spans="1:13" ht="69.95" customHeight="1">
      <c r="A5" s="39" t="s">
        <v>258</v>
      </c>
      <c r="B5" s="1890"/>
      <c r="C5" s="1891"/>
      <c r="D5" s="1908"/>
      <c r="E5" s="1909"/>
      <c r="F5" s="1909"/>
      <c r="G5" s="1890"/>
      <c r="H5" s="1892"/>
      <c r="I5" s="1891"/>
      <c r="J5" s="1926"/>
      <c r="K5" s="1927"/>
      <c r="L5" s="1927"/>
      <c r="M5" s="1928"/>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42491</v>
      </c>
      <c r="B7" s="412">
        <v>10</v>
      </c>
      <c r="C7" s="412">
        <v>2300</v>
      </c>
      <c r="D7" s="412">
        <f>B7</f>
        <v>10</v>
      </c>
      <c r="E7" s="412">
        <f>C7</f>
        <v>2300</v>
      </c>
      <c r="F7" s="412"/>
      <c r="G7" s="412">
        <f t="shared" ref="G7:G20" si="0">C7</f>
        <v>2300</v>
      </c>
      <c r="H7" s="412"/>
      <c r="I7" s="412"/>
      <c r="J7" s="412"/>
      <c r="K7" s="412"/>
      <c r="L7" s="412">
        <f t="shared" ref="L7:L20" si="1">E7-J7</f>
        <v>2300</v>
      </c>
      <c r="M7" s="682"/>
    </row>
    <row r="8" spans="1:13" ht="27.95" customHeight="1">
      <c r="A8" s="324">
        <v>42552</v>
      </c>
      <c r="B8" s="412">
        <v>72</v>
      </c>
      <c r="C8" s="412">
        <v>18960</v>
      </c>
      <c r="D8" s="412">
        <f>D7+B8</f>
        <v>82</v>
      </c>
      <c r="E8" s="412">
        <f t="shared" ref="E8:E20" si="2">E7+C8</f>
        <v>21260</v>
      </c>
      <c r="F8" s="412"/>
      <c r="G8" s="412">
        <f t="shared" si="0"/>
        <v>18960</v>
      </c>
      <c r="H8" s="412"/>
      <c r="I8" s="412"/>
      <c r="J8" s="412"/>
      <c r="K8" s="412"/>
      <c r="L8" s="412">
        <f t="shared" si="1"/>
        <v>21260</v>
      </c>
      <c r="M8" s="682"/>
    </row>
    <row r="9" spans="1:13" ht="27.95" customHeight="1">
      <c r="A9" s="324">
        <v>42583</v>
      </c>
      <c r="B9" s="412">
        <v>312</v>
      </c>
      <c r="C9" s="412">
        <v>78530</v>
      </c>
      <c r="D9" s="412">
        <f t="shared" ref="D9:D20" si="3">D8+B9</f>
        <v>394</v>
      </c>
      <c r="E9" s="412">
        <f t="shared" si="2"/>
        <v>99790</v>
      </c>
      <c r="F9" s="412"/>
      <c r="G9" s="412">
        <f t="shared" si="0"/>
        <v>78530</v>
      </c>
      <c r="H9" s="412">
        <f>C7</f>
        <v>2300</v>
      </c>
      <c r="I9" s="412"/>
      <c r="J9" s="412"/>
      <c r="K9" s="412">
        <f t="shared" ref="K9:K21" si="4">K8+H9-I9</f>
        <v>2300</v>
      </c>
      <c r="L9" s="412">
        <f t="shared" si="1"/>
        <v>99790</v>
      </c>
      <c r="M9" s="682"/>
    </row>
    <row r="10" spans="1:13" ht="27.95" customHeight="1">
      <c r="A10" s="324">
        <v>42614</v>
      </c>
      <c r="B10" s="412">
        <v>1784</v>
      </c>
      <c r="C10" s="412">
        <v>471030</v>
      </c>
      <c r="D10" s="412">
        <f t="shared" si="3"/>
        <v>2178</v>
      </c>
      <c r="E10" s="412">
        <f t="shared" si="2"/>
        <v>570820</v>
      </c>
      <c r="F10" s="412"/>
      <c r="G10" s="412">
        <f t="shared" si="0"/>
        <v>471030</v>
      </c>
      <c r="H10" s="412">
        <f t="shared" ref="H10:H20" si="5">C8</f>
        <v>18960</v>
      </c>
      <c r="I10" s="412"/>
      <c r="J10" s="412"/>
      <c r="K10" s="412">
        <f t="shared" si="4"/>
        <v>21260</v>
      </c>
      <c r="L10" s="412">
        <f t="shared" si="1"/>
        <v>570820</v>
      </c>
      <c r="M10" s="682"/>
    </row>
    <row r="11" spans="1:13" ht="27.95" customHeight="1">
      <c r="A11" s="324">
        <v>42644</v>
      </c>
      <c r="B11" s="412">
        <v>1165.5</v>
      </c>
      <c r="C11" s="412">
        <v>316412.5</v>
      </c>
      <c r="D11" s="412">
        <f t="shared" si="3"/>
        <v>3343.5</v>
      </c>
      <c r="E11" s="412">
        <f t="shared" si="2"/>
        <v>887232.5</v>
      </c>
      <c r="F11" s="412"/>
      <c r="G11" s="412">
        <f t="shared" si="0"/>
        <v>316412.5</v>
      </c>
      <c r="H11" s="412">
        <f t="shared" si="5"/>
        <v>78530</v>
      </c>
      <c r="I11" s="412"/>
      <c r="J11" s="412"/>
      <c r="K11" s="412">
        <f t="shared" si="4"/>
        <v>99790</v>
      </c>
      <c r="L11" s="412">
        <f t="shared" si="1"/>
        <v>887232.5</v>
      </c>
      <c r="M11" s="682" t="s">
        <v>1818</v>
      </c>
    </row>
    <row r="12" spans="1:13" ht="27.95" customHeight="1">
      <c r="A12" s="324">
        <v>42675</v>
      </c>
      <c r="B12" s="412">
        <v>1409</v>
      </c>
      <c r="C12" s="412">
        <v>371670</v>
      </c>
      <c r="D12" s="412">
        <f t="shared" si="3"/>
        <v>4752.5</v>
      </c>
      <c r="E12" s="412">
        <f t="shared" si="2"/>
        <v>1258902.5</v>
      </c>
      <c r="F12" s="412"/>
      <c r="G12" s="412">
        <f t="shared" si="0"/>
        <v>371670</v>
      </c>
      <c r="H12" s="412">
        <f t="shared" si="5"/>
        <v>471030</v>
      </c>
      <c r="I12" s="412">
        <v>400000</v>
      </c>
      <c r="J12" s="412">
        <f>I12</f>
        <v>400000</v>
      </c>
      <c r="K12" s="412">
        <f t="shared" si="4"/>
        <v>170820</v>
      </c>
      <c r="L12" s="412">
        <f t="shared" si="1"/>
        <v>858902.5</v>
      </c>
      <c r="M12" s="682"/>
    </row>
    <row r="13" spans="1:13" ht="27.95" customHeight="1">
      <c r="A13" s="1171" t="s">
        <v>672</v>
      </c>
      <c r="B13" s="412"/>
      <c r="C13" s="412">
        <v>15236</v>
      </c>
      <c r="D13" s="412">
        <f t="shared" si="3"/>
        <v>4752.5</v>
      </c>
      <c r="E13" s="412">
        <f t="shared" si="2"/>
        <v>1274138.5</v>
      </c>
      <c r="F13" s="412"/>
      <c r="G13" s="412">
        <f t="shared" si="0"/>
        <v>15236</v>
      </c>
      <c r="H13" s="412">
        <f t="shared" si="5"/>
        <v>316412.5</v>
      </c>
      <c r="I13" s="412"/>
      <c r="J13" s="412">
        <f t="shared" ref="J13:J20" si="6">I13+J12</f>
        <v>400000</v>
      </c>
      <c r="K13" s="412">
        <f t="shared" si="4"/>
        <v>487232.5</v>
      </c>
      <c r="L13" s="412">
        <f t="shared" si="1"/>
        <v>874138.5</v>
      </c>
      <c r="M13" s="682"/>
    </row>
    <row r="14" spans="1:13" ht="27.95" customHeight="1">
      <c r="A14" s="324">
        <v>42705</v>
      </c>
      <c r="B14" s="412">
        <v>1461</v>
      </c>
      <c r="C14" s="412">
        <v>408095</v>
      </c>
      <c r="D14" s="412">
        <f t="shared" si="3"/>
        <v>6213.5</v>
      </c>
      <c r="E14" s="412">
        <f t="shared" si="2"/>
        <v>1682233.5</v>
      </c>
      <c r="F14" s="412"/>
      <c r="G14" s="412">
        <f t="shared" si="0"/>
        <v>408095</v>
      </c>
      <c r="H14" s="412">
        <f t="shared" si="5"/>
        <v>371670</v>
      </c>
      <c r="I14" s="412"/>
      <c r="J14" s="412">
        <f t="shared" si="6"/>
        <v>400000</v>
      </c>
      <c r="K14" s="412">
        <f t="shared" si="4"/>
        <v>858902.5</v>
      </c>
      <c r="L14" s="412">
        <f t="shared" si="1"/>
        <v>1282233.5</v>
      </c>
      <c r="M14" s="682" t="s">
        <v>1131</v>
      </c>
    </row>
    <row r="15" spans="1:13" ht="27.95" customHeight="1">
      <c r="A15" s="324">
        <v>42736</v>
      </c>
      <c r="B15" s="412">
        <v>415</v>
      </c>
      <c r="C15" s="412">
        <v>122425</v>
      </c>
      <c r="D15" s="412">
        <f t="shared" si="3"/>
        <v>6628.5</v>
      </c>
      <c r="E15" s="412">
        <f t="shared" si="2"/>
        <v>1804658.5</v>
      </c>
      <c r="F15" s="412"/>
      <c r="G15" s="412">
        <f t="shared" si="0"/>
        <v>122425</v>
      </c>
      <c r="H15" s="412">
        <f t="shared" si="5"/>
        <v>15236</v>
      </c>
      <c r="I15" s="412">
        <v>500000</v>
      </c>
      <c r="J15" s="412">
        <f t="shared" si="6"/>
        <v>900000</v>
      </c>
      <c r="K15" s="412">
        <f t="shared" si="4"/>
        <v>374138.5</v>
      </c>
      <c r="L15" s="412">
        <f t="shared" si="1"/>
        <v>904658.5</v>
      </c>
      <c r="M15" s="682"/>
    </row>
    <row r="16" spans="1:13" ht="27.95" customHeight="1">
      <c r="A16" s="324" t="s">
        <v>433</v>
      </c>
      <c r="B16" s="412"/>
      <c r="C16" s="412">
        <v>54813</v>
      </c>
      <c r="D16" s="412">
        <f t="shared" si="3"/>
        <v>6628.5</v>
      </c>
      <c r="E16" s="412">
        <f t="shared" si="2"/>
        <v>1859471.5</v>
      </c>
      <c r="F16" s="412"/>
      <c r="G16" s="412">
        <f t="shared" si="0"/>
        <v>54813</v>
      </c>
      <c r="H16" s="412">
        <f t="shared" si="5"/>
        <v>408095</v>
      </c>
      <c r="I16" s="412"/>
      <c r="J16" s="412">
        <f t="shared" si="6"/>
        <v>900000</v>
      </c>
      <c r="K16" s="412">
        <f t="shared" si="4"/>
        <v>782233.5</v>
      </c>
      <c r="L16" s="412">
        <f t="shared" si="1"/>
        <v>959471.5</v>
      </c>
      <c r="M16" s="682"/>
    </row>
    <row r="17" spans="1:13" ht="27.95" customHeight="1">
      <c r="A17" s="324">
        <v>42767</v>
      </c>
      <c r="B17" s="412">
        <v>104</v>
      </c>
      <c r="C17" s="412">
        <v>29850</v>
      </c>
      <c r="D17" s="412">
        <f t="shared" si="3"/>
        <v>6732.5</v>
      </c>
      <c r="E17" s="412">
        <f t="shared" si="2"/>
        <v>1889321.5</v>
      </c>
      <c r="F17" s="412"/>
      <c r="G17" s="412">
        <f t="shared" si="0"/>
        <v>29850</v>
      </c>
      <c r="H17" s="412">
        <f t="shared" si="5"/>
        <v>122425</v>
      </c>
      <c r="I17" s="412"/>
      <c r="J17" s="412">
        <f t="shared" si="6"/>
        <v>900000</v>
      </c>
      <c r="K17" s="412">
        <f t="shared" si="4"/>
        <v>904658.5</v>
      </c>
      <c r="L17" s="412">
        <f t="shared" si="1"/>
        <v>989321.5</v>
      </c>
      <c r="M17" s="1924" t="s">
        <v>1819</v>
      </c>
    </row>
    <row r="18" spans="1:13" ht="27.95" customHeight="1">
      <c r="A18" s="324">
        <v>42795</v>
      </c>
      <c r="B18" s="412">
        <v>98</v>
      </c>
      <c r="C18" s="412">
        <v>27320</v>
      </c>
      <c r="D18" s="412">
        <f t="shared" si="3"/>
        <v>6830.5</v>
      </c>
      <c r="E18" s="412">
        <f t="shared" si="2"/>
        <v>1916641.5</v>
      </c>
      <c r="F18" s="412"/>
      <c r="G18" s="412">
        <f t="shared" si="0"/>
        <v>27320</v>
      </c>
      <c r="H18" s="412">
        <f t="shared" si="5"/>
        <v>54813</v>
      </c>
      <c r="I18" s="412">
        <v>300000</v>
      </c>
      <c r="J18" s="412">
        <f t="shared" si="6"/>
        <v>1200000</v>
      </c>
      <c r="K18" s="412">
        <f t="shared" si="4"/>
        <v>659471.5</v>
      </c>
      <c r="L18" s="412">
        <f t="shared" si="1"/>
        <v>716641.5</v>
      </c>
      <c r="M18" s="1925"/>
    </row>
    <row r="19" spans="1:13" ht="27.95" customHeight="1">
      <c r="A19" s="324">
        <v>42826</v>
      </c>
      <c r="B19" s="412">
        <v>0</v>
      </c>
      <c r="C19" s="412">
        <v>0</v>
      </c>
      <c r="D19" s="412">
        <f t="shared" si="3"/>
        <v>6830.5</v>
      </c>
      <c r="E19" s="412">
        <f t="shared" si="2"/>
        <v>1916641.5</v>
      </c>
      <c r="F19" s="412"/>
      <c r="G19" s="412">
        <f t="shared" si="0"/>
        <v>0</v>
      </c>
      <c r="H19" s="412">
        <f t="shared" si="5"/>
        <v>29850</v>
      </c>
      <c r="I19" s="412">
        <v>200000</v>
      </c>
      <c r="J19" s="412">
        <f t="shared" si="6"/>
        <v>1400000</v>
      </c>
      <c r="K19" s="412">
        <f t="shared" si="4"/>
        <v>489321.5</v>
      </c>
      <c r="L19" s="412">
        <f t="shared" si="1"/>
        <v>516641.5</v>
      </c>
      <c r="M19" s="682" t="s">
        <v>1820</v>
      </c>
    </row>
    <row r="20" spans="1:13" ht="27.95" customHeight="1">
      <c r="A20" s="324">
        <v>42948</v>
      </c>
      <c r="B20" s="412">
        <v>68</v>
      </c>
      <c r="C20" s="1141">
        <f>B20*280</f>
        <v>19040</v>
      </c>
      <c r="D20" s="412">
        <f t="shared" si="3"/>
        <v>6898.5</v>
      </c>
      <c r="E20" s="412">
        <f t="shared" si="2"/>
        <v>1935681.5</v>
      </c>
      <c r="F20" s="412"/>
      <c r="G20" s="412">
        <f t="shared" si="0"/>
        <v>19040</v>
      </c>
      <c r="H20" s="412">
        <f t="shared" si="5"/>
        <v>27320</v>
      </c>
      <c r="I20" s="412">
        <f>210581+300000</f>
        <v>510581</v>
      </c>
      <c r="J20" s="412">
        <f t="shared" si="6"/>
        <v>1910581</v>
      </c>
      <c r="K20" s="412">
        <f t="shared" si="4"/>
        <v>6060.5</v>
      </c>
      <c r="L20" s="412">
        <f t="shared" si="1"/>
        <v>25100.5</v>
      </c>
      <c r="M20" s="682"/>
    </row>
    <row r="21" spans="1:13" ht="27.95" customHeight="1">
      <c r="A21" s="324"/>
      <c r="B21" s="412"/>
      <c r="C21" s="412"/>
      <c r="D21" s="412"/>
      <c r="E21" s="412"/>
      <c r="F21" s="412"/>
      <c r="G21" s="412"/>
      <c r="H21" s="412"/>
      <c r="I21" s="412"/>
      <c r="J21" s="412"/>
      <c r="K21" s="412">
        <f t="shared" si="4"/>
        <v>6060.5</v>
      </c>
      <c r="L21" s="412"/>
      <c r="M21" s="682"/>
    </row>
    <row r="22" spans="1:13" ht="27.95" customHeight="1">
      <c r="A22" s="324"/>
      <c r="B22" s="412"/>
      <c r="C22" s="412"/>
      <c r="D22" s="412"/>
      <c r="E22" s="412"/>
      <c r="F22" s="412"/>
      <c r="G22" s="412"/>
      <c r="H22" s="412"/>
      <c r="I22" s="412"/>
      <c r="J22" s="412"/>
      <c r="K22" s="412"/>
      <c r="L22" s="412"/>
      <c r="M22" s="682"/>
    </row>
    <row r="23" spans="1:13" ht="27.95" customHeight="1">
      <c r="A23" s="324"/>
      <c r="B23" s="412"/>
      <c r="C23" s="412"/>
      <c r="D23" s="412"/>
      <c r="E23" s="412"/>
      <c r="F23" s="412"/>
      <c r="G23" s="412"/>
      <c r="H23" s="412"/>
      <c r="I23" s="412"/>
      <c r="J23" s="412"/>
      <c r="K23" s="412"/>
      <c r="L23" s="412"/>
      <c r="M23" s="682"/>
    </row>
  </sheetData>
  <mergeCells count="15">
    <mergeCell ref="M17:M18"/>
    <mergeCell ref="B3:C3"/>
    <mergeCell ref="J3:K3"/>
    <mergeCell ref="B4:F4"/>
    <mergeCell ref="G4:I4"/>
    <mergeCell ref="B5:C5"/>
    <mergeCell ref="D5:F5"/>
    <mergeCell ref="G5:I5"/>
    <mergeCell ref="J5:M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topLeftCell="A16" zoomScaleSheetLayoutView="100" workbookViewId="0">
      <selection activeCell="A20" sqref="A20"/>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7.875" customWidth="1"/>
    <col min="9" max="9" width="14.5" customWidth="1"/>
    <col min="10" max="10" width="14.75" customWidth="1"/>
    <col min="11" max="11" width="26.375" customWidth="1"/>
    <col min="12" max="12" width="13.875" customWidth="1"/>
    <col min="13" max="13" width="27.375" customWidth="1"/>
  </cols>
  <sheetData>
    <row r="1" spans="1:13" ht="117" customHeight="1">
      <c r="A1" s="34" t="s">
        <v>556</v>
      </c>
      <c r="B1" s="176" t="s">
        <v>1821</v>
      </c>
      <c r="C1" s="38" t="s">
        <v>1605</v>
      </c>
      <c r="D1" s="1124" t="s">
        <v>1822</v>
      </c>
      <c r="E1" s="38" t="s">
        <v>236</v>
      </c>
      <c r="F1" s="1893"/>
      <c r="G1" s="1790"/>
      <c r="H1" s="1126" t="s">
        <v>237</v>
      </c>
      <c r="I1" s="1633" t="s">
        <v>1823</v>
      </c>
      <c r="J1" s="1633"/>
      <c r="K1" s="1633"/>
      <c r="L1" s="1904" t="s">
        <v>1303</v>
      </c>
      <c r="M1" s="1812"/>
    </row>
    <row r="2" spans="1:13" ht="50.1" customHeight="1">
      <c r="A2" s="39" t="s">
        <v>240</v>
      </c>
      <c r="B2" s="1637" t="s">
        <v>1537</v>
      </c>
      <c r="C2" s="1637"/>
      <c r="D2" s="41" t="s">
        <v>242</v>
      </c>
      <c r="E2" s="1832" t="s">
        <v>1824</v>
      </c>
      <c r="F2" s="1833"/>
      <c r="G2" s="90" t="s">
        <v>1561</v>
      </c>
      <c r="H2" s="90" t="s">
        <v>1825</v>
      </c>
      <c r="I2" s="531" t="s">
        <v>243</v>
      </c>
      <c r="J2" s="1866" t="s">
        <v>450</v>
      </c>
      <c r="K2" s="1675"/>
      <c r="L2" s="1131" t="s">
        <v>245</v>
      </c>
      <c r="M2" s="1132" t="s">
        <v>1826</v>
      </c>
    </row>
    <row r="3" spans="1:13" ht="57.95" customHeight="1">
      <c r="A3" s="39" t="s">
        <v>247</v>
      </c>
      <c r="B3" s="1647" t="s">
        <v>1827</v>
      </c>
      <c r="C3" s="1647"/>
      <c r="D3" s="41" t="s">
        <v>249</v>
      </c>
      <c r="E3" s="40"/>
      <c r="F3" s="41" t="s">
        <v>251</v>
      </c>
      <c r="G3" s="40" t="s">
        <v>1828</v>
      </c>
      <c r="H3" s="177" t="s">
        <v>252</v>
      </c>
      <c r="I3" s="1170">
        <v>13570096288</v>
      </c>
      <c r="J3" s="91" t="s">
        <v>253</v>
      </c>
      <c r="K3" s="1133"/>
      <c r="L3" s="15" t="s">
        <v>1469</v>
      </c>
      <c r="M3" s="92" t="s">
        <v>1829</v>
      </c>
    </row>
    <row r="4" spans="1:13" ht="72" customHeight="1">
      <c r="A4" s="1127" t="s">
        <v>260</v>
      </c>
      <c r="B4" s="1764" t="s">
        <v>1830</v>
      </c>
      <c r="C4" s="1764"/>
      <c r="D4" s="1764"/>
      <c r="E4" s="1764"/>
      <c r="F4" s="1764"/>
      <c r="G4" s="1895" t="s">
        <v>1831</v>
      </c>
      <c r="H4" s="1895"/>
      <c r="I4" s="1895"/>
      <c r="J4" s="1895"/>
      <c r="K4" s="1858"/>
      <c r="L4" s="1858"/>
      <c r="M4" s="1859"/>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42491</v>
      </c>
      <c r="B7" s="412">
        <v>42</v>
      </c>
      <c r="C7" s="412">
        <v>10620</v>
      </c>
      <c r="D7" s="412">
        <f>B7</f>
        <v>42</v>
      </c>
      <c r="E7" s="412">
        <f>C7</f>
        <v>10620</v>
      </c>
      <c r="F7" s="412"/>
      <c r="G7" s="412">
        <f t="shared" ref="G7:G19" si="0">C7</f>
        <v>10620</v>
      </c>
      <c r="H7" s="412"/>
      <c r="I7" s="412"/>
      <c r="J7" s="412"/>
      <c r="K7" s="412"/>
      <c r="L7" s="412">
        <f t="shared" ref="L7:L19" si="1">E7-J7</f>
        <v>10620</v>
      </c>
      <c r="M7" s="682"/>
    </row>
    <row r="8" spans="1:13" ht="27.95" customHeight="1">
      <c r="A8" s="324">
        <v>42522</v>
      </c>
      <c r="B8" s="412">
        <v>20</v>
      </c>
      <c r="C8" s="412">
        <v>4600</v>
      </c>
      <c r="D8" s="412">
        <f t="shared" ref="D8:D19" si="2">B8+D7</f>
        <v>62</v>
      </c>
      <c r="E8" s="412">
        <f t="shared" ref="E8:E19" si="3">C8+E7</f>
        <v>15220</v>
      </c>
      <c r="F8" s="412"/>
      <c r="G8" s="412">
        <f t="shared" si="0"/>
        <v>4600</v>
      </c>
      <c r="H8" s="412"/>
      <c r="I8" s="412"/>
      <c r="J8" s="412"/>
      <c r="K8" s="412"/>
      <c r="L8" s="412">
        <f t="shared" si="1"/>
        <v>15220</v>
      </c>
      <c r="M8" s="682"/>
    </row>
    <row r="9" spans="1:13" ht="27.95" customHeight="1">
      <c r="A9" s="324">
        <v>42552</v>
      </c>
      <c r="B9" s="412">
        <v>50</v>
      </c>
      <c r="C9" s="412">
        <v>12550</v>
      </c>
      <c r="D9" s="412">
        <f t="shared" si="2"/>
        <v>112</v>
      </c>
      <c r="E9" s="412">
        <f t="shared" si="3"/>
        <v>27770</v>
      </c>
      <c r="F9" s="412"/>
      <c r="G9" s="412">
        <f t="shared" si="0"/>
        <v>12550</v>
      </c>
      <c r="H9" s="412">
        <f>C7</f>
        <v>10620</v>
      </c>
      <c r="I9" s="412"/>
      <c r="J9" s="412"/>
      <c r="K9" s="412">
        <f t="shared" ref="K9:K20" si="4">K8+H9-I9</f>
        <v>10620</v>
      </c>
      <c r="L9" s="412">
        <f t="shared" si="1"/>
        <v>27770</v>
      </c>
      <c r="M9" s="682"/>
    </row>
    <row r="10" spans="1:13" ht="27.95" customHeight="1">
      <c r="A10" s="324">
        <v>42614</v>
      </c>
      <c r="B10" s="412">
        <v>38</v>
      </c>
      <c r="C10" s="412">
        <v>9530</v>
      </c>
      <c r="D10" s="412">
        <f t="shared" si="2"/>
        <v>150</v>
      </c>
      <c r="E10" s="412">
        <f t="shared" si="3"/>
        <v>37300</v>
      </c>
      <c r="F10" s="412"/>
      <c r="G10" s="412">
        <f t="shared" si="0"/>
        <v>9530</v>
      </c>
      <c r="H10" s="412">
        <f>C8</f>
        <v>4600</v>
      </c>
      <c r="I10" s="412"/>
      <c r="J10" s="412"/>
      <c r="K10" s="412">
        <f t="shared" si="4"/>
        <v>15220</v>
      </c>
      <c r="L10" s="412">
        <f t="shared" si="1"/>
        <v>37300</v>
      </c>
      <c r="M10" s="682"/>
    </row>
    <row r="11" spans="1:13" ht="27.95" customHeight="1">
      <c r="A11" s="324">
        <v>42644</v>
      </c>
      <c r="B11" s="412">
        <v>77</v>
      </c>
      <c r="C11" s="412">
        <v>19310</v>
      </c>
      <c r="D11" s="412">
        <f t="shared" si="2"/>
        <v>227</v>
      </c>
      <c r="E11" s="412">
        <f t="shared" si="3"/>
        <v>56610</v>
      </c>
      <c r="F11" s="412"/>
      <c r="G11" s="412">
        <f t="shared" si="0"/>
        <v>19310</v>
      </c>
      <c r="H11" s="412">
        <f>C9</f>
        <v>12550</v>
      </c>
      <c r="I11" s="412"/>
      <c r="J11" s="412"/>
      <c r="K11" s="412">
        <f t="shared" si="4"/>
        <v>27770</v>
      </c>
      <c r="L11" s="412">
        <f t="shared" si="1"/>
        <v>56610</v>
      </c>
      <c r="M11" s="682" t="s">
        <v>1832</v>
      </c>
    </row>
    <row r="12" spans="1:13" ht="27.95" customHeight="1">
      <c r="A12" s="324">
        <v>42675</v>
      </c>
      <c r="B12" s="412">
        <v>6</v>
      </c>
      <c r="C12" s="412">
        <v>1560</v>
      </c>
      <c r="D12" s="412">
        <f t="shared" si="2"/>
        <v>233</v>
      </c>
      <c r="E12" s="412">
        <f t="shared" si="3"/>
        <v>58170</v>
      </c>
      <c r="F12" s="412"/>
      <c r="G12" s="412">
        <f t="shared" si="0"/>
        <v>1560</v>
      </c>
      <c r="H12" s="412">
        <f t="shared" ref="H12:H20" si="5">C10</f>
        <v>9530</v>
      </c>
      <c r="I12" s="412"/>
      <c r="J12" s="412"/>
      <c r="K12" s="412">
        <f t="shared" si="4"/>
        <v>37300</v>
      </c>
      <c r="L12" s="412">
        <f t="shared" si="1"/>
        <v>58170</v>
      </c>
      <c r="M12" s="682"/>
    </row>
    <row r="13" spans="1:13" ht="27.95" customHeight="1">
      <c r="A13" s="324">
        <v>42705</v>
      </c>
      <c r="B13" s="412">
        <v>25</v>
      </c>
      <c r="C13" s="412">
        <v>6250</v>
      </c>
      <c r="D13" s="412">
        <f t="shared" si="2"/>
        <v>258</v>
      </c>
      <c r="E13" s="412">
        <f t="shared" si="3"/>
        <v>64420</v>
      </c>
      <c r="F13" s="412"/>
      <c r="G13" s="412">
        <f t="shared" si="0"/>
        <v>6250</v>
      </c>
      <c r="H13" s="412">
        <f t="shared" si="5"/>
        <v>19310</v>
      </c>
      <c r="I13" s="412">
        <v>56610</v>
      </c>
      <c r="J13" s="412">
        <f>I13</f>
        <v>56610</v>
      </c>
      <c r="K13" s="412">
        <f t="shared" si="4"/>
        <v>0</v>
      </c>
      <c r="L13" s="412">
        <f t="shared" si="1"/>
        <v>7810</v>
      </c>
      <c r="M13" s="682"/>
    </row>
    <row r="14" spans="1:13" ht="27.95" customHeight="1">
      <c r="A14" s="324">
        <v>42736</v>
      </c>
      <c r="B14" s="412">
        <v>20</v>
      </c>
      <c r="C14" s="412">
        <v>5600</v>
      </c>
      <c r="D14" s="412">
        <f t="shared" si="2"/>
        <v>278</v>
      </c>
      <c r="E14" s="412">
        <f t="shared" si="3"/>
        <v>70020</v>
      </c>
      <c r="F14" s="412"/>
      <c r="G14" s="412">
        <f t="shared" si="0"/>
        <v>5600</v>
      </c>
      <c r="H14" s="412">
        <f t="shared" si="5"/>
        <v>1560</v>
      </c>
      <c r="I14" s="412"/>
      <c r="J14" s="412">
        <f t="shared" ref="J14:J19" si="6">I14+J13</f>
        <v>56610</v>
      </c>
      <c r="K14" s="412">
        <f t="shared" si="4"/>
        <v>1560</v>
      </c>
      <c r="L14" s="412">
        <f t="shared" si="1"/>
        <v>13410</v>
      </c>
      <c r="M14" s="682"/>
    </row>
    <row r="15" spans="1:13" ht="27.95" customHeight="1">
      <c r="A15" s="324">
        <v>42767</v>
      </c>
      <c r="B15" s="412">
        <v>0</v>
      </c>
      <c r="C15" s="412">
        <v>0</v>
      </c>
      <c r="D15" s="412">
        <f t="shared" si="2"/>
        <v>278</v>
      </c>
      <c r="E15" s="412">
        <f t="shared" si="3"/>
        <v>70020</v>
      </c>
      <c r="F15" s="412"/>
      <c r="G15" s="412">
        <f t="shared" si="0"/>
        <v>0</v>
      </c>
      <c r="H15" s="412">
        <f t="shared" si="5"/>
        <v>6250</v>
      </c>
      <c r="I15" s="412"/>
      <c r="J15" s="412">
        <f t="shared" si="6"/>
        <v>56610</v>
      </c>
      <c r="K15" s="412">
        <f t="shared" si="4"/>
        <v>7810</v>
      </c>
      <c r="L15" s="412">
        <f t="shared" si="1"/>
        <v>13410</v>
      </c>
      <c r="M15" s="682"/>
    </row>
    <row r="16" spans="1:13" ht="27.95" customHeight="1">
      <c r="A16" s="324">
        <v>42826</v>
      </c>
      <c r="B16" s="412">
        <v>27</v>
      </c>
      <c r="C16" s="412">
        <v>7830</v>
      </c>
      <c r="D16" s="412">
        <f t="shared" si="2"/>
        <v>305</v>
      </c>
      <c r="E16" s="412">
        <f t="shared" si="3"/>
        <v>77850</v>
      </c>
      <c r="F16" s="412"/>
      <c r="G16" s="412">
        <f t="shared" si="0"/>
        <v>7830</v>
      </c>
      <c r="H16" s="412">
        <f t="shared" si="5"/>
        <v>5600</v>
      </c>
      <c r="I16" s="412"/>
      <c r="J16" s="412">
        <f t="shared" si="6"/>
        <v>56610</v>
      </c>
      <c r="K16" s="412">
        <f t="shared" si="4"/>
        <v>13410</v>
      </c>
      <c r="L16" s="412">
        <f t="shared" si="1"/>
        <v>21240</v>
      </c>
      <c r="M16" s="682"/>
    </row>
    <row r="17" spans="1:13" ht="27.95" customHeight="1">
      <c r="A17" s="324">
        <v>42887</v>
      </c>
      <c r="B17" s="412">
        <v>4</v>
      </c>
      <c r="C17" s="412">
        <v>1120</v>
      </c>
      <c r="D17" s="412">
        <f t="shared" si="2"/>
        <v>309</v>
      </c>
      <c r="E17" s="412">
        <f t="shared" si="3"/>
        <v>78970</v>
      </c>
      <c r="F17" s="412"/>
      <c r="G17" s="412">
        <f t="shared" si="0"/>
        <v>1120</v>
      </c>
      <c r="H17" s="412">
        <f t="shared" si="5"/>
        <v>0</v>
      </c>
      <c r="I17" s="412"/>
      <c r="J17" s="412">
        <f t="shared" si="6"/>
        <v>56610</v>
      </c>
      <c r="K17" s="412">
        <f t="shared" si="4"/>
        <v>13410</v>
      </c>
      <c r="L17" s="412">
        <f t="shared" si="1"/>
        <v>22360</v>
      </c>
      <c r="M17" s="682" t="s">
        <v>1833</v>
      </c>
    </row>
    <row r="18" spans="1:13" ht="27.95" customHeight="1">
      <c r="A18" s="324">
        <v>42917</v>
      </c>
      <c r="B18" s="412">
        <v>12</v>
      </c>
      <c r="C18" s="412">
        <v>3360</v>
      </c>
      <c r="D18" s="412">
        <f t="shared" si="2"/>
        <v>321</v>
      </c>
      <c r="E18" s="412">
        <f t="shared" si="3"/>
        <v>82330</v>
      </c>
      <c r="F18" s="412"/>
      <c r="G18" s="412">
        <f t="shared" si="0"/>
        <v>3360</v>
      </c>
      <c r="H18" s="412">
        <f t="shared" si="5"/>
        <v>7830</v>
      </c>
      <c r="I18" s="412"/>
      <c r="J18" s="412">
        <f t="shared" si="6"/>
        <v>56610</v>
      </c>
      <c r="K18" s="412">
        <f t="shared" si="4"/>
        <v>21240</v>
      </c>
      <c r="L18" s="412">
        <f t="shared" si="1"/>
        <v>25720</v>
      </c>
      <c r="M18" s="682"/>
    </row>
    <row r="19" spans="1:13" ht="27.95" customHeight="1">
      <c r="A19" s="324">
        <v>42948</v>
      </c>
      <c r="B19" s="412">
        <v>6</v>
      </c>
      <c r="C19" s="412">
        <v>1740</v>
      </c>
      <c r="D19" s="412">
        <f t="shared" si="2"/>
        <v>327</v>
      </c>
      <c r="E19" s="412">
        <f t="shared" si="3"/>
        <v>84070</v>
      </c>
      <c r="F19" s="412"/>
      <c r="G19" s="412">
        <f t="shared" si="0"/>
        <v>1740</v>
      </c>
      <c r="H19" s="412">
        <f t="shared" si="5"/>
        <v>1120</v>
      </c>
      <c r="I19" s="412">
        <v>20000</v>
      </c>
      <c r="J19" s="412">
        <f t="shared" si="6"/>
        <v>76610</v>
      </c>
      <c r="K19" s="412">
        <f t="shared" si="4"/>
        <v>2360</v>
      </c>
      <c r="L19" s="412">
        <f t="shared" si="1"/>
        <v>7460</v>
      </c>
      <c r="M19" s="682"/>
    </row>
    <row r="20" spans="1:13" ht="27.95" customHeight="1">
      <c r="A20" s="324"/>
      <c r="B20" s="412"/>
      <c r="C20" s="412"/>
      <c r="D20" s="412"/>
      <c r="E20" s="412"/>
      <c r="F20" s="412"/>
      <c r="G20" s="412"/>
      <c r="H20" s="412">
        <f t="shared" si="5"/>
        <v>3360</v>
      </c>
      <c r="I20" s="412"/>
      <c r="J20" s="412"/>
      <c r="K20" s="412">
        <f t="shared" si="4"/>
        <v>5720</v>
      </c>
      <c r="L20" s="412"/>
      <c r="M20" s="682"/>
    </row>
    <row r="21" spans="1:13" ht="27.95" customHeight="1">
      <c r="A21" s="324"/>
      <c r="B21" s="412"/>
      <c r="C21" s="412"/>
      <c r="D21" s="412"/>
      <c r="E21" s="412"/>
      <c r="F21" s="412"/>
      <c r="G21" s="412"/>
      <c r="H21" s="412"/>
      <c r="I21" s="412"/>
      <c r="J21" s="412"/>
      <c r="K21" s="412"/>
      <c r="L21" s="412"/>
      <c r="M21" s="682"/>
    </row>
    <row r="22" spans="1:13" ht="27.95" customHeight="1">
      <c r="A22" s="324"/>
      <c r="B22" s="412"/>
      <c r="C22" s="412"/>
      <c r="D22" s="412"/>
      <c r="E22" s="412"/>
      <c r="F22" s="412"/>
      <c r="G22" s="412"/>
      <c r="H22" s="412"/>
      <c r="I22" s="412"/>
      <c r="J22" s="412"/>
      <c r="K22" s="412"/>
      <c r="L22" s="412"/>
      <c r="M22" s="682"/>
    </row>
    <row r="23" spans="1:13" ht="27.95" customHeight="1">
      <c r="A23" s="324"/>
      <c r="B23" s="412"/>
      <c r="C23" s="412"/>
      <c r="D23" s="412"/>
      <c r="E23" s="412"/>
      <c r="F23" s="412"/>
      <c r="G23" s="412"/>
      <c r="H23" s="412"/>
      <c r="I23" s="412"/>
      <c r="J23" s="412"/>
      <c r="K23" s="412"/>
      <c r="L23" s="412"/>
      <c r="M23" s="682"/>
    </row>
  </sheetData>
  <mergeCells count="13">
    <mergeCell ref="B3:C3"/>
    <mergeCell ref="B4:F4"/>
    <mergeCell ref="G4:J4"/>
    <mergeCell ref="K4:M4"/>
    <mergeCell ref="B5:C5"/>
    <mergeCell ref="D5:F5"/>
    <mergeCell ref="G5:J5"/>
    <mergeCell ref="F1:G1"/>
    <mergeCell ref="I1:K1"/>
    <mergeCell ref="L1:M1"/>
    <mergeCell ref="B2:C2"/>
    <mergeCell ref="E2:F2"/>
    <mergeCell ref="J2:K2"/>
  </mergeCells>
  <phoneticPr fontId="84" type="noConversion"/>
  <pageMargins left="0.75" right="0.75" top="1" bottom="1" header="0.51" footer="0.51"/>
  <pageSetup paperSize="9" orientation="portrait" horizontalDpi="200" verticalDpi="200"/>
  <headerFooter scaleWithDoc="0" alignWithMargins="0"/>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6"/>
  <sheetViews>
    <sheetView topLeftCell="A13" zoomScaleSheetLayoutView="100" workbookViewId="0">
      <selection activeCell="A23" sqref="A23"/>
    </sheetView>
  </sheetViews>
  <sheetFormatPr defaultColWidth="9" defaultRowHeight="14.25"/>
  <cols>
    <col min="1" max="1" width="13.75" customWidth="1"/>
    <col min="2" max="2" width="16.875" customWidth="1"/>
    <col min="3" max="3" width="14.5" customWidth="1"/>
    <col min="4" max="4" width="14" customWidth="1"/>
    <col min="5" max="5" width="14.75" customWidth="1"/>
    <col min="6" max="6" width="14.625" customWidth="1"/>
    <col min="7" max="7" width="13.875" customWidth="1"/>
    <col min="8" max="8" width="15.25" customWidth="1"/>
    <col min="9" max="9" width="14.5" customWidth="1"/>
    <col min="10" max="10" width="14.75" customWidth="1"/>
    <col min="11" max="11" width="19" customWidth="1"/>
    <col min="12" max="12" width="13.875" customWidth="1"/>
    <col min="13" max="13" width="32.875" customWidth="1"/>
  </cols>
  <sheetData>
    <row r="1" spans="1:13" ht="117" customHeight="1">
      <c r="A1" s="34" t="s">
        <v>556</v>
      </c>
      <c r="B1" s="176">
        <v>42675</v>
      </c>
      <c r="C1" s="38" t="s">
        <v>1719</v>
      </c>
      <c r="D1" s="1124" t="s">
        <v>1834</v>
      </c>
      <c r="E1" s="38" t="s">
        <v>236</v>
      </c>
      <c r="F1" s="1140"/>
      <c r="G1" s="1125" t="s">
        <v>1561</v>
      </c>
      <c r="H1" s="1126" t="s">
        <v>237</v>
      </c>
      <c r="I1" s="1633" t="s">
        <v>1835</v>
      </c>
      <c r="J1" s="1633"/>
      <c r="K1" s="1633"/>
      <c r="L1" s="1812" t="s">
        <v>1836</v>
      </c>
      <c r="M1" s="1812"/>
    </row>
    <row r="2" spans="1:13" ht="50.1" customHeight="1">
      <c r="A2" s="39" t="s">
        <v>240</v>
      </c>
      <c r="B2" s="1637" t="s">
        <v>1837</v>
      </c>
      <c r="C2" s="1637"/>
      <c r="D2" s="41" t="s">
        <v>242</v>
      </c>
      <c r="E2" s="1832"/>
      <c r="F2" s="1833"/>
      <c r="G2" s="90"/>
      <c r="H2" s="90"/>
      <c r="I2" s="1929" t="s">
        <v>1838</v>
      </c>
      <c r="J2" s="1930"/>
      <c r="K2" s="1930"/>
      <c r="L2" s="1930"/>
      <c r="M2" s="1931"/>
    </row>
    <row r="3" spans="1:13" ht="57.95" customHeight="1">
      <c r="A3" s="39" t="s">
        <v>247</v>
      </c>
      <c r="B3" s="1637" t="s">
        <v>1839</v>
      </c>
      <c r="C3" s="1637"/>
      <c r="D3" s="41" t="s">
        <v>249</v>
      </c>
      <c r="E3" s="40" t="s">
        <v>1416</v>
      </c>
      <c r="F3" s="41" t="s">
        <v>251</v>
      </c>
      <c r="G3" s="40" t="s">
        <v>1840</v>
      </c>
      <c r="H3" s="177"/>
      <c r="I3" s="531" t="s">
        <v>243</v>
      </c>
      <c r="J3" s="1866" t="s">
        <v>1586</v>
      </c>
      <c r="K3" s="1675"/>
      <c r="L3" s="1131" t="s">
        <v>245</v>
      </c>
      <c r="M3" s="1166" t="s">
        <v>1841</v>
      </c>
    </row>
    <row r="4" spans="1:13" ht="72" customHeight="1">
      <c r="A4" s="1127" t="s">
        <v>260</v>
      </c>
      <c r="B4" s="1764" t="s">
        <v>1842</v>
      </c>
      <c r="C4" s="1764"/>
      <c r="D4" s="1764"/>
      <c r="E4" s="1764"/>
      <c r="F4" s="1764"/>
      <c r="G4" s="1896" t="s">
        <v>1289</v>
      </c>
      <c r="H4" s="1906"/>
      <c r="I4" s="1907"/>
      <c r="J4" s="1167" t="s">
        <v>253</v>
      </c>
      <c r="K4" s="1168"/>
      <c r="L4" s="15" t="s">
        <v>1469</v>
      </c>
      <c r="M4" s="92" t="s">
        <v>1843</v>
      </c>
    </row>
    <row r="5" spans="1:13" ht="69.95" customHeight="1">
      <c r="A5" s="39" t="s">
        <v>258</v>
      </c>
      <c r="B5" s="1890"/>
      <c r="C5" s="1891"/>
      <c r="D5" s="1890"/>
      <c r="E5" s="1892"/>
      <c r="F5" s="1891"/>
      <c r="G5" s="1890"/>
      <c r="H5" s="1892"/>
      <c r="I5" s="1891"/>
      <c r="J5" s="1936"/>
      <c r="K5" s="1937"/>
      <c r="L5" s="1890"/>
      <c r="M5" s="1932"/>
    </row>
    <row r="6" spans="1:13" ht="30.75">
      <c r="A6" s="381" t="s">
        <v>266</v>
      </c>
      <c r="B6" s="382" t="s">
        <v>1474</v>
      </c>
      <c r="C6" s="382" t="s">
        <v>268</v>
      </c>
      <c r="D6" s="382" t="s">
        <v>1475</v>
      </c>
      <c r="E6" s="382" t="s">
        <v>270</v>
      </c>
      <c r="F6" s="382" t="s">
        <v>1476</v>
      </c>
      <c r="G6" s="1128" t="s">
        <v>272</v>
      </c>
      <c r="H6" s="384" t="s">
        <v>273</v>
      </c>
      <c r="I6" s="390" t="s">
        <v>274</v>
      </c>
      <c r="J6" s="1135" t="s">
        <v>275</v>
      </c>
      <c r="K6" s="1135" t="s">
        <v>276</v>
      </c>
      <c r="L6" s="382" t="s">
        <v>277</v>
      </c>
      <c r="M6" s="392" t="s">
        <v>278</v>
      </c>
    </row>
    <row r="7" spans="1:13" ht="27.95" customHeight="1">
      <c r="A7" s="324">
        <v>42522</v>
      </c>
      <c r="B7" s="412">
        <v>23</v>
      </c>
      <c r="C7" s="412">
        <v>5364.75</v>
      </c>
      <c r="D7" s="412">
        <f>B7</f>
        <v>23</v>
      </c>
      <c r="E7" s="412">
        <f>C7</f>
        <v>5364.75</v>
      </c>
      <c r="F7" s="224"/>
      <c r="G7" s="224">
        <f>E7</f>
        <v>5364.75</v>
      </c>
      <c r="H7" s="224"/>
      <c r="I7" s="224"/>
      <c r="J7" s="224"/>
      <c r="K7" s="224"/>
      <c r="L7" s="224">
        <f t="shared" ref="L7:L15" si="0">E7-J7</f>
        <v>5364.75</v>
      </c>
      <c r="M7" s="682"/>
    </row>
    <row r="8" spans="1:13" ht="27.95" customHeight="1">
      <c r="A8" s="324">
        <v>42552</v>
      </c>
      <c r="B8" s="412">
        <v>513.5</v>
      </c>
      <c r="C8" s="412">
        <v>133211.88</v>
      </c>
      <c r="D8" s="412">
        <f t="shared" ref="D8:D22" si="1">D7+B8</f>
        <v>536.5</v>
      </c>
      <c r="E8" s="412">
        <f t="shared" ref="E8:E22" si="2">E7+C8</f>
        <v>138576.63</v>
      </c>
      <c r="F8" s="224"/>
      <c r="G8" s="224">
        <f>C8+E7*0.3</f>
        <v>134821.30499999999</v>
      </c>
      <c r="H8" s="224"/>
      <c r="I8" s="224"/>
      <c r="J8" s="224"/>
      <c r="K8" s="224"/>
      <c r="L8" s="224">
        <f t="shared" si="0"/>
        <v>138576.63</v>
      </c>
      <c r="M8" s="682"/>
    </row>
    <row r="9" spans="1:13" ht="27.95" customHeight="1">
      <c r="A9" s="324">
        <v>42583</v>
      </c>
      <c r="B9" s="412">
        <v>726</v>
      </c>
      <c r="C9" s="412">
        <v>193020.5</v>
      </c>
      <c r="D9" s="412">
        <f t="shared" si="1"/>
        <v>1262.5</v>
      </c>
      <c r="E9" s="412">
        <f t="shared" si="2"/>
        <v>331597.13</v>
      </c>
      <c r="F9" s="224"/>
      <c r="G9" s="224">
        <f>C9+E8*0.3</f>
        <v>234593.489</v>
      </c>
      <c r="H9" s="224">
        <f>C7*0.7</f>
        <v>3755.3249999999998</v>
      </c>
      <c r="I9" s="224"/>
      <c r="J9" s="224"/>
      <c r="K9" s="224">
        <f>K8+H9-I9</f>
        <v>3755.3249999999998</v>
      </c>
      <c r="L9" s="224">
        <f t="shared" si="0"/>
        <v>331597.13</v>
      </c>
      <c r="M9" s="682"/>
    </row>
    <row r="10" spans="1:13" ht="27.95" customHeight="1">
      <c r="A10" s="324">
        <v>42614</v>
      </c>
      <c r="B10" s="412">
        <v>636</v>
      </c>
      <c r="C10" s="1141">
        <v>168569.13</v>
      </c>
      <c r="D10" s="412">
        <f t="shared" si="1"/>
        <v>1898.5</v>
      </c>
      <c r="E10" s="412">
        <f t="shared" si="2"/>
        <v>500166.26</v>
      </c>
      <c r="F10" s="224"/>
      <c r="G10" s="224">
        <f>C10+E9*0.3</f>
        <v>268048.26899999997</v>
      </c>
      <c r="H10" s="224">
        <f>C8*0.7</f>
        <v>93248.315999999992</v>
      </c>
      <c r="I10" s="224"/>
      <c r="J10" s="224"/>
      <c r="K10" s="224">
        <f t="shared" ref="K10:K17" si="3">K9+H10-I10</f>
        <v>97003.640999999989</v>
      </c>
      <c r="L10" s="224">
        <f t="shared" si="0"/>
        <v>500166.26</v>
      </c>
      <c r="M10" s="682"/>
    </row>
    <row r="11" spans="1:13" ht="27.95" customHeight="1">
      <c r="A11" s="324">
        <v>42644</v>
      </c>
      <c r="B11" s="412">
        <v>674.5</v>
      </c>
      <c r="C11" s="412">
        <v>180237</v>
      </c>
      <c r="D11" s="412">
        <f t="shared" si="1"/>
        <v>2573</v>
      </c>
      <c r="E11" s="412">
        <f t="shared" si="2"/>
        <v>680403.26</v>
      </c>
      <c r="F11" s="224"/>
      <c r="G11" s="224">
        <f>C11+E10*0.3</f>
        <v>330286.87800000003</v>
      </c>
      <c r="H11" s="224">
        <f>C9*0.7</f>
        <v>135114.35</v>
      </c>
      <c r="I11" s="224"/>
      <c r="J11" s="224"/>
      <c r="K11" s="224">
        <f t="shared" si="3"/>
        <v>232117.99099999998</v>
      </c>
      <c r="L11" s="224">
        <f t="shared" si="0"/>
        <v>680403.26</v>
      </c>
      <c r="M11" s="682"/>
    </row>
    <row r="12" spans="1:13" ht="27.95" customHeight="1">
      <c r="A12" s="324">
        <v>42675</v>
      </c>
      <c r="B12" s="412">
        <v>4770</v>
      </c>
      <c r="C12" s="412">
        <v>1281641.5</v>
      </c>
      <c r="D12" s="412">
        <f t="shared" si="1"/>
        <v>7343</v>
      </c>
      <c r="E12" s="412">
        <f t="shared" si="2"/>
        <v>1962044.76</v>
      </c>
      <c r="F12" s="224"/>
      <c r="G12" s="224">
        <f>C12+E11*0.3</f>
        <v>1485762.4780000001</v>
      </c>
      <c r="H12" s="224">
        <f>C10*0.7</f>
        <v>117998.39099999999</v>
      </c>
      <c r="I12" s="224"/>
      <c r="J12" s="224"/>
      <c r="K12" s="224">
        <f t="shared" si="3"/>
        <v>350116.38199999998</v>
      </c>
      <c r="L12" s="224">
        <f t="shared" si="0"/>
        <v>1962044.76</v>
      </c>
      <c r="M12" s="682"/>
    </row>
    <row r="13" spans="1:13" ht="27.95" customHeight="1">
      <c r="A13" s="324">
        <v>42705</v>
      </c>
      <c r="B13" s="412">
        <v>9758.5</v>
      </c>
      <c r="C13" s="412">
        <v>2854121</v>
      </c>
      <c r="D13" s="412">
        <f t="shared" si="1"/>
        <v>17101.5</v>
      </c>
      <c r="E13" s="412">
        <f t="shared" si="2"/>
        <v>4816165.76</v>
      </c>
      <c r="F13" s="224"/>
      <c r="G13" s="224"/>
      <c r="H13" s="224">
        <f>C11*0.7</f>
        <v>126165.9</v>
      </c>
      <c r="I13" s="224"/>
      <c r="J13" s="224"/>
      <c r="K13" s="224">
        <f t="shared" si="3"/>
        <v>476282.28200000001</v>
      </c>
      <c r="L13" s="224">
        <f t="shared" si="0"/>
        <v>4816165.76</v>
      </c>
      <c r="M13" s="682" t="s">
        <v>1844</v>
      </c>
    </row>
    <row r="14" spans="1:13" ht="27.95" customHeight="1">
      <c r="A14" s="324" t="s">
        <v>433</v>
      </c>
      <c r="B14" s="412"/>
      <c r="C14" s="412">
        <v>104035.63</v>
      </c>
      <c r="D14" s="412">
        <f t="shared" si="1"/>
        <v>17101.5</v>
      </c>
      <c r="E14" s="412">
        <f t="shared" si="2"/>
        <v>4920201.3899999997</v>
      </c>
      <c r="F14" s="224"/>
      <c r="G14" s="224">
        <f>C13+E12*0.3</f>
        <v>3442734.4279999998</v>
      </c>
      <c r="H14" s="1164">
        <f>C14</f>
        <v>104035.63</v>
      </c>
      <c r="I14" s="412">
        <v>1380000</v>
      </c>
      <c r="J14" s="412">
        <f>I14</f>
        <v>1380000</v>
      </c>
      <c r="K14" s="224">
        <f t="shared" si="3"/>
        <v>-799682.08799999999</v>
      </c>
      <c r="L14" s="224">
        <f t="shared" si="0"/>
        <v>3540201.3899999997</v>
      </c>
      <c r="M14" s="682"/>
    </row>
    <row r="15" spans="1:13" ht="32.1" customHeight="1">
      <c r="A15" s="324">
        <v>42736</v>
      </c>
      <c r="B15" s="412">
        <v>6694</v>
      </c>
      <c r="C15" s="412">
        <v>2050037.5</v>
      </c>
      <c r="D15" s="412">
        <f t="shared" si="1"/>
        <v>23795.5</v>
      </c>
      <c r="E15" s="412">
        <f t="shared" si="2"/>
        <v>6970238.8899999997</v>
      </c>
      <c r="F15" s="224"/>
      <c r="G15" s="224">
        <f>E13*0.3+C15</f>
        <v>3494887.2280000001</v>
      </c>
      <c r="H15" s="224">
        <f>C12*0.7</f>
        <v>897149.04999999993</v>
      </c>
      <c r="I15" s="412"/>
      <c r="J15" s="412">
        <f t="shared" ref="J15:J22" si="4">I15+J14</f>
        <v>1380000</v>
      </c>
      <c r="K15" s="224">
        <f t="shared" si="3"/>
        <v>97466.961999999941</v>
      </c>
      <c r="L15" s="224">
        <f t="shared" si="0"/>
        <v>5590238.8899999997</v>
      </c>
      <c r="M15" s="1933" t="s">
        <v>1845</v>
      </c>
    </row>
    <row r="16" spans="1:13" ht="32.1" customHeight="1">
      <c r="A16" s="324">
        <v>42767</v>
      </c>
      <c r="B16" s="412">
        <v>1910</v>
      </c>
      <c r="C16" s="412">
        <v>587945</v>
      </c>
      <c r="D16" s="412">
        <f t="shared" si="1"/>
        <v>25705.5</v>
      </c>
      <c r="E16" s="412">
        <f t="shared" si="2"/>
        <v>7558183.8899999997</v>
      </c>
      <c r="F16" s="224"/>
      <c r="G16" s="224">
        <f>E13*0.3+C15*0.3+C16</f>
        <v>2647805.9780000001</v>
      </c>
      <c r="H16" s="224">
        <f>C13*0.7</f>
        <v>1997884.7</v>
      </c>
      <c r="I16" s="412"/>
      <c r="J16" s="412">
        <f t="shared" si="4"/>
        <v>1380000</v>
      </c>
      <c r="K16" s="224">
        <f t="shared" si="3"/>
        <v>2095351.662</v>
      </c>
      <c r="L16" s="224">
        <f t="shared" ref="L16:L22" si="5">E16-J16</f>
        <v>6178183.8899999997</v>
      </c>
      <c r="M16" s="1934"/>
    </row>
    <row r="17" spans="1:13" ht="32.1" customHeight="1">
      <c r="A17" s="324">
        <v>42795</v>
      </c>
      <c r="B17" s="412">
        <v>7740</v>
      </c>
      <c r="C17" s="412">
        <v>2110544.5</v>
      </c>
      <c r="D17" s="412">
        <f t="shared" si="1"/>
        <v>33445.5</v>
      </c>
      <c r="E17" s="412">
        <f t="shared" si="2"/>
        <v>9668728.3900000006</v>
      </c>
      <c r="F17" s="224"/>
      <c r="G17" s="224">
        <f>E13*0.3+C15*0.3+C16*0.3+C17</f>
        <v>4346788.9780000001</v>
      </c>
      <c r="H17" s="224">
        <f>C15*0.7</f>
        <v>1435026.25</v>
      </c>
      <c r="I17" s="412"/>
      <c r="J17" s="412">
        <f t="shared" si="4"/>
        <v>1380000</v>
      </c>
      <c r="K17" s="224">
        <f t="shared" si="3"/>
        <v>3530377.912</v>
      </c>
      <c r="L17" s="224">
        <f t="shared" si="5"/>
        <v>8288728.3900000006</v>
      </c>
      <c r="M17" s="1934"/>
    </row>
    <row r="18" spans="1:13" ht="32.1" customHeight="1">
      <c r="A18" s="324">
        <v>42826</v>
      </c>
      <c r="B18" s="412">
        <v>2185.5</v>
      </c>
      <c r="C18" s="412">
        <v>613526</v>
      </c>
      <c r="D18" s="412">
        <f t="shared" si="1"/>
        <v>35631</v>
      </c>
      <c r="E18" s="412">
        <f t="shared" si="2"/>
        <v>10282254.390000001</v>
      </c>
      <c r="F18" s="412"/>
      <c r="G18" s="224">
        <f>E13*0.3+C15*0.3+C16*0.3+C17*0.3+C18</f>
        <v>3482933.8280000002</v>
      </c>
      <c r="H18" s="224">
        <f>C16*0.7</f>
        <v>411561.5</v>
      </c>
      <c r="I18" s="412"/>
      <c r="J18" s="412">
        <f t="shared" si="4"/>
        <v>1380000</v>
      </c>
      <c r="K18" s="224">
        <f t="shared" ref="K18:K23" si="6">K17+H18-I18</f>
        <v>3941939.412</v>
      </c>
      <c r="L18" s="224">
        <f t="shared" si="5"/>
        <v>8902254.3900000006</v>
      </c>
      <c r="M18" s="1934"/>
    </row>
    <row r="19" spans="1:13" ht="32.1" customHeight="1">
      <c r="A19" s="324" t="s">
        <v>434</v>
      </c>
      <c r="B19" s="412"/>
      <c r="C19" s="412">
        <v>52854.25</v>
      </c>
      <c r="D19" s="412">
        <f t="shared" si="1"/>
        <v>35631</v>
      </c>
      <c r="E19" s="412">
        <f t="shared" si="2"/>
        <v>10335108.640000001</v>
      </c>
      <c r="F19" s="412"/>
      <c r="G19" s="224">
        <f>E13*0.3+C15*0.3+C16*0.3+C17*0.3+C18*0.3+C19</f>
        <v>3106319.878</v>
      </c>
      <c r="H19" s="224">
        <f>C17*0.7</f>
        <v>1477381.15</v>
      </c>
      <c r="I19" s="412"/>
      <c r="J19" s="412">
        <f t="shared" si="4"/>
        <v>1380000</v>
      </c>
      <c r="K19" s="224">
        <f t="shared" si="6"/>
        <v>5419320.5619999999</v>
      </c>
      <c r="L19" s="224">
        <f t="shared" si="5"/>
        <v>8955108.6400000006</v>
      </c>
      <c r="M19" s="1935"/>
    </row>
    <row r="20" spans="1:13" ht="27.95" customHeight="1">
      <c r="A20" s="324" t="s">
        <v>687</v>
      </c>
      <c r="B20" s="412">
        <v>0</v>
      </c>
      <c r="C20" s="412">
        <v>11926.25</v>
      </c>
      <c r="D20" s="412">
        <f t="shared" si="1"/>
        <v>35631</v>
      </c>
      <c r="E20" s="412">
        <f t="shared" si="2"/>
        <v>10347034.890000001</v>
      </c>
      <c r="F20" s="412"/>
      <c r="G20" s="412">
        <f>E13*0.3+C15*0.3+C16*0.3+C17*0.3+C18*0.3+C19</f>
        <v>3106319.878</v>
      </c>
      <c r="H20" s="224">
        <f>C18*0.7</f>
        <v>429468.19999999995</v>
      </c>
      <c r="I20" s="412"/>
      <c r="J20" s="412">
        <f t="shared" si="4"/>
        <v>1380000</v>
      </c>
      <c r="K20" s="224">
        <f t="shared" si="6"/>
        <v>5848788.7620000001</v>
      </c>
      <c r="L20" s="224">
        <f t="shared" si="5"/>
        <v>8967034.8900000006</v>
      </c>
      <c r="M20" s="682" t="s">
        <v>1846</v>
      </c>
    </row>
    <row r="21" spans="1:13" ht="27.95" customHeight="1">
      <c r="A21" s="324">
        <v>42917</v>
      </c>
      <c r="B21" s="412">
        <v>0</v>
      </c>
      <c r="C21" s="412">
        <v>0</v>
      </c>
      <c r="D21" s="412">
        <f t="shared" si="1"/>
        <v>35631</v>
      </c>
      <c r="E21" s="412">
        <f t="shared" si="2"/>
        <v>10347034.890000001</v>
      </c>
      <c r="F21" s="412"/>
      <c r="G21" s="412">
        <f>E13*0.3+C15*0.3+C16*0.3+C17*0.3+C18*0.3</f>
        <v>3053465.628</v>
      </c>
      <c r="H21" s="224">
        <f>C19</f>
        <v>52854.25</v>
      </c>
      <c r="I21" s="412">
        <v>3074747.88</v>
      </c>
      <c r="J21" s="412">
        <f t="shared" si="4"/>
        <v>4454747.88</v>
      </c>
      <c r="K21" s="224">
        <f t="shared" si="6"/>
        <v>2826895.1320000002</v>
      </c>
      <c r="L21" s="224">
        <f t="shared" si="5"/>
        <v>5892287.0100000007</v>
      </c>
      <c r="M21" s="682"/>
    </row>
    <row r="22" spans="1:13" ht="27.95" customHeight="1">
      <c r="A22" s="324">
        <v>42948</v>
      </c>
      <c r="B22" s="412">
        <v>0</v>
      </c>
      <c r="C22" s="412">
        <v>0</v>
      </c>
      <c r="D22" s="412">
        <f t="shared" si="1"/>
        <v>35631</v>
      </c>
      <c r="E22" s="412">
        <f t="shared" si="2"/>
        <v>10347034.890000001</v>
      </c>
      <c r="F22" s="412"/>
      <c r="G22" s="412">
        <f>E13*0.3+C15*0.3+C16*0.3+C17*0.3+C18*0.3</f>
        <v>3053465.628</v>
      </c>
      <c r="H22" s="224">
        <f>C20</f>
        <v>11926.25</v>
      </c>
      <c r="I22" s="412">
        <v>1500000</v>
      </c>
      <c r="J22" s="412">
        <f t="shared" si="4"/>
        <v>5954747.8799999999</v>
      </c>
      <c r="K22" s="224">
        <f t="shared" si="6"/>
        <v>1338821.3820000002</v>
      </c>
      <c r="L22" s="224">
        <f t="shared" si="5"/>
        <v>4392287.0100000007</v>
      </c>
      <c r="M22" s="682"/>
    </row>
    <row r="23" spans="1:13" ht="27.95" customHeight="1">
      <c r="A23" s="324"/>
      <c r="B23" s="412"/>
      <c r="C23" s="412"/>
      <c r="D23" s="412"/>
      <c r="E23" s="412"/>
      <c r="F23" s="1165"/>
      <c r="G23" s="412"/>
      <c r="H23" s="224">
        <v>0</v>
      </c>
      <c r="I23" s="412"/>
      <c r="J23" s="412"/>
      <c r="K23" s="224">
        <f t="shared" si="6"/>
        <v>1338821.3820000002</v>
      </c>
      <c r="L23" s="412"/>
      <c r="M23" s="682"/>
    </row>
    <row r="24" spans="1:13" ht="27.95" customHeight="1">
      <c r="A24" s="324"/>
      <c r="B24" s="412"/>
      <c r="C24" s="412"/>
      <c r="D24" s="412"/>
      <c r="E24" s="412"/>
      <c r="F24" s="412"/>
      <c r="G24" s="412"/>
      <c r="H24" s="224"/>
      <c r="I24" s="412"/>
      <c r="J24" s="412"/>
      <c r="K24" s="224"/>
      <c r="L24" s="412"/>
      <c r="M24" s="682"/>
    </row>
    <row r="25" spans="1:13" ht="27.95" customHeight="1">
      <c r="A25" s="324"/>
      <c r="B25" s="412"/>
      <c r="C25" s="412"/>
      <c r="D25" s="412"/>
      <c r="E25" s="412"/>
      <c r="F25" s="412"/>
      <c r="G25" s="412"/>
      <c r="H25" s="224"/>
      <c r="I25" s="412"/>
      <c r="J25" s="412"/>
      <c r="K25" s="224"/>
      <c r="L25" s="412"/>
      <c r="M25" s="682"/>
    </row>
    <row r="26" spans="1:13" ht="27.95" customHeight="1">
      <c r="A26" s="324"/>
      <c r="B26" s="412"/>
      <c r="C26" s="412"/>
      <c r="D26" s="412"/>
      <c r="E26" s="412"/>
      <c r="F26" s="412"/>
      <c r="G26" s="412"/>
      <c r="H26" s="412"/>
      <c r="I26" s="412"/>
      <c r="J26" s="412"/>
      <c r="K26" s="412"/>
      <c r="L26" s="412"/>
      <c r="M26" s="682"/>
    </row>
  </sheetData>
  <mergeCells count="15">
    <mergeCell ref="L5:M5"/>
    <mergeCell ref="M15:M19"/>
    <mergeCell ref="B4:F4"/>
    <mergeCell ref="G4:I4"/>
    <mergeCell ref="B5:C5"/>
    <mergeCell ref="D5:F5"/>
    <mergeCell ref="G5:I5"/>
    <mergeCell ref="J5:K5"/>
    <mergeCell ref="I1:K1"/>
    <mergeCell ref="L1:M1"/>
    <mergeCell ref="B2:C2"/>
    <mergeCell ref="E2:F2"/>
    <mergeCell ref="I2:M2"/>
    <mergeCell ref="B3:C3"/>
    <mergeCell ref="J3:K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opLeftCell="A10" zoomScaleSheetLayoutView="100" workbookViewId="0">
      <selection activeCell="A18" sqref="A18"/>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2.625" customWidth="1"/>
    <col min="12" max="12" width="13.875" customWidth="1"/>
    <col min="13" max="13" width="27.375" customWidth="1"/>
  </cols>
  <sheetData>
    <row r="1" spans="1:13" ht="63" customHeight="1">
      <c r="A1" s="34" t="s">
        <v>556</v>
      </c>
      <c r="B1" s="176"/>
      <c r="C1" s="38" t="s">
        <v>1719</v>
      </c>
      <c r="D1" s="1124" t="s">
        <v>1847</v>
      </c>
      <c r="E1" s="38" t="s">
        <v>236</v>
      </c>
      <c r="F1" s="1893"/>
      <c r="G1" s="1790"/>
      <c r="H1" s="1126" t="s">
        <v>237</v>
      </c>
      <c r="I1" s="1633" t="s">
        <v>1848</v>
      </c>
      <c r="J1" s="1633"/>
      <c r="K1" s="1633"/>
      <c r="L1" s="1904" t="s">
        <v>1303</v>
      </c>
      <c r="M1" s="1812"/>
    </row>
    <row r="2" spans="1:13" ht="50.1" customHeight="1">
      <c r="A2" s="39" t="s">
        <v>240</v>
      </c>
      <c r="B2" s="1637" t="s">
        <v>1849</v>
      </c>
      <c r="C2" s="1637"/>
      <c r="D2" s="41" t="s">
        <v>242</v>
      </c>
      <c r="E2" s="1832"/>
      <c r="F2" s="1833"/>
      <c r="G2" s="40" t="s">
        <v>1561</v>
      </c>
      <c r="H2" s="40" t="s">
        <v>425</v>
      </c>
      <c r="I2" s="1921" t="s">
        <v>1850</v>
      </c>
      <c r="J2" s="1922"/>
      <c r="K2" s="1922"/>
      <c r="L2" s="1922"/>
      <c r="M2" s="1923"/>
    </row>
    <row r="3" spans="1:13" ht="57.95" customHeight="1">
      <c r="A3" s="39" t="s">
        <v>247</v>
      </c>
      <c r="B3" s="1637" t="s">
        <v>1851</v>
      </c>
      <c r="C3" s="1637"/>
      <c r="D3" s="41" t="s">
        <v>249</v>
      </c>
      <c r="E3" s="40">
        <v>6000</v>
      </c>
      <c r="F3" s="40" t="s">
        <v>1706</v>
      </c>
      <c r="G3" s="40"/>
      <c r="H3" s="177"/>
      <c r="I3" s="531" t="s">
        <v>243</v>
      </c>
      <c r="J3" s="1866" t="s">
        <v>421</v>
      </c>
      <c r="K3" s="1675"/>
      <c r="L3" s="1131" t="s">
        <v>245</v>
      </c>
      <c r="M3" s="268" t="s">
        <v>1852</v>
      </c>
    </row>
    <row r="4" spans="1:13" ht="72" customHeight="1">
      <c r="A4" s="1127" t="s">
        <v>260</v>
      </c>
      <c r="B4" s="1764" t="s">
        <v>1853</v>
      </c>
      <c r="C4" s="1764"/>
      <c r="D4" s="1764"/>
      <c r="E4" s="1764"/>
      <c r="F4" s="1764"/>
      <c r="G4" s="1896" t="s">
        <v>1854</v>
      </c>
      <c r="H4" s="1906"/>
      <c r="I4" s="1907"/>
      <c r="J4" s="91" t="s">
        <v>253</v>
      </c>
      <c r="K4" s="1133" t="s">
        <v>1855</v>
      </c>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42614</v>
      </c>
      <c r="B7" s="412">
        <v>113</v>
      </c>
      <c r="C7" s="412">
        <v>28815</v>
      </c>
      <c r="D7" s="412">
        <f>B7</f>
        <v>113</v>
      </c>
      <c r="E7" s="412">
        <f>C7</f>
        <v>28815</v>
      </c>
      <c r="F7" s="412"/>
      <c r="G7" s="412">
        <f>E7*0.2</f>
        <v>5763</v>
      </c>
      <c r="H7" s="412"/>
      <c r="I7" s="412"/>
      <c r="J7" s="412"/>
      <c r="K7" s="412"/>
      <c r="L7" s="412">
        <f t="shared" ref="L7:L17" si="0">E7-J7</f>
        <v>28815</v>
      </c>
      <c r="M7" s="682"/>
    </row>
    <row r="8" spans="1:13" ht="27.95" customHeight="1">
      <c r="A8" s="324">
        <v>42675</v>
      </c>
      <c r="B8" s="412">
        <v>117</v>
      </c>
      <c r="C8" s="412">
        <v>31595</v>
      </c>
      <c r="D8" s="412">
        <f t="shared" ref="D8:D17" si="1">D7+B8</f>
        <v>230</v>
      </c>
      <c r="E8" s="412">
        <f t="shared" ref="E8:E17" si="2">E7+C8</f>
        <v>60410</v>
      </c>
      <c r="F8" s="412"/>
      <c r="G8" s="412">
        <f t="shared" ref="G8:G17" si="3">C8*0.2</f>
        <v>6319</v>
      </c>
      <c r="H8" s="412">
        <f>C7*0.8</f>
        <v>23052</v>
      </c>
      <c r="I8" s="412"/>
      <c r="J8" s="412"/>
      <c r="K8" s="412">
        <f t="shared" ref="K8:K18" si="4">K7+H8-I8</f>
        <v>23052</v>
      </c>
      <c r="L8" s="412">
        <f t="shared" si="0"/>
        <v>60410</v>
      </c>
      <c r="M8" s="682" t="s">
        <v>1856</v>
      </c>
    </row>
    <row r="9" spans="1:13" ht="27.95" customHeight="1">
      <c r="A9" s="324">
        <v>42705</v>
      </c>
      <c r="B9" s="412">
        <v>295.5</v>
      </c>
      <c r="C9" s="412">
        <v>88092.5</v>
      </c>
      <c r="D9" s="412">
        <f t="shared" si="1"/>
        <v>525.5</v>
      </c>
      <c r="E9" s="412">
        <f t="shared" si="2"/>
        <v>148502.5</v>
      </c>
      <c r="F9" s="412"/>
      <c r="G9" s="412">
        <f t="shared" si="3"/>
        <v>17618.5</v>
      </c>
      <c r="H9" s="412">
        <f t="shared" ref="H9:H18" si="5">C8*0.8+C7*0.2</f>
        <v>31039</v>
      </c>
      <c r="I9" s="412">
        <v>60410</v>
      </c>
      <c r="J9" s="412">
        <f t="shared" ref="J9:J17" si="6">I9+J8</f>
        <v>60410</v>
      </c>
      <c r="K9" s="412">
        <f t="shared" si="4"/>
        <v>-6319</v>
      </c>
      <c r="L9" s="412">
        <f t="shared" si="0"/>
        <v>88092.5</v>
      </c>
      <c r="M9" s="682" t="s">
        <v>1857</v>
      </c>
    </row>
    <row r="10" spans="1:13" ht="27.95" customHeight="1">
      <c r="A10" s="324">
        <v>42736</v>
      </c>
      <c r="B10" s="412">
        <v>288</v>
      </c>
      <c r="C10" s="412">
        <v>91445</v>
      </c>
      <c r="D10" s="412">
        <f t="shared" si="1"/>
        <v>813.5</v>
      </c>
      <c r="E10" s="412">
        <f t="shared" si="2"/>
        <v>239947.5</v>
      </c>
      <c r="F10" s="412"/>
      <c r="G10" s="412">
        <f t="shared" si="3"/>
        <v>18289</v>
      </c>
      <c r="H10" s="412">
        <f t="shared" si="5"/>
        <v>76793</v>
      </c>
      <c r="I10" s="412">
        <v>88092.5</v>
      </c>
      <c r="J10" s="412">
        <f t="shared" si="6"/>
        <v>148502.5</v>
      </c>
      <c r="K10" s="412">
        <f t="shared" si="4"/>
        <v>-17618.5</v>
      </c>
      <c r="L10" s="412">
        <f t="shared" si="0"/>
        <v>91445</v>
      </c>
      <c r="M10" s="682"/>
    </row>
    <row r="11" spans="1:13" ht="27.95" customHeight="1">
      <c r="A11" s="324">
        <v>42767</v>
      </c>
      <c r="B11" s="412">
        <v>55</v>
      </c>
      <c r="C11" s="412">
        <v>17325</v>
      </c>
      <c r="D11" s="412">
        <f t="shared" si="1"/>
        <v>868.5</v>
      </c>
      <c r="E11" s="412">
        <f t="shared" si="2"/>
        <v>257272.5</v>
      </c>
      <c r="F11" s="412"/>
      <c r="G11" s="412">
        <f t="shared" si="3"/>
        <v>3465</v>
      </c>
      <c r="H11" s="412">
        <f t="shared" si="5"/>
        <v>90774.5</v>
      </c>
      <c r="I11" s="412">
        <v>91445</v>
      </c>
      <c r="J11" s="412">
        <f t="shared" si="6"/>
        <v>239947.5</v>
      </c>
      <c r="K11" s="412">
        <f t="shared" si="4"/>
        <v>-18289</v>
      </c>
      <c r="L11" s="412">
        <f t="shared" si="0"/>
        <v>17325</v>
      </c>
      <c r="M11" s="682" t="s">
        <v>1858</v>
      </c>
    </row>
    <row r="12" spans="1:13" ht="27.95" customHeight="1">
      <c r="A12" s="324">
        <v>42795</v>
      </c>
      <c r="B12" s="412">
        <v>241.5</v>
      </c>
      <c r="C12" s="412">
        <v>72570</v>
      </c>
      <c r="D12" s="412">
        <f t="shared" si="1"/>
        <v>1110</v>
      </c>
      <c r="E12" s="412">
        <f t="shared" si="2"/>
        <v>329842.5</v>
      </c>
      <c r="F12" s="412"/>
      <c r="G12" s="412">
        <f t="shared" si="3"/>
        <v>14514</v>
      </c>
      <c r="H12" s="412">
        <f t="shared" si="5"/>
        <v>32149</v>
      </c>
      <c r="I12" s="412"/>
      <c r="J12" s="412">
        <f t="shared" si="6"/>
        <v>239947.5</v>
      </c>
      <c r="K12" s="412">
        <f t="shared" si="4"/>
        <v>13860</v>
      </c>
      <c r="L12" s="412">
        <f t="shared" si="0"/>
        <v>89895</v>
      </c>
      <c r="M12" s="682"/>
    </row>
    <row r="13" spans="1:13" ht="27.95" customHeight="1">
      <c r="A13" s="324">
        <v>42826</v>
      </c>
      <c r="B13" s="412">
        <v>112</v>
      </c>
      <c r="C13" s="412">
        <v>32140</v>
      </c>
      <c r="D13" s="412">
        <f t="shared" si="1"/>
        <v>1222</v>
      </c>
      <c r="E13" s="412">
        <f t="shared" si="2"/>
        <v>361982.5</v>
      </c>
      <c r="F13" s="412"/>
      <c r="G13" s="412">
        <f t="shared" si="3"/>
        <v>6428</v>
      </c>
      <c r="H13" s="412">
        <f t="shared" si="5"/>
        <v>61521</v>
      </c>
      <c r="I13" s="412">
        <v>89895</v>
      </c>
      <c r="J13" s="412">
        <f t="shared" si="6"/>
        <v>329842.5</v>
      </c>
      <c r="K13" s="412">
        <f t="shared" si="4"/>
        <v>-14514</v>
      </c>
      <c r="L13" s="412">
        <f t="shared" si="0"/>
        <v>32140</v>
      </c>
      <c r="M13" s="682" t="s">
        <v>1859</v>
      </c>
    </row>
    <row r="14" spans="1:13" ht="27.95" customHeight="1">
      <c r="A14" s="324">
        <v>42856</v>
      </c>
      <c r="B14" s="412">
        <v>272</v>
      </c>
      <c r="C14" s="412">
        <v>78720</v>
      </c>
      <c r="D14" s="412">
        <f t="shared" si="1"/>
        <v>1494</v>
      </c>
      <c r="E14" s="412">
        <f t="shared" si="2"/>
        <v>440702.5</v>
      </c>
      <c r="F14" s="412"/>
      <c r="G14" s="412">
        <f t="shared" si="3"/>
        <v>15744</v>
      </c>
      <c r="H14" s="412">
        <f t="shared" si="5"/>
        <v>40226</v>
      </c>
      <c r="I14" s="412">
        <v>32140</v>
      </c>
      <c r="J14" s="412">
        <f t="shared" si="6"/>
        <v>361982.5</v>
      </c>
      <c r="K14" s="412">
        <f t="shared" si="4"/>
        <v>-6428</v>
      </c>
      <c r="L14" s="412">
        <f t="shared" si="0"/>
        <v>78720</v>
      </c>
      <c r="M14" s="682" t="s">
        <v>1860</v>
      </c>
    </row>
    <row r="15" spans="1:13" ht="27.95" customHeight="1">
      <c r="A15" s="324">
        <v>42887</v>
      </c>
      <c r="B15" s="412">
        <v>131</v>
      </c>
      <c r="C15" s="412">
        <v>39195</v>
      </c>
      <c r="D15" s="412">
        <f t="shared" si="1"/>
        <v>1625</v>
      </c>
      <c r="E15" s="412">
        <f t="shared" si="2"/>
        <v>479897.5</v>
      </c>
      <c r="F15" s="412"/>
      <c r="G15" s="412">
        <f t="shared" si="3"/>
        <v>7839</v>
      </c>
      <c r="H15" s="412">
        <f t="shared" si="5"/>
        <v>69404</v>
      </c>
      <c r="I15" s="412">
        <v>78720</v>
      </c>
      <c r="J15" s="412">
        <f t="shared" si="6"/>
        <v>440702.5</v>
      </c>
      <c r="K15" s="412">
        <f t="shared" si="4"/>
        <v>-15744</v>
      </c>
      <c r="L15" s="412">
        <f t="shared" si="0"/>
        <v>39195</v>
      </c>
      <c r="M15" s="693" t="s">
        <v>1861</v>
      </c>
    </row>
    <row r="16" spans="1:13" ht="27.95" customHeight="1">
      <c r="A16" s="324">
        <v>42917</v>
      </c>
      <c r="B16" s="412">
        <v>384</v>
      </c>
      <c r="C16" s="412">
        <v>115200</v>
      </c>
      <c r="D16" s="412">
        <f t="shared" si="1"/>
        <v>2009</v>
      </c>
      <c r="E16" s="412">
        <f t="shared" si="2"/>
        <v>595097.5</v>
      </c>
      <c r="F16" s="412"/>
      <c r="G16" s="412">
        <f t="shared" si="3"/>
        <v>23040</v>
      </c>
      <c r="H16" s="412">
        <f t="shared" si="5"/>
        <v>47100</v>
      </c>
      <c r="I16" s="412"/>
      <c r="J16" s="412">
        <f t="shared" si="6"/>
        <v>440702.5</v>
      </c>
      <c r="K16" s="412">
        <f t="shared" si="4"/>
        <v>31356</v>
      </c>
      <c r="L16" s="412">
        <f t="shared" si="0"/>
        <v>154395</v>
      </c>
      <c r="M16" s="682"/>
    </row>
    <row r="17" spans="1:13" ht="27.95" customHeight="1">
      <c r="A17" s="324">
        <v>42948</v>
      </c>
      <c r="B17" s="412">
        <v>158</v>
      </c>
      <c r="C17" s="412">
        <v>46530</v>
      </c>
      <c r="D17" s="412">
        <f t="shared" si="1"/>
        <v>2167</v>
      </c>
      <c r="E17" s="412">
        <f t="shared" si="2"/>
        <v>641627.5</v>
      </c>
      <c r="F17" s="412"/>
      <c r="G17" s="412">
        <f t="shared" si="3"/>
        <v>9306</v>
      </c>
      <c r="H17" s="412">
        <f t="shared" si="5"/>
        <v>99999</v>
      </c>
      <c r="I17" s="412"/>
      <c r="J17" s="412">
        <f t="shared" si="6"/>
        <v>440702.5</v>
      </c>
      <c r="K17" s="412">
        <f t="shared" si="4"/>
        <v>131355</v>
      </c>
      <c r="L17" s="412">
        <f t="shared" si="0"/>
        <v>200925</v>
      </c>
      <c r="M17" s="682"/>
    </row>
    <row r="18" spans="1:13" ht="27.95" customHeight="1">
      <c r="A18" s="324"/>
      <c r="B18" s="412"/>
      <c r="C18" s="412"/>
      <c r="D18" s="412"/>
      <c r="E18" s="412"/>
      <c r="F18" s="412"/>
      <c r="G18" s="412"/>
      <c r="H18" s="412">
        <f t="shared" si="5"/>
        <v>60264</v>
      </c>
      <c r="I18" s="412"/>
      <c r="J18" s="412"/>
      <c r="K18" s="412">
        <f t="shared" si="4"/>
        <v>191619</v>
      </c>
      <c r="L18" s="412"/>
      <c r="M18" s="682"/>
    </row>
    <row r="19" spans="1:13" ht="27.95" customHeight="1">
      <c r="A19" s="324"/>
      <c r="B19" s="412"/>
      <c r="C19" s="412"/>
      <c r="D19" s="412"/>
      <c r="E19" s="412"/>
      <c r="F19" s="412"/>
      <c r="G19" s="412"/>
      <c r="H19" s="412"/>
      <c r="I19" s="412"/>
      <c r="J19" s="412"/>
      <c r="K19" s="412"/>
      <c r="L19" s="412"/>
      <c r="M19" s="682"/>
    </row>
    <row r="20" spans="1:13" ht="27.95" customHeight="1">
      <c r="A20" s="324"/>
      <c r="B20" s="412"/>
      <c r="C20" s="412"/>
      <c r="D20" s="412"/>
      <c r="E20" s="412"/>
      <c r="F20" s="412"/>
      <c r="G20" s="412"/>
      <c r="H20" s="412"/>
      <c r="I20" s="412"/>
      <c r="J20" s="412"/>
      <c r="K20" s="412"/>
      <c r="L20" s="412"/>
      <c r="M20"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M13"/>
  <sheetViews>
    <sheetView topLeftCell="A4" zoomScaleSheetLayoutView="100" workbookViewId="0">
      <selection activeCell="M8" sqref="M8"/>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38" t="s">
        <v>1719</v>
      </c>
      <c r="D1" s="1124" t="s">
        <v>1862</v>
      </c>
      <c r="E1" s="38" t="s">
        <v>236</v>
      </c>
      <c r="F1" s="1893"/>
      <c r="G1" s="1790"/>
      <c r="H1" s="1126" t="s">
        <v>237</v>
      </c>
      <c r="I1" s="1633"/>
      <c r="J1" s="1633"/>
      <c r="K1" s="1633"/>
      <c r="L1" s="1904"/>
      <c r="M1" s="1812"/>
    </row>
    <row r="2" spans="1:13" ht="50.1" customHeight="1">
      <c r="A2" s="39" t="s">
        <v>240</v>
      </c>
      <c r="B2" s="1637" t="s">
        <v>1863</v>
      </c>
      <c r="C2" s="1637"/>
      <c r="D2" s="41" t="s">
        <v>242</v>
      </c>
      <c r="E2" s="1832"/>
      <c r="F2" s="1833"/>
      <c r="G2" s="40" t="s">
        <v>1864</v>
      </c>
      <c r="H2" s="40" t="s">
        <v>425</v>
      </c>
      <c r="I2" s="1921"/>
      <c r="J2" s="1922"/>
      <c r="K2" s="1922"/>
      <c r="L2" s="1922"/>
      <c r="M2" s="1923"/>
    </row>
    <row r="3" spans="1:13" ht="57.95" customHeight="1">
      <c r="A3" s="39" t="s">
        <v>247</v>
      </c>
      <c r="B3" s="1637" t="s">
        <v>1865</v>
      </c>
      <c r="C3" s="1637"/>
      <c r="D3" s="41" t="s">
        <v>249</v>
      </c>
      <c r="E3" s="40"/>
      <c r="F3" s="40" t="s">
        <v>1706</v>
      </c>
      <c r="G3" s="40"/>
      <c r="H3" s="177"/>
      <c r="I3" s="531" t="s">
        <v>243</v>
      </c>
      <c r="J3" s="1866" t="s">
        <v>421</v>
      </c>
      <c r="K3" s="1675"/>
      <c r="L3" s="1131" t="s">
        <v>245</v>
      </c>
      <c r="M3" s="1132"/>
    </row>
    <row r="4" spans="1:13" ht="72" customHeight="1">
      <c r="A4" s="1127" t="s">
        <v>260</v>
      </c>
      <c r="B4" s="1764"/>
      <c r="C4" s="1764"/>
      <c r="D4" s="1764"/>
      <c r="E4" s="1764"/>
      <c r="F4" s="1764"/>
      <c r="G4" s="1137"/>
      <c r="H4" s="1137"/>
      <c r="I4" s="113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42675</v>
      </c>
      <c r="B7" s="412">
        <v>30</v>
      </c>
      <c r="C7" s="412">
        <v>7200</v>
      </c>
      <c r="D7" s="412">
        <f>B7</f>
        <v>30</v>
      </c>
      <c r="E7" s="412">
        <f>C7</f>
        <v>7200</v>
      </c>
      <c r="F7" s="412"/>
      <c r="G7" s="412"/>
      <c r="H7" s="412"/>
      <c r="I7" s="412"/>
      <c r="J7" s="412"/>
      <c r="K7" s="412"/>
      <c r="L7" s="412">
        <f>E7-J7</f>
        <v>7200</v>
      </c>
      <c r="M7" s="682"/>
    </row>
    <row r="8" spans="1:13" ht="27.95" customHeight="1">
      <c r="A8" s="324"/>
      <c r="B8" s="412"/>
      <c r="C8" s="412"/>
      <c r="D8" s="412"/>
      <c r="E8" s="412"/>
      <c r="F8" s="412"/>
      <c r="G8" s="412"/>
      <c r="H8" s="412">
        <f>C7</f>
        <v>7200</v>
      </c>
      <c r="I8" s="412"/>
      <c r="J8" s="412"/>
      <c r="K8" s="412">
        <f>K7+H8-I8</f>
        <v>7200</v>
      </c>
      <c r="L8" s="412">
        <f>E8-J8</f>
        <v>0</v>
      </c>
      <c r="M8" s="682"/>
    </row>
    <row r="9" spans="1:13" ht="27.95" customHeight="1">
      <c r="A9" s="324"/>
      <c r="B9" s="412"/>
      <c r="C9" s="412"/>
      <c r="D9" s="412"/>
      <c r="E9" s="412"/>
      <c r="F9" s="412"/>
      <c r="G9" s="412"/>
      <c r="H9" s="412">
        <f>C8</f>
        <v>0</v>
      </c>
      <c r="I9" s="412"/>
      <c r="J9" s="412"/>
      <c r="K9" s="412">
        <f>K8+H9-I9</f>
        <v>7200</v>
      </c>
      <c r="L9" s="412">
        <f>E9-J9</f>
        <v>0</v>
      </c>
      <c r="M9" s="682"/>
    </row>
    <row r="10" spans="1:13" ht="27.95" customHeight="1">
      <c r="A10" s="324"/>
      <c r="B10" s="412"/>
      <c r="C10" s="412"/>
      <c r="D10" s="412"/>
      <c r="E10" s="412"/>
      <c r="F10" s="412"/>
      <c r="G10" s="412"/>
      <c r="H10" s="412">
        <f>C9</f>
        <v>0</v>
      </c>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2">
    <mergeCell ref="B3:C3"/>
    <mergeCell ref="J3:K3"/>
    <mergeCell ref="B4:F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7"/>
  <sheetViews>
    <sheetView topLeftCell="A22" zoomScaleSheetLayoutView="100" workbookViewId="0">
      <selection activeCell="A28" sqref="A28"/>
    </sheetView>
  </sheetViews>
  <sheetFormatPr defaultColWidth="9" defaultRowHeight="14.25"/>
  <cols>
    <col min="1" max="1" width="15.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1866</v>
      </c>
      <c r="C1" s="1124" t="s">
        <v>1867</v>
      </c>
      <c r="D1" s="1124"/>
      <c r="E1" s="38" t="s">
        <v>236</v>
      </c>
      <c r="F1" s="1893" t="s">
        <v>1868</v>
      </c>
      <c r="G1" s="1790"/>
      <c r="H1" s="1126" t="s">
        <v>237</v>
      </c>
      <c r="I1" s="1633" t="s">
        <v>1869</v>
      </c>
      <c r="J1" s="1633"/>
      <c r="K1" s="1633"/>
      <c r="L1" s="1904" t="s">
        <v>1870</v>
      </c>
      <c r="M1" s="1812"/>
    </row>
    <row r="2" spans="1:13" ht="50.1" customHeight="1">
      <c r="A2" s="39" t="s">
        <v>240</v>
      </c>
      <c r="B2" s="1637" t="s">
        <v>1871</v>
      </c>
      <c r="C2" s="1637"/>
      <c r="D2" s="41" t="s">
        <v>242</v>
      </c>
      <c r="E2" s="1158"/>
      <c r="F2" s="1637" t="s">
        <v>1872</v>
      </c>
      <c r="G2" s="1637"/>
      <c r="H2" s="40" t="s">
        <v>425</v>
      </c>
      <c r="I2" s="1921" t="s">
        <v>1873</v>
      </c>
      <c r="J2" s="1922"/>
      <c r="K2" s="1922"/>
      <c r="L2" s="1922"/>
      <c r="M2" s="1923"/>
    </row>
    <row r="3" spans="1:13" ht="57.95" customHeight="1">
      <c r="A3" s="39" t="s">
        <v>247</v>
      </c>
      <c r="B3" s="1637" t="s">
        <v>1874</v>
      </c>
      <c r="C3" s="1637"/>
      <c r="D3" s="41" t="s">
        <v>249</v>
      </c>
      <c r="E3" s="40">
        <v>9060</v>
      </c>
      <c r="F3" s="40" t="s">
        <v>1706</v>
      </c>
      <c r="G3" s="40"/>
      <c r="H3" s="177"/>
      <c r="I3" s="531" t="s">
        <v>243</v>
      </c>
      <c r="J3" s="1866" t="s">
        <v>421</v>
      </c>
      <c r="K3" s="1675"/>
      <c r="L3" s="1131" t="s">
        <v>245</v>
      </c>
      <c r="M3" s="1132" t="s">
        <v>1875</v>
      </c>
    </row>
    <row r="4" spans="1:13" ht="72" customHeight="1">
      <c r="A4" s="1127" t="s">
        <v>260</v>
      </c>
      <c r="B4" s="1764" t="s">
        <v>1876</v>
      </c>
      <c r="C4" s="1764"/>
      <c r="D4" s="1764"/>
      <c r="E4" s="1764"/>
      <c r="F4" s="1764"/>
      <c r="G4" s="1137"/>
      <c r="H4" s="1137"/>
      <c r="I4" s="1137"/>
      <c r="J4" s="91" t="s">
        <v>253</v>
      </c>
      <c r="K4" s="1133" t="s">
        <v>1877</v>
      </c>
      <c r="L4" s="15" t="s">
        <v>1469</v>
      </c>
      <c r="M4" s="92" t="s">
        <v>1877</v>
      </c>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s="1157" customFormat="1" ht="27.95" customHeight="1">
      <c r="A7" s="1159">
        <v>42705</v>
      </c>
      <c r="B7" s="1160">
        <v>1169.5</v>
      </c>
      <c r="C7" s="1160">
        <v>363847.5</v>
      </c>
      <c r="D7" s="1160">
        <f>B7</f>
        <v>1169.5</v>
      </c>
      <c r="E7" s="1160">
        <f>C7</f>
        <v>363847.5</v>
      </c>
      <c r="F7" s="1161"/>
      <c r="G7" s="1160">
        <f>C7</f>
        <v>363847.5</v>
      </c>
      <c r="H7" s="1160"/>
      <c r="I7" s="1160"/>
      <c r="J7" s="1160"/>
      <c r="K7" s="1160"/>
      <c r="L7" s="1160">
        <f t="shared" ref="L7:L14" si="0">E7-J7</f>
        <v>363847.5</v>
      </c>
      <c r="M7" s="1163"/>
    </row>
    <row r="8" spans="1:13" s="1157" customFormat="1" ht="27.95" customHeight="1">
      <c r="A8" s="1159">
        <v>42736</v>
      </c>
      <c r="B8" s="1160">
        <v>353.5</v>
      </c>
      <c r="C8" s="1160">
        <v>111337.5</v>
      </c>
      <c r="D8" s="1160">
        <f t="shared" ref="D8:D14" si="1">D7+B8</f>
        <v>1523</v>
      </c>
      <c r="E8" s="1160">
        <f t="shared" ref="E8:E14" si="2">E7+C8</f>
        <v>475185</v>
      </c>
      <c r="F8" s="1161"/>
      <c r="G8" s="1160">
        <f t="shared" ref="G8:G14" si="3">E7*0.2+C8</f>
        <v>184107</v>
      </c>
      <c r="H8" s="1160"/>
      <c r="I8" s="1160"/>
      <c r="J8" s="1160"/>
      <c r="K8" s="1160">
        <f t="shared" ref="K8:K15" si="4">K7+H8-I8</f>
        <v>0</v>
      </c>
      <c r="L8" s="1160">
        <f t="shared" si="0"/>
        <v>475185</v>
      </c>
      <c r="M8" s="1163"/>
    </row>
    <row r="9" spans="1:13" s="1157" customFormat="1" ht="27.95" customHeight="1">
      <c r="A9" s="1159">
        <v>42767</v>
      </c>
      <c r="B9" s="1160">
        <v>1288</v>
      </c>
      <c r="C9" s="1160">
        <v>405720</v>
      </c>
      <c r="D9" s="1160">
        <f t="shared" si="1"/>
        <v>2811</v>
      </c>
      <c r="E9" s="1160">
        <f t="shared" si="2"/>
        <v>880905</v>
      </c>
      <c r="F9" s="1161"/>
      <c r="G9" s="1160">
        <f t="shared" si="3"/>
        <v>500757</v>
      </c>
      <c r="H9" s="1160">
        <f t="shared" ref="H9:H15" si="5">C7*0.8</f>
        <v>291078</v>
      </c>
      <c r="I9" s="1160"/>
      <c r="J9" s="1160"/>
      <c r="K9" s="1160">
        <f t="shared" si="4"/>
        <v>291078</v>
      </c>
      <c r="L9" s="1160">
        <f t="shared" si="0"/>
        <v>880905</v>
      </c>
      <c r="M9" s="1163"/>
    </row>
    <row r="10" spans="1:13" s="1157" customFormat="1" ht="27.95" customHeight="1">
      <c r="A10" s="1159">
        <v>42795</v>
      </c>
      <c r="B10" s="1160">
        <v>2777</v>
      </c>
      <c r="C10" s="1160">
        <v>874630</v>
      </c>
      <c r="D10" s="1160">
        <f t="shared" si="1"/>
        <v>5588</v>
      </c>
      <c r="E10" s="1160">
        <f t="shared" si="2"/>
        <v>1755535</v>
      </c>
      <c r="F10" s="1161"/>
      <c r="G10" s="1160">
        <f t="shared" si="3"/>
        <v>1050811</v>
      </c>
      <c r="H10" s="1160">
        <f t="shared" si="5"/>
        <v>89070</v>
      </c>
      <c r="I10" s="1160"/>
      <c r="J10" s="1160"/>
      <c r="K10" s="1160">
        <f t="shared" si="4"/>
        <v>380148</v>
      </c>
      <c r="L10" s="1160">
        <f t="shared" si="0"/>
        <v>1755535</v>
      </c>
      <c r="M10" s="1163"/>
    </row>
    <row r="11" spans="1:13" s="1157" customFormat="1" ht="27.95" customHeight="1">
      <c r="A11" s="1159">
        <v>42826</v>
      </c>
      <c r="B11" s="1160">
        <v>2016</v>
      </c>
      <c r="C11" s="1160">
        <v>632700</v>
      </c>
      <c r="D11" s="1160">
        <f t="shared" si="1"/>
        <v>7604</v>
      </c>
      <c r="E11" s="1160">
        <f t="shared" si="2"/>
        <v>2388235</v>
      </c>
      <c r="F11" s="1161"/>
      <c r="G11" s="1160">
        <f t="shared" si="3"/>
        <v>983807</v>
      </c>
      <c r="H11" s="1160">
        <f t="shared" si="5"/>
        <v>324576</v>
      </c>
      <c r="I11" s="1160"/>
      <c r="J11" s="1160"/>
      <c r="K11" s="1160">
        <f t="shared" si="4"/>
        <v>704724</v>
      </c>
      <c r="L11" s="1160">
        <f t="shared" si="0"/>
        <v>2388235</v>
      </c>
      <c r="M11" s="1163"/>
    </row>
    <row r="12" spans="1:13" s="1157" customFormat="1" ht="27.95" customHeight="1">
      <c r="A12" s="1159">
        <v>42856</v>
      </c>
      <c r="B12" s="1160">
        <v>0</v>
      </c>
      <c r="C12" s="1160">
        <v>0</v>
      </c>
      <c r="D12" s="1160">
        <f t="shared" si="1"/>
        <v>7604</v>
      </c>
      <c r="E12" s="1160">
        <f t="shared" si="2"/>
        <v>2388235</v>
      </c>
      <c r="F12" s="1160"/>
      <c r="G12" s="1160">
        <f t="shared" si="3"/>
        <v>477647</v>
      </c>
      <c r="H12" s="1160">
        <f t="shared" si="5"/>
        <v>699704</v>
      </c>
      <c r="I12" s="1160"/>
      <c r="J12" s="1160"/>
      <c r="K12" s="1160">
        <f t="shared" si="4"/>
        <v>1404428</v>
      </c>
      <c r="L12" s="1160">
        <f t="shared" si="0"/>
        <v>2388235</v>
      </c>
      <c r="M12" s="1163" t="s">
        <v>1878</v>
      </c>
    </row>
    <row r="13" spans="1:13" s="1157" customFormat="1" ht="27.95" customHeight="1">
      <c r="A13" s="1159">
        <v>42887</v>
      </c>
      <c r="B13" s="1160">
        <v>0</v>
      </c>
      <c r="C13" s="1160">
        <v>0</v>
      </c>
      <c r="D13" s="1160">
        <f t="shared" si="1"/>
        <v>7604</v>
      </c>
      <c r="E13" s="1160">
        <f t="shared" si="2"/>
        <v>2388235</v>
      </c>
      <c r="F13" s="1160"/>
      <c r="G13" s="1160">
        <f t="shared" si="3"/>
        <v>477647</v>
      </c>
      <c r="H13" s="1160">
        <f t="shared" si="5"/>
        <v>506160</v>
      </c>
      <c r="I13" s="1160">
        <v>1326450</v>
      </c>
      <c r="J13" s="1160">
        <f>J12+I13</f>
        <v>1326450</v>
      </c>
      <c r="K13" s="1160">
        <f t="shared" si="4"/>
        <v>584138</v>
      </c>
      <c r="L13" s="1160">
        <f t="shared" si="0"/>
        <v>1061785</v>
      </c>
      <c r="M13" s="1163" t="s">
        <v>1879</v>
      </c>
    </row>
    <row r="14" spans="1:13" s="1157" customFormat="1" ht="27.95" customHeight="1">
      <c r="A14" s="1159">
        <v>42917</v>
      </c>
      <c r="B14" s="1160">
        <v>0</v>
      </c>
      <c r="C14" s="1160">
        <v>0</v>
      </c>
      <c r="D14" s="1160">
        <f t="shared" si="1"/>
        <v>7604</v>
      </c>
      <c r="E14" s="1160">
        <f t="shared" si="2"/>
        <v>2388235</v>
      </c>
      <c r="F14" s="1160"/>
      <c r="G14" s="1160">
        <f t="shared" si="3"/>
        <v>477647</v>
      </c>
      <c r="H14" s="1160">
        <f>G13</f>
        <v>477647</v>
      </c>
      <c r="I14" s="1160">
        <v>1061785</v>
      </c>
      <c r="J14" s="1160">
        <f>J13+I14</f>
        <v>2388235</v>
      </c>
      <c r="K14" s="1160">
        <f t="shared" si="4"/>
        <v>0</v>
      </c>
      <c r="L14" s="1160">
        <f t="shared" si="0"/>
        <v>0</v>
      </c>
      <c r="M14" s="1163"/>
    </row>
    <row r="15" spans="1:13" s="1157" customFormat="1" ht="27.95" customHeight="1">
      <c r="A15" s="1159"/>
      <c r="B15" s="1160"/>
      <c r="C15" s="1160"/>
      <c r="D15" s="1160"/>
      <c r="E15" s="1160"/>
      <c r="F15" s="1160"/>
      <c r="G15" s="1160"/>
      <c r="H15" s="1160">
        <f t="shared" si="5"/>
        <v>0</v>
      </c>
      <c r="I15" s="1160"/>
      <c r="J15" s="1160"/>
      <c r="K15" s="1160">
        <f t="shared" si="4"/>
        <v>0</v>
      </c>
      <c r="L15" s="1160"/>
      <c r="M15" s="1163"/>
    </row>
    <row r="16" spans="1:13" s="1157" customFormat="1" ht="27.95" customHeight="1">
      <c r="A16" s="1159"/>
      <c r="B16" s="1160"/>
      <c r="C16" s="1160"/>
      <c r="D16" s="1160"/>
      <c r="E16" s="1160"/>
      <c r="F16" s="1160"/>
      <c r="G16" s="1160"/>
      <c r="H16" s="1160"/>
      <c r="I16" s="1160"/>
      <c r="J16" s="1160"/>
      <c r="K16" s="1160"/>
      <c r="L16" s="1160"/>
      <c r="M16" s="1163"/>
    </row>
    <row r="17" spans="1:13" s="1157" customFormat="1" ht="27.95" customHeight="1">
      <c r="A17" s="1159"/>
      <c r="B17" s="1160"/>
      <c r="C17" s="1160"/>
      <c r="D17" s="1160"/>
      <c r="E17" s="1160"/>
      <c r="F17" s="1160"/>
      <c r="G17" s="1160"/>
      <c r="H17" s="1160"/>
      <c r="I17" s="1160"/>
      <c r="J17" s="1160"/>
      <c r="K17" s="1160"/>
      <c r="L17" s="1160"/>
      <c r="M17" s="1163"/>
    </row>
    <row r="18" spans="1:13" ht="63" customHeight="1">
      <c r="A18" s="34" t="s">
        <v>556</v>
      </c>
      <c r="B18" s="35">
        <v>2017.5</v>
      </c>
      <c r="C18" s="1162" t="s">
        <v>1880</v>
      </c>
      <c r="D18" s="1124"/>
      <c r="E18" s="38" t="s">
        <v>236</v>
      </c>
      <c r="F18" s="1893">
        <v>42856</v>
      </c>
      <c r="G18" s="1790"/>
      <c r="H18" s="1126" t="s">
        <v>237</v>
      </c>
      <c r="I18" s="1633" t="s">
        <v>1881</v>
      </c>
      <c r="J18" s="1633"/>
      <c r="K18" s="1633"/>
      <c r="L18" s="1904" t="s">
        <v>1882</v>
      </c>
      <c r="M18" s="1812"/>
    </row>
    <row r="19" spans="1:13" ht="50.1" customHeight="1">
      <c r="A19" s="39" t="s">
        <v>240</v>
      </c>
      <c r="B19" s="1637" t="s">
        <v>1871</v>
      </c>
      <c r="C19" s="1637"/>
      <c r="D19" s="41" t="s">
        <v>242</v>
      </c>
      <c r="E19" s="1158"/>
      <c r="F19" s="1637" t="s">
        <v>1872</v>
      </c>
      <c r="G19" s="1637"/>
      <c r="H19" s="40" t="s">
        <v>425</v>
      </c>
      <c r="I19" s="1921" t="s">
        <v>1883</v>
      </c>
      <c r="J19" s="1922"/>
      <c r="K19" s="1922"/>
      <c r="L19" s="1922"/>
      <c r="M19" s="1923"/>
    </row>
    <row r="20" spans="1:13" ht="57.95" customHeight="1">
      <c r="A20" s="39" t="s">
        <v>247</v>
      </c>
      <c r="B20" s="1637" t="s">
        <v>1874</v>
      </c>
      <c r="C20" s="1637"/>
      <c r="D20" s="41" t="s">
        <v>249</v>
      </c>
      <c r="E20" s="40">
        <v>9060</v>
      </c>
      <c r="F20" s="40" t="s">
        <v>1706</v>
      </c>
      <c r="G20" s="40"/>
      <c r="H20" s="177"/>
      <c r="I20" s="531" t="s">
        <v>243</v>
      </c>
      <c r="J20" s="1866" t="s">
        <v>421</v>
      </c>
      <c r="K20" s="1675"/>
      <c r="L20" s="1131" t="s">
        <v>245</v>
      </c>
      <c r="M20" s="1132" t="s">
        <v>1875</v>
      </c>
    </row>
    <row r="21" spans="1:13" ht="72" customHeight="1">
      <c r="A21" s="1127" t="s">
        <v>260</v>
      </c>
      <c r="B21" s="1764" t="s">
        <v>1884</v>
      </c>
      <c r="C21" s="1764"/>
      <c r="D21" s="1764"/>
      <c r="E21" s="1764"/>
      <c r="F21" s="1764"/>
      <c r="G21" s="1137"/>
      <c r="H21" s="1137"/>
      <c r="I21" s="1137"/>
      <c r="J21" s="91" t="s">
        <v>253</v>
      </c>
      <c r="K21" s="1133" t="s">
        <v>1877</v>
      </c>
      <c r="L21" s="15" t="s">
        <v>1469</v>
      </c>
      <c r="M21" s="92" t="s">
        <v>1877</v>
      </c>
    </row>
    <row r="22" spans="1:13" ht="69.95" customHeight="1">
      <c r="A22" s="39" t="s">
        <v>258</v>
      </c>
      <c r="B22" s="1890"/>
      <c r="C22" s="1891"/>
      <c r="D22" s="1908"/>
      <c r="E22" s="1909"/>
      <c r="F22" s="1909"/>
      <c r="G22" s="1786"/>
      <c r="H22" s="1786"/>
      <c r="I22" s="1786"/>
      <c r="J22" s="1786"/>
      <c r="L22" s="178"/>
      <c r="M22" s="1134"/>
    </row>
    <row r="23" spans="1:13" ht="28.5">
      <c r="A23" s="381" t="s">
        <v>266</v>
      </c>
      <c r="B23" s="382" t="s">
        <v>1150</v>
      </c>
      <c r="C23" s="382" t="s">
        <v>268</v>
      </c>
      <c r="D23" s="382" t="s">
        <v>1885</v>
      </c>
      <c r="E23" s="382" t="s">
        <v>270</v>
      </c>
      <c r="F23" s="382" t="s">
        <v>1476</v>
      </c>
      <c r="G23" s="1128" t="s">
        <v>272</v>
      </c>
      <c r="H23" s="384" t="s">
        <v>273</v>
      </c>
      <c r="I23" s="390" t="s">
        <v>274</v>
      </c>
      <c r="J23" s="1135" t="s">
        <v>275</v>
      </c>
      <c r="K23" s="391" t="s">
        <v>276</v>
      </c>
      <c r="L23" s="382" t="s">
        <v>277</v>
      </c>
      <c r="M23" s="392" t="s">
        <v>278</v>
      </c>
    </row>
    <row r="24" spans="1:13" ht="27.95" customHeight="1">
      <c r="A24" s="324">
        <v>42856</v>
      </c>
      <c r="B24" s="412">
        <v>906</v>
      </c>
      <c r="C24" s="412">
        <v>285870</v>
      </c>
      <c r="D24" s="412">
        <f>+B24</f>
        <v>906</v>
      </c>
      <c r="E24" s="412">
        <f>C24</f>
        <v>285870</v>
      </c>
      <c r="F24" s="412"/>
      <c r="G24" s="412">
        <f>E24</f>
        <v>285870</v>
      </c>
      <c r="H24" s="412"/>
      <c r="I24" s="412"/>
      <c r="J24" s="412"/>
      <c r="K24" s="412"/>
      <c r="L24" s="412">
        <f>E24-J24</f>
        <v>285870</v>
      </c>
      <c r="M24" s="682"/>
    </row>
    <row r="25" spans="1:13" ht="27.95" customHeight="1">
      <c r="A25" s="324">
        <v>42887</v>
      </c>
      <c r="B25" s="412">
        <v>837.5</v>
      </c>
      <c r="C25" s="412">
        <v>260932.5</v>
      </c>
      <c r="D25" s="412">
        <f t="shared" ref="D25:E27" si="6">D24+B25</f>
        <v>1743.5</v>
      </c>
      <c r="E25" s="412">
        <f t="shared" si="6"/>
        <v>546802.5</v>
      </c>
      <c r="F25" s="412"/>
      <c r="G25" s="412">
        <f>E24*0.2+C25</f>
        <v>318106.5</v>
      </c>
      <c r="H25" s="412"/>
      <c r="I25" s="412"/>
      <c r="J25" s="412"/>
      <c r="K25" s="412">
        <f>K24+H25-I25</f>
        <v>0</v>
      </c>
      <c r="L25" s="412">
        <f>E25-J25</f>
        <v>546802.5</v>
      </c>
      <c r="M25" s="682"/>
    </row>
    <row r="26" spans="1:13" ht="27.95" customHeight="1">
      <c r="A26" s="324">
        <v>42917</v>
      </c>
      <c r="B26" s="412">
        <v>346</v>
      </c>
      <c r="C26" s="412">
        <v>103020</v>
      </c>
      <c r="D26" s="412">
        <f t="shared" si="6"/>
        <v>2089.5</v>
      </c>
      <c r="E26" s="412">
        <f t="shared" si="6"/>
        <v>649822.5</v>
      </c>
      <c r="F26" s="412"/>
      <c r="G26" s="412">
        <f>E25*0.2+C26</f>
        <v>212380.5</v>
      </c>
      <c r="H26" s="412">
        <f>C24*0.8</f>
        <v>228696</v>
      </c>
      <c r="I26" s="412"/>
      <c r="J26" s="412"/>
      <c r="K26" s="412">
        <f>K25+H26-I26</f>
        <v>228696</v>
      </c>
      <c r="L26" s="412">
        <f>E26-J26</f>
        <v>649822.5</v>
      </c>
      <c r="M26" s="682"/>
    </row>
    <row r="27" spans="1:13" ht="27.95" customHeight="1">
      <c r="A27" s="324">
        <v>42948</v>
      </c>
      <c r="B27" s="412">
        <v>361.5</v>
      </c>
      <c r="C27" s="412">
        <v>101230.5</v>
      </c>
      <c r="D27" s="412">
        <f t="shared" si="6"/>
        <v>2451</v>
      </c>
      <c r="E27" s="412">
        <f t="shared" si="6"/>
        <v>751053</v>
      </c>
      <c r="F27" s="412"/>
      <c r="G27" s="412">
        <f>E26*0.2+C27</f>
        <v>231195</v>
      </c>
      <c r="H27" s="412">
        <f>C25*0.8</f>
        <v>208746</v>
      </c>
      <c r="I27" s="412"/>
      <c r="J27" s="412"/>
      <c r="K27" s="412">
        <f>K26+H27-I27</f>
        <v>437442</v>
      </c>
      <c r="L27" s="412">
        <f>E27-J27</f>
        <v>751053</v>
      </c>
      <c r="M27" s="682"/>
    </row>
    <row r="28" spans="1:13" ht="27.95" customHeight="1">
      <c r="A28" s="324"/>
      <c r="B28" s="412"/>
      <c r="C28" s="412"/>
      <c r="D28" s="412"/>
      <c r="E28" s="412"/>
      <c r="F28" s="412"/>
      <c r="G28" s="412"/>
      <c r="H28" s="412">
        <f>C26*0.8</f>
        <v>82416</v>
      </c>
      <c r="I28" s="412"/>
      <c r="J28" s="412"/>
      <c r="K28" s="412">
        <f>K27+H28-I28</f>
        <v>519858</v>
      </c>
      <c r="L28" s="412"/>
      <c r="M28" s="682"/>
    </row>
    <row r="29" spans="1:13" ht="27.95" customHeight="1">
      <c r="A29" s="324"/>
      <c r="B29" s="412"/>
      <c r="C29" s="412"/>
      <c r="D29" s="412"/>
      <c r="E29" s="412"/>
      <c r="F29" s="412"/>
      <c r="G29" s="412"/>
      <c r="H29" s="412"/>
      <c r="I29" s="412"/>
      <c r="J29" s="412"/>
      <c r="K29" s="412"/>
      <c r="L29" s="412"/>
      <c r="M29" s="682"/>
    </row>
    <row r="30" spans="1:13" ht="27.95" customHeight="1">
      <c r="A30" s="324"/>
      <c r="B30" s="412"/>
      <c r="C30" s="412"/>
      <c r="D30" s="412"/>
      <c r="E30" s="412"/>
      <c r="F30" s="412"/>
      <c r="G30" s="412"/>
      <c r="H30" s="412"/>
      <c r="I30" s="412"/>
      <c r="J30" s="412"/>
      <c r="K30" s="412"/>
      <c r="L30" s="412"/>
      <c r="M30" s="682"/>
    </row>
    <row r="31" spans="1:13" ht="27.95" customHeight="1">
      <c r="A31" s="324"/>
      <c r="B31" s="412"/>
      <c r="C31" s="412"/>
      <c r="D31" s="412"/>
      <c r="E31" s="412"/>
      <c r="F31" s="412"/>
      <c r="G31" s="412"/>
      <c r="H31" s="412"/>
      <c r="I31" s="412"/>
      <c r="J31" s="412"/>
      <c r="K31" s="412"/>
      <c r="L31" s="412"/>
      <c r="M31" s="682"/>
    </row>
    <row r="32" spans="1:13" ht="27.95" customHeight="1">
      <c r="A32" s="324"/>
      <c r="B32" s="412"/>
      <c r="C32" s="412"/>
      <c r="D32" s="412"/>
      <c r="E32" s="412"/>
      <c r="F32" s="412"/>
      <c r="G32" s="412"/>
      <c r="H32" s="412"/>
      <c r="I32" s="412"/>
      <c r="J32" s="412"/>
      <c r="K32" s="412"/>
      <c r="L32" s="412"/>
      <c r="M32" s="682"/>
    </row>
    <row r="33" spans="1:13" ht="27.95" customHeight="1">
      <c r="A33" s="324"/>
      <c r="B33" s="412"/>
      <c r="C33" s="412"/>
      <c r="D33" s="412"/>
      <c r="E33" s="412"/>
      <c r="F33" s="412"/>
      <c r="G33" s="412"/>
      <c r="H33" s="412"/>
      <c r="I33" s="412"/>
      <c r="J33" s="412"/>
      <c r="K33" s="412"/>
      <c r="L33" s="412"/>
      <c r="M33" s="682"/>
    </row>
    <row r="34" spans="1:13" ht="27.95" customHeight="1">
      <c r="A34" s="324"/>
      <c r="B34" s="412"/>
      <c r="C34" s="412"/>
      <c r="D34" s="412"/>
      <c r="E34" s="412"/>
      <c r="F34" s="412"/>
      <c r="G34" s="412"/>
      <c r="H34" s="412"/>
      <c r="I34" s="412"/>
      <c r="J34" s="412"/>
      <c r="K34" s="412"/>
      <c r="L34" s="412"/>
      <c r="M34" s="682"/>
    </row>
    <row r="35" spans="1:13" ht="27.95" customHeight="1">
      <c r="A35" s="324"/>
      <c r="B35" s="412"/>
      <c r="C35" s="412"/>
      <c r="D35" s="412"/>
      <c r="E35" s="412"/>
      <c r="F35" s="412"/>
      <c r="G35" s="412"/>
      <c r="H35" s="412"/>
      <c r="I35" s="412"/>
      <c r="J35" s="412"/>
      <c r="K35" s="412"/>
      <c r="L35" s="412"/>
      <c r="M35" s="682"/>
    </row>
    <row r="36" spans="1:13" ht="27.95" customHeight="1">
      <c r="A36" s="324"/>
      <c r="B36" s="412"/>
      <c r="C36" s="412"/>
      <c r="D36" s="412"/>
      <c r="E36" s="412"/>
      <c r="F36" s="412"/>
      <c r="G36" s="412"/>
      <c r="H36" s="412"/>
      <c r="I36" s="412"/>
      <c r="J36" s="412"/>
      <c r="K36" s="412"/>
      <c r="L36" s="412"/>
      <c r="M36" s="682"/>
    </row>
    <row r="37" spans="1:13" ht="27.95" customHeight="1">
      <c r="A37" s="324"/>
      <c r="B37" s="412"/>
      <c r="C37" s="412"/>
      <c r="D37" s="412"/>
      <c r="E37" s="412"/>
      <c r="F37" s="412"/>
      <c r="G37" s="412"/>
      <c r="H37" s="412"/>
      <c r="I37" s="412"/>
      <c r="J37" s="412"/>
      <c r="K37" s="412"/>
      <c r="L37" s="412"/>
      <c r="M37" s="682"/>
    </row>
  </sheetData>
  <mergeCells count="24">
    <mergeCell ref="B20:C20"/>
    <mergeCell ref="J20:K20"/>
    <mergeCell ref="B21:F21"/>
    <mergeCell ref="B22:C22"/>
    <mergeCell ref="D22:F22"/>
    <mergeCell ref="G22:J22"/>
    <mergeCell ref="F18:G18"/>
    <mergeCell ref="I18:K18"/>
    <mergeCell ref="L18:M18"/>
    <mergeCell ref="B19:C19"/>
    <mergeCell ref="F19:G19"/>
    <mergeCell ref="I19:M19"/>
    <mergeCell ref="B3:C3"/>
    <mergeCell ref="J3:K3"/>
    <mergeCell ref="B4:F4"/>
    <mergeCell ref="B5:C5"/>
    <mergeCell ref="D5:F5"/>
    <mergeCell ref="G5:J5"/>
    <mergeCell ref="F1:G1"/>
    <mergeCell ref="I1:K1"/>
    <mergeCell ref="L1:M1"/>
    <mergeCell ref="B2:C2"/>
    <mergeCell ref="F2:G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topLeftCell="A4" zoomScaleSheetLayoutView="100" workbookViewId="0">
      <selection activeCell="B3" sqref="B3:C3"/>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45.95" customHeight="1">
      <c r="A1" s="34" t="s">
        <v>556</v>
      </c>
      <c r="B1" s="176"/>
      <c r="C1" s="38" t="s">
        <v>1719</v>
      </c>
      <c r="D1" s="1124" t="s">
        <v>1862</v>
      </c>
      <c r="E1" s="38" t="s">
        <v>236</v>
      </c>
      <c r="F1" s="1893"/>
      <c r="G1" s="1790"/>
      <c r="H1" s="1126" t="s">
        <v>237</v>
      </c>
      <c r="I1" s="1633"/>
      <c r="J1" s="1633"/>
      <c r="K1" s="1633"/>
      <c r="L1" s="1904"/>
      <c r="M1" s="1812"/>
    </row>
    <row r="2" spans="1:13" ht="77.099999999999994" customHeight="1">
      <c r="A2" s="39" t="s">
        <v>240</v>
      </c>
      <c r="B2" s="1637" t="s">
        <v>1886</v>
      </c>
      <c r="C2" s="1637"/>
      <c r="D2" s="41" t="s">
        <v>242</v>
      </c>
      <c r="E2" s="1832"/>
      <c r="F2" s="1833"/>
      <c r="G2" s="40" t="s">
        <v>1864</v>
      </c>
      <c r="H2" s="40" t="s">
        <v>425</v>
      </c>
      <c r="I2" s="1921"/>
      <c r="J2" s="1922"/>
      <c r="K2" s="1922"/>
      <c r="L2" s="1922"/>
      <c r="M2" s="1923"/>
    </row>
    <row r="3" spans="1:13" ht="77.099999999999994" customHeight="1">
      <c r="A3" s="39" t="s">
        <v>247</v>
      </c>
      <c r="B3" s="1637" t="s">
        <v>1887</v>
      </c>
      <c r="C3" s="1637"/>
      <c r="D3" s="41" t="s">
        <v>249</v>
      </c>
      <c r="E3" s="40"/>
      <c r="F3" s="40" t="s">
        <v>1706</v>
      </c>
      <c r="G3" s="40"/>
      <c r="H3" s="177"/>
      <c r="I3" s="531" t="s">
        <v>243</v>
      </c>
      <c r="J3" s="1866" t="s">
        <v>421</v>
      </c>
      <c r="K3" s="1675"/>
      <c r="L3" s="1131" t="s">
        <v>245</v>
      </c>
      <c r="M3" s="1132"/>
    </row>
    <row r="4" spans="1:13" ht="33.950000000000003" customHeight="1">
      <c r="A4" s="1127" t="s">
        <v>260</v>
      </c>
      <c r="B4" s="1764"/>
      <c r="C4" s="1764"/>
      <c r="D4" s="1764"/>
      <c r="E4" s="1764"/>
      <c r="F4" s="1764"/>
      <c r="G4" s="1137"/>
      <c r="H4" s="1137"/>
      <c r="I4" s="1137"/>
      <c r="J4" s="91" t="s">
        <v>253</v>
      </c>
      <c r="K4" s="1133"/>
      <c r="L4" s="15" t="s">
        <v>1469</v>
      </c>
      <c r="M4" s="92"/>
    </row>
    <row r="5" spans="1:13" ht="33.950000000000003" customHeight="1">
      <c r="A5" s="39" t="s">
        <v>258</v>
      </c>
      <c r="B5" s="1890"/>
      <c r="C5" s="1891"/>
      <c r="D5" s="1908"/>
      <c r="E5" s="1909"/>
      <c r="F5" s="1909"/>
      <c r="G5" s="1786"/>
      <c r="H5" s="1786"/>
      <c r="I5" s="1786"/>
      <c r="J5" s="1786"/>
      <c r="L5" s="178"/>
      <c r="M5" s="1134"/>
    </row>
    <row r="6" spans="1:13" ht="33.950000000000003" customHeight="1">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33.950000000000003" customHeight="1">
      <c r="A7" s="324">
        <v>42826</v>
      </c>
      <c r="B7" s="412"/>
      <c r="C7" s="412"/>
      <c r="D7" s="412">
        <f>B7</f>
        <v>0</v>
      </c>
      <c r="E7" s="412">
        <f>C7</f>
        <v>0</v>
      </c>
      <c r="F7" s="412"/>
      <c r="G7" s="412">
        <f>C7</f>
        <v>0</v>
      </c>
      <c r="H7" s="412"/>
      <c r="I7" s="412"/>
      <c r="J7" s="412"/>
      <c r="K7" s="412"/>
      <c r="L7" s="412">
        <f>E7-J7</f>
        <v>0</v>
      </c>
      <c r="M7" s="682"/>
    </row>
    <row r="8" spans="1:13" ht="33.950000000000003" customHeight="1">
      <c r="A8" s="324">
        <v>42856</v>
      </c>
      <c r="B8" s="412"/>
      <c r="C8" s="412"/>
      <c r="D8" s="412">
        <f>D7+B8</f>
        <v>0</v>
      </c>
      <c r="E8" s="412">
        <f>E7+C8</f>
        <v>0</v>
      </c>
      <c r="F8" s="412"/>
      <c r="G8" s="412"/>
      <c r="H8" s="412"/>
      <c r="I8" s="412"/>
      <c r="J8" s="412"/>
      <c r="K8" s="412">
        <f>K7+H8-I8</f>
        <v>0</v>
      </c>
      <c r="L8" s="412">
        <f>E8-J8</f>
        <v>0</v>
      </c>
      <c r="M8" s="682"/>
    </row>
    <row r="9" spans="1:13" ht="33.950000000000003" customHeight="1">
      <c r="A9" s="324"/>
      <c r="B9" s="412"/>
      <c r="C9" s="412"/>
      <c r="D9" s="412">
        <f>D8+B9</f>
        <v>0</v>
      </c>
      <c r="E9" s="412">
        <f>E8+C9</f>
        <v>0</v>
      </c>
      <c r="F9" s="412"/>
      <c r="G9" s="412"/>
      <c r="H9" s="412">
        <f>C8</f>
        <v>0</v>
      </c>
      <c r="I9" s="412"/>
      <c r="J9" s="412"/>
      <c r="K9" s="412">
        <f>K8+H9-I9</f>
        <v>0</v>
      </c>
      <c r="L9" s="412">
        <f>E9-J9</f>
        <v>0</v>
      </c>
      <c r="M9" s="682"/>
    </row>
    <row r="10" spans="1:13" ht="33.950000000000003" customHeight="1">
      <c r="A10" s="324"/>
      <c r="B10" s="412"/>
      <c r="C10" s="412"/>
      <c r="D10" s="412"/>
      <c r="E10" s="412"/>
      <c r="F10" s="412"/>
      <c r="G10" s="412"/>
      <c r="H10" s="412">
        <f>C9</f>
        <v>0</v>
      </c>
      <c r="I10" s="412"/>
      <c r="J10" s="412"/>
      <c r="K10" s="412"/>
      <c r="L10" s="412"/>
      <c r="M10" s="682"/>
    </row>
  </sheetData>
  <mergeCells count="12">
    <mergeCell ref="B3:C3"/>
    <mergeCell ref="J3:K3"/>
    <mergeCell ref="B4:F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topLeftCell="A7"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45.95" customHeight="1">
      <c r="A1" s="34" t="s">
        <v>556</v>
      </c>
      <c r="B1" s="176"/>
      <c r="C1" s="38" t="s">
        <v>1388</v>
      </c>
      <c r="D1" s="1124" t="s">
        <v>1862</v>
      </c>
      <c r="E1" s="38" t="s">
        <v>236</v>
      </c>
      <c r="F1" s="1893"/>
      <c r="G1" s="1790"/>
      <c r="H1" s="1126" t="s">
        <v>237</v>
      </c>
      <c r="I1" s="1633" t="s">
        <v>1888</v>
      </c>
      <c r="J1" s="1633"/>
      <c r="K1" s="1633"/>
      <c r="L1" s="1904" t="s">
        <v>1889</v>
      </c>
      <c r="M1" s="1812"/>
    </row>
    <row r="2" spans="1:13" ht="45.95" customHeight="1">
      <c r="A2" s="39" t="s">
        <v>240</v>
      </c>
      <c r="B2" s="1637" t="s">
        <v>1890</v>
      </c>
      <c r="C2" s="1637"/>
      <c r="D2" s="41" t="s">
        <v>242</v>
      </c>
      <c r="E2" s="1832"/>
      <c r="F2" s="1833"/>
      <c r="G2" s="40" t="s">
        <v>1864</v>
      </c>
      <c r="H2" s="40" t="s">
        <v>425</v>
      </c>
      <c r="I2" s="1921" t="s">
        <v>1891</v>
      </c>
      <c r="J2" s="1922"/>
      <c r="K2" s="1922"/>
      <c r="L2" s="1922"/>
      <c r="M2" s="1923"/>
    </row>
    <row r="3" spans="1:13" ht="45.95" customHeight="1">
      <c r="A3" s="39" t="s">
        <v>247</v>
      </c>
      <c r="B3" s="1637" t="s">
        <v>1892</v>
      </c>
      <c r="C3" s="1637"/>
      <c r="D3" s="41" t="s">
        <v>249</v>
      </c>
      <c r="E3" s="40" t="s">
        <v>1893</v>
      </c>
      <c r="F3" s="40" t="s">
        <v>1706</v>
      </c>
      <c r="G3" s="40" t="s">
        <v>1894</v>
      </c>
      <c r="H3" s="177"/>
      <c r="I3" s="531" t="s">
        <v>243</v>
      </c>
      <c r="J3" s="1866" t="s">
        <v>421</v>
      </c>
      <c r="K3" s="1675"/>
      <c r="L3" s="1131" t="s">
        <v>245</v>
      </c>
      <c r="M3" s="1132" t="s">
        <v>1895</v>
      </c>
    </row>
    <row r="4" spans="1:13" ht="57.95" customHeight="1">
      <c r="A4" s="1127" t="s">
        <v>260</v>
      </c>
      <c r="B4" s="1764" t="s">
        <v>1896</v>
      </c>
      <c r="C4" s="1764"/>
      <c r="D4" s="1764"/>
      <c r="E4" s="1764"/>
      <c r="F4" s="1764"/>
      <c r="G4" s="1896" t="s">
        <v>1793</v>
      </c>
      <c r="H4" s="1906"/>
      <c r="I4" s="1907"/>
      <c r="J4" s="91" t="s">
        <v>253</v>
      </c>
      <c r="K4" s="1133" t="s">
        <v>1897</v>
      </c>
      <c r="L4" s="15" t="s">
        <v>1469</v>
      </c>
      <c r="M4" s="92" t="s">
        <v>1898</v>
      </c>
    </row>
    <row r="5" spans="1:13" ht="57.95" customHeight="1">
      <c r="A5" s="39" t="s">
        <v>258</v>
      </c>
      <c r="B5" s="1890"/>
      <c r="C5" s="1891"/>
      <c r="D5" s="1908"/>
      <c r="E5" s="1909"/>
      <c r="F5" s="1909"/>
      <c r="G5" s="1786"/>
      <c r="H5" s="1786"/>
      <c r="I5" s="1786"/>
      <c r="J5" s="1786"/>
      <c r="L5" s="178"/>
      <c r="M5" s="1134"/>
    </row>
    <row r="6" spans="1:13" ht="33.950000000000003" customHeight="1">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33.950000000000003" customHeight="1">
      <c r="A7" s="324">
        <v>42826</v>
      </c>
      <c r="B7" s="412">
        <v>2483</v>
      </c>
      <c r="C7" s="412">
        <v>744189</v>
      </c>
      <c r="D7" s="412">
        <f>B7</f>
        <v>2483</v>
      </c>
      <c r="E7" s="412">
        <f>C7</f>
        <v>744189</v>
      </c>
      <c r="F7" s="412"/>
      <c r="G7" s="412">
        <f>E7</f>
        <v>744189</v>
      </c>
      <c r="H7" s="412"/>
      <c r="I7" s="412"/>
      <c r="J7" s="412"/>
      <c r="K7" s="412"/>
      <c r="L7" s="412">
        <f>E7-J7</f>
        <v>744189</v>
      </c>
      <c r="M7" s="682"/>
    </row>
    <row r="8" spans="1:13" ht="33.950000000000003" customHeight="1">
      <c r="A8" s="324">
        <v>42856</v>
      </c>
      <c r="B8" s="412">
        <v>932</v>
      </c>
      <c r="C8" s="412">
        <v>279442.5</v>
      </c>
      <c r="D8" s="412">
        <f t="shared" ref="D8:E11" si="0">B8+D7</f>
        <v>3415</v>
      </c>
      <c r="E8" s="412">
        <f t="shared" si="0"/>
        <v>1023631.5</v>
      </c>
      <c r="F8" s="412"/>
      <c r="G8" s="412">
        <f>E7*0.2+C8</f>
        <v>428280.30000000005</v>
      </c>
      <c r="H8" s="412"/>
      <c r="I8" s="412"/>
      <c r="J8" s="412"/>
      <c r="K8" s="412">
        <f>K7+H8-I8</f>
        <v>0</v>
      </c>
      <c r="L8" s="412">
        <f>E8-J8</f>
        <v>1023631.5</v>
      </c>
      <c r="M8" s="682"/>
    </row>
    <row r="9" spans="1:13" ht="33.950000000000003" customHeight="1">
      <c r="A9" s="324">
        <v>42887</v>
      </c>
      <c r="B9" s="412">
        <v>100</v>
      </c>
      <c r="C9" s="412">
        <v>27875</v>
      </c>
      <c r="D9" s="412">
        <f t="shared" si="0"/>
        <v>3515</v>
      </c>
      <c r="E9" s="412">
        <f t="shared" si="0"/>
        <v>1051506.5</v>
      </c>
      <c r="F9" s="412"/>
      <c r="G9" s="412">
        <f>E8*0.2+C9</f>
        <v>232601.30000000002</v>
      </c>
      <c r="H9" s="412">
        <f>C7*0.8</f>
        <v>595351.20000000007</v>
      </c>
      <c r="I9" s="412"/>
      <c r="J9" s="412"/>
      <c r="K9" s="412">
        <f>K8+H9-I9</f>
        <v>595351.20000000007</v>
      </c>
      <c r="L9" s="412">
        <f>E9-J9</f>
        <v>1051506.5</v>
      </c>
      <c r="M9" s="682"/>
    </row>
    <row r="10" spans="1:13" ht="33.950000000000003" customHeight="1">
      <c r="A10" s="324">
        <v>42917</v>
      </c>
      <c r="B10" s="412">
        <v>430</v>
      </c>
      <c r="C10" s="412">
        <v>122497.5</v>
      </c>
      <c r="D10" s="412">
        <f t="shared" si="0"/>
        <v>3945</v>
      </c>
      <c r="E10" s="412">
        <f t="shared" si="0"/>
        <v>1174004</v>
      </c>
      <c r="F10" s="412"/>
      <c r="G10" s="412">
        <f>E9*0.2+C10</f>
        <v>332798.80000000005</v>
      </c>
      <c r="H10" s="412">
        <f>C8*0.8</f>
        <v>223554</v>
      </c>
      <c r="I10" s="412"/>
      <c r="J10" s="412"/>
      <c r="K10" s="412">
        <f>K9+H10-I10</f>
        <v>818905.20000000007</v>
      </c>
      <c r="L10" s="412">
        <f>E10-J10</f>
        <v>1174004</v>
      </c>
      <c r="M10" s="682" t="s">
        <v>1899</v>
      </c>
    </row>
    <row r="11" spans="1:13" ht="33.950000000000003" customHeight="1">
      <c r="A11" s="324">
        <v>42948</v>
      </c>
      <c r="B11" s="412">
        <v>70</v>
      </c>
      <c r="C11" s="412">
        <v>19750</v>
      </c>
      <c r="D11" s="412">
        <f t="shared" si="0"/>
        <v>4015</v>
      </c>
      <c r="E11" s="412">
        <f t="shared" si="0"/>
        <v>1193754</v>
      </c>
      <c r="F11" s="412"/>
      <c r="G11" s="412">
        <f>E10*0.2+C11</f>
        <v>254550.80000000002</v>
      </c>
      <c r="H11" s="412">
        <f>C9*0.8</f>
        <v>22300</v>
      </c>
      <c r="I11" s="412">
        <v>1500000</v>
      </c>
      <c r="J11" s="412">
        <f>I11</f>
        <v>1500000</v>
      </c>
      <c r="K11" s="412">
        <f>K10+H11-I11</f>
        <v>-658794.79999999993</v>
      </c>
      <c r="L11" s="412">
        <f>E11-J11</f>
        <v>-306246</v>
      </c>
      <c r="M11" s="682"/>
    </row>
    <row r="12" spans="1:13" ht="33.950000000000003" customHeight="1">
      <c r="A12" s="324"/>
      <c r="B12" s="412"/>
      <c r="C12" s="412"/>
      <c r="D12" s="412"/>
      <c r="E12" s="412"/>
      <c r="F12" s="412"/>
      <c r="G12" s="412"/>
      <c r="H12" s="412">
        <f>C10*0.8</f>
        <v>97998</v>
      </c>
      <c r="I12" s="412"/>
      <c r="J12" s="412"/>
      <c r="K12" s="412">
        <f>K11+H12-I12</f>
        <v>-560796.79999999993</v>
      </c>
      <c r="L12" s="412"/>
      <c r="M12" s="682"/>
    </row>
    <row r="13" spans="1:13" ht="33.950000000000003" customHeight="1">
      <c r="A13" s="324"/>
      <c r="B13" s="412"/>
      <c r="C13" s="412"/>
      <c r="D13" s="412"/>
      <c r="E13" s="412"/>
      <c r="F13" s="412"/>
      <c r="G13" s="412"/>
      <c r="H13" s="412"/>
      <c r="I13" s="412"/>
      <c r="J13" s="412"/>
      <c r="K13" s="412"/>
      <c r="L13" s="412"/>
      <c r="M13" s="682"/>
    </row>
    <row r="19" spans="6:6">
      <c r="F19" s="1156"/>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3"/>
  <sheetViews>
    <sheetView topLeftCell="A4" zoomScaleSheetLayoutView="100" workbookViewId="0">
      <selection activeCell="A8" sqref="A8"/>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38" t="s">
        <v>1900</v>
      </c>
      <c r="D1" s="1124"/>
      <c r="E1" s="38" t="s">
        <v>236</v>
      </c>
      <c r="F1" s="1893"/>
      <c r="G1" s="1790"/>
      <c r="H1" s="1126" t="s">
        <v>237</v>
      </c>
      <c r="I1" s="1633"/>
      <c r="J1" s="1633"/>
      <c r="K1" s="1633"/>
      <c r="L1" s="1904"/>
      <c r="M1" s="1812"/>
    </row>
    <row r="2" spans="1:13" ht="50.1" customHeight="1">
      <c r="A2" s="39" t="s">
        <v>240</v>
      </c>
      <c r="B2" s="1637" t="s">
        <v>1901</v>
      </c>
      <c r="C2" s="1637"/>
      <c r="D2" s="41" t="s">
        <v>242</v>
      </c>
      <c r="E2" s="1832"/>
      <c r="F2" s="1833"/>
      <c r="G2" s="40"/>
      <c r="H2" s="40" t="s">
        <v>425</v>
      </c>
      <c r="I2" s="1921" t="s">
        <v>1902</v>
      </c>
      <c r="J2" s="1922"/>
      <c r="K2" s="1922"/>
      <c r="L2" s="1922"/>
      <c r="M2" s="1923"/>
    </row>
    <row r="3" spans="1:13" ht="57.95" customHeight="1">
      <c r="A3" s="39" t="s">
        <v>247</v>
      </c>
      <c r="B3" s="1637" t="s">
        <v>1903</v>
      </c>
      <c r="C3" s="1637"/>
      <c r="D3" s="41" t="s">
        <v>249</v>
      </c>
      <c r="E3" s="40"/>
      <c r="F3" s="40" t="s">
        <v>1706</v>
      </c>
      <c r="G3" s="40"/>
      <c r="H3" s="177"/>
      <c r="I3" s="531" t="s">
        <v>243</v>
      </c>
      <c r="J3" s="1866" t="s">
        <v>421</v>
      </c>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42675</v>
      </c>
      <c r="B7" s="412">
        <v>67</v>
      </c>
      <c r="C7" s="412">
        <v>16845</v>
      </c>
      <c r="D7" s="412">
        <f>B7</f>
        <v>67</v>
      </c>
      <c r="E7" s="412">
        <f>C7</f>
        <v>16845</v>
      </c>
      <c r="F7" s="412"/>
      <c r="G7" s="412"/>
      <c r="H7" s="412"/>
      <c r="I7" s="412"/>
      <c r="J7" s="412"/>
      <c r="K7" s="412"/>
      <c r="L7" s="412">
        <f>E7-J7</f>
        <v>16845</v>
      </c>
      <c r="M7" s="682"/>
    </row>
    <row r="8" spans="1:13" ht="27.95" customHeight="1">
      <c r="A8" s="324">
        <v>42736</v>
      </c>
      <c r="B8" s="412"/>
      <c r="C8" s="412"/>
      <c r="D8" s="412">
        <f>D7+B8</f>
        <v>67</v>
      </c>
      <c r="E8" s="412">
        <f>E7+C8</f>
        <v>16845</v>
      </c>
      <c r="F8" s="412"/>
      <c r="G8" s="412"/>
      <c r="H8" s="412">
        <f>C7</f>
        <v>16845</v>
      </c>
      <c r="I8" s="412">
        <v>16845</v>
      </c>
      <c r="J8" s="412">
        <f>I8</f>
        <v>16845</v>
      </c>
      <c r="K8" s="412">
        <f>K7+H8-I8</f>
        <v>0</v>
      </c>
      <c r="L8" s="412">
        <f>E8-J8</f>
        <v>0</v>
      </c>
      <c r="M8" s="682" t="s">
        <v>1904</v>
      </c>
    </row>
    <row r="9" spans="1:13" ht="27.95" customHeight="1">
      <c r="A9" s="324"/>
      <c r="B9" s="412"/>
      <c r="C9" s="412"/>
      <c r="D9" s="412"/>
      <c r="E9" s="412"/>
      <c r="F9" s="412"/>
      <c r="G9" s="412"/>
      <c r="H9" s="412">
        <f>C8</f>
        <v>0</v>
      </c>
      <c r="I9" s="412"/>
      <c r="J9" s="412"/>
      <c r="K9" s="412">
        <f>K8+H9-I9</f>
        <v>0</v>
      </c>
      <c r="L9" s="412">
        <f>E9-J9</f>
        <v>0</v>
      </c>
      <c r="M9" s="682"/>
    </row>
    <row r="10" spans="1:13" ht="27.95" customHeight="1">
      <c r="A10" s="324"/>
      <c r="B10" s="412"/>
      <c r="C10" s="412"/>
      <c r="D10" s="412"/>
      <c r="E10" s="412"/>
      <c r="F10" s="412"/>
      <c r="G10" s="412"/>
      <c r="H10" s="412">
        <f>C9</f>
        <v>0</v>
      </c>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5"/>
  <sheetViews>
    <sheetView topLeftCell="A25" zoomScaleSheetLayoutView="100" workbookViewId="0">
      <selection activeCell="A27" sqref="A27"/>
    </sheetView>
  </sheetViews>
  <sheetFormatPr defaultColWidth="9" defaultRowHeight="14.25"/>
  <cols>
    <col min="1" max="1" width="13.5" customWidth="1"/>
    <col min="2" max="3" width="16.5" customWidth="1"/>
    <col min="4" max="5" width="14.25" customWidth="1"/>
    <col min="6" max="6" width="11.375" customWidth="1"/>
    <col min="7" max="7" width="11.75" customWidth="1"/>
    <col min="8" max="8" width="14.5" customWidth="1"/>
    <col min="9" max="9" width="13.5" customWidth="1"/>
    <col min="10" max="10" width="15.375" customWidth="1"/>
    <col min="11" max="11" width="14.75" customWidth="1"/>
    <col min="12" max="12" width="13.5" customWidth="1"/>
    <col min="13" max="13" width="33.25" customWidth="1"/>
  </cols>
  <sheetData>
    <row r="1" spans="1:13" ht="39" customHeight="1">
      <c r="A1" s="1032" t="s">
        <v>348</v>
      </c>
      <c r="B1" s="1033" t="s">
        <v>392</v>
      </c>
      <c r="C1" s="1405" t="s">
        <v>393</v>
      </c>
      <c r="D1" s="1175"/>
      <c r="E1" s="1034" t="s">
        <v>236</v>
      </c>
      <c r="F1" s="1406"/>
      <c r="G1" s="1407" t="s">
        <v>351</v>
      </c>
      <c r="H1" s="1407"/>
      <c r="I1" s="1652" t="s">
        <v>237</v>
      </c>
      <c r="J1" s="1656" t="s">
        <v>394</v>
      </c>
      <c r="K1" s="1657"/>
      <c r="L1" s="1658"/>
      <c r="M1" s="1654" t="s">
        <v>395</v>
      </c>
    </row>
    <row r="2" spans="1:13" ht="38.1" customHeight="1">
      <c r="A2" s="39" t="s">
        <v>240</v>
      </c>
      <c r="B2" s="1637" t="s">
        <v>396</v>
      </c>
      <c r="C2" s="1637"/>
      <c r="D2" s="41" t="s">
        <v>242</v>
      </c>
      <c r="E2" s="1662"/>
      <c r="F2" s="1663"/>
      <c r="G2" s="41" t="s">
        <v>243</v>
      </c>
      <c r="H2" s="1408" t="s">
        <v>397</v>
      </c>
      <c r="I2" s="1653"/>
      <c r="J2" s="1659"/>
      <c r="K2" s="1660"/>
      <c r="L2" s="1661"/>
      <c r="M2" s="1655"/>
    </row>
    <row r="3" spans="1:13" ht="87.95" customHeight="1">
      <c r="A3" s="39" t="s">
        <v>247</v>
      </c>
      <c r="B3" s="1637" t="s">
        <v>398</v>
      </c>
      <c r="C3" s="1637"/>
      <c r="D3" s="41" t="s">
        <v>249</v>
      </c>
      <c r="E3" s="186">
        <v>2000</v>
      </c>
      <c r="F3" s="41" t="s">
        <v>251</v>
      </c>
      <c r="G3" s="41" t="s">
        <v>399</v>
      </c>
      <c r="H3" s="41" t="s">
        <v>252</v>
      </c>
      <c r="I3" s="40">
        <v>13570982230</v>
      </c>
      <c r="J3" s="91" t="s">
        <v>253</v>
      </c>
      <c r="K3" s="40" t="s">
        <v>400</v>
      </c>
      <c r="L3" s="15" t="s">
        <v>255</v>
      </c>
      <c r="M3" s="105" t="s">
        <v>401</v>
      </c>
    </row>
    <row r="4" spans="1:13" ht="47.25" customHeight="1">
      <c r="A4" s="39" t="s">
        <v>257</v>
      </c>
      <c r="B4" s="1637"/>
      <c r="C4" s="1637"/>
      <c r="D4" s="1637"/>
      <c r="E4" s="43" t="s">
        <v>258</v>
      </c>
      <c r="F4" s="1638"/>
      <c r="G4" s="1638"/>
      <c r="H4" s="1638"/>
      <c r="I4" s="1637"/>
      <c r="J4" s="1637"/>
      <c r="K4" s="15"/>
      <c r="L4" s="41" t="s">
        <v>360</v>
      </c>
      <c r="M4" s="105" t="s">
        <v>402</v>
      </c>
    </row>
    <row r="5" spans="1:13" ht="63" customHeight="1">
      <c r="A5" s="1036" t="s">
        <v>260</v>
      </c>
      <c r="B5" s="1664" t="s">
        <v>403</v>
      </c>
      <c r="C5" s="1664"/>
      <c r="D5" s="1664"/>
      <c r="E5" s="1633" t="s">
        <v>404</v>
      </c>
      <c r="F5" s="1633"/>
      <c r="G5" s="1633"/>
      <c r="H5" s="1633"/>
      <c r="I5" s="1649"/>
      <c r="J5" s="1650"/>
      <c r="K5" s="1650"/>
      <c r="L5" s="1651"/>
      <c r="M5" s="150"/>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6" customHeight="1">
      <c r="A7" s="1409">
        <v>42339</v>
      </c>
      <c r="B7" s="1248">
        <v>73</v>
      </c>
      <c r="C7" s="1248">
        <v>21535</v>
      </c>
      <c r="D7" s="1067">
        <f>+B7</f>
        <v>73</v>
      </c>
      <c r="E7" s="1067">
        <f>C7</f>
        <v>21535</v>
      </c>
      <c r="F7" s="1485"/>
      <c r="G7" s="1486"/>
      <c r="H7" s="1414"/>
      <c r="I7" s="1415"/>
      <c r="J7" s="1415"/>
      <c r="K7" s="1416"/>
      <c r="L7" s="1417">
        <f t="shared" ref="L7:L26" si="0">E7-J7</f>
        <v>21535</v>
      </c>
      <c r="M7" s="1165"/>
    </row>
    <row r="8" spans="1:13" ht="36" customHeight="1">
      <c r="A8" s="1409">
        <v>42370</v>
      </c>
      <c r="B8" s="1067">
        <v>219</v>
      </c>
      <c r="C8" s="1067">
        <v>64605</v>
      </c>
      <c r="D8" s="1248">
        <f t="shared" ref="D8:D26" si="1">B8+D7</f>
        <v>292</v>
      </c>
      <c r="E8" s="1248">
        <f t="shared" ref="E8:E26" si="2">C8+E7</f>
        <v>86140</v>
      </c>
      <c r="F8" s="1067"/>
      <c r="G8" s="1245"/>
      <c r="H8" s="1414">
        <f>C7</f>
        <v>21535</v>
      </c>
      <c r="I8" s="1418"/>
      <c r="J8" s="1415"/>
      <c r="K8" s="1416">
        <f t="shared" ref="K8:K27" si="3">K7+H8-I8</f>
        <v>21535</v>
      </c>
      <c r="L8" s="1417">
        <f t="shared" si="0"/>
        <v>86140</v>
      </c>
      <c r="M8" s="1199"/>
    </row>
    <row r="9" spans="1:13" ht="36" customHeight="1">
      <c r="A9" s="1413">
        <v>42401</v>
      </c>
      <c r="B9" s="1067">
        <v>0</v>
      </c>
      <c r="C9" s="1067">
        <v>0</v>
      </c>
      <c r="D9" s="1248">
        <f t="shared" si="1"/>
        <v>292</v>
      </c>
      <c r="E9" s="1248">
        <f t="shared" si="2"/>
        <v>86140</v>
      </c>
      <c r="F9" s="1067"/>
      <c r="G9" s="1245"/>
      <c r="H9" s="1414">
        <f t="shared" ref="H9:H27" si="4">C8</f>
        <v>64605</v>
      </c>
      <c r="I9" s="1418">
        <v>50000</v>
      </c>
      <c r="J9" s="1418">
        <f>I9</f>
        <v>50000</v>
      </c>
      <c r="K9" s="1416">
        <f t="shared" si="3"/>
        <v>36140</v>
      </c>
      <c r="L9" s="1417">
        <f t="shared" si="0"/>
        <v>36140</v>
      </c>
      <c r="M9" s="412" t="s">
        <v>405</v>
      </c>
    </row>
    <row r="10" spans="1:13" ht="36" customHeight="1">
      <c r="A10" s="1413">
        <v>42430</v>
      </c>
      <c r="B10" s="1067">
        <v>143</v>
      </c>
      <c r="C10" s="1067">
        <v>39520</v>
      </c>
      <c r="D10" s="1248">
        <f t="shared" si="1"/>
        <v>435</v>
      </c>
      <c r="E10" s="1248">
        <f t="shared" si="2"/>
        <v>125660</v>
      </c>
      <c r="F10" s="1067"/>
      <c r="G10" s="1245"/>
      <c r="H10" s="1414">
        <f t="shared" si="4"/>
        <v>0</v>
      </c>
      <c r="I10" s="1418"/>
      <c r="J10" s="1418">
        <f t="shared" ref="J10:J26" si="5">J9+I10</f>
        <v>50000</v>
      </c>
      <c r="K10" s="1416">
        <f t="shared" si="3"/>
        <v>36140</v>
      </c>
      <c r="L10" s="1417">
        <f t="shared" si="0"/>
        <v>75660</v>
      </c>
      <c r="M10" s="412" t="s">
        <v>406</v>
      </c>
    </row>
    <row r="11" spans="1:13" ht="36" customHeight="1">
      <c r="A11" s="1413">
        <v>42461</v>
      </c>
      <c r="B11" s="1067">
        <v>165</v>
      </c>
      <c r="C11" s="1067">
        <v>48675</v>
      </c>
      <c r="D11" s="1248">
        <f t="shared" si="1"/>
        <v>600</v>
      </c>
      <c r="E11" s="1248">
        <f t="shared" si="2"/>
        <v>174335</v>
      </c>
      <c r="F11" s="1067"/>
      <c r="G11" s="1245"/>
      <c r="H11" s="1414">
        <f t="shared" si="4"/>
        <v>39520</v>
      </c>
      <c r="I11" s="1418">
        <v>49900</v>
      </c>
      <c r="J11" s="1418">
        <f t="shared" si="5"/>
        <v>99900</v>
      </c>
      <c r="K11" s="1416">
        <f t="shared" si="3"/>
        <v>25760</v>
      </c>
      <c r="L11" s="1417">
        <f t="shared" si="0"/>
        <v>74435</v>
      </c>
      <c r="M11" s="412"/>
    </row>
    <row r="12" spans="1:13" ht="36" customHeight="1">
      <c r="A12" s="1413">
        <v>42491</v>
      </c>
      <c r="B12" s="1067">
        <v>122</v>
      </c>
      <c r="C12" s="1067">
        <v>35990</v>
      </c>
      <c r="D12" s="1248">
        <f t="shared" si="1"/>
        <v>722</v>
      </c>
      <c r="E12" s="1248">
        <f t="shared" si="2"/>
        <v>210325</v>
      </c>
      <c r="F12" s="1067"/>
      <c r="G12" s="1245"/>
      <c r="H12" s="1414">
        <f t="shared" si="4"/>
        <v>48675</v>
      </c>
      <c r="I12" s="1418">
        <v>74235</v>
      </c>
      <c r="J12" s="1418">
        <f t="shared" si="5"/>
        <v>174135</v>
      </c>
      <c r="K12" s="1416">
        <f t="shared" si="3"/>
        <v>200</v>
      </c>
      <c r="L12" s="1417">
        <f t="shared" si="0"/>
        <v>36190</v>
      </c>
      <c r="M12" s="412" t="s">
        <v>407</v>
      </c>
    </row>
    <row r="13" spans="1:13" ht="36" customHeight="1">
      <c r="A13" s="1413">
        <v>42522</v>
      </c>
      <c r="B13" s="1067">
        <v>9</v>
      </c>
      <c r="C13" s="1067">
        <v>2430</v>
      </c>
      <c r="D13" s="1248">
        <f t="shared" si="1"/>
        <v>731</v>
      </c>
      <c r="E13" s="1248">
        <f t="shared" si="2"/>
        <v>212755</v>
      </c>
      <c r="F13" s="1067"/>
      <c r="G13" s="1245"/>
      <c r="H13" s="1414">
        <f t="shared" si="4"/>
        <v>35990</v>
      </c>
      <c r="I13" s="1418">
        <v>35890</v>
      </c>
      <c r="J13" s="1418">
        <f t="shared" si="5"/>
        <v>210025</v>
      </c>
      <c r="K13" s="1416">
        <f t="shared" si="3"/>
        <v>300</v>
      </c>
      <c r="L13" s="1417">
        <f t="shared" si="0"/>
        <v>2730</v>
      </c>
      <c r="M13" s="412" t="s">
        <v>408</v>
      </c>
    </row>
    <row r="14" spans="1:13" ht="36" customHeight="1">
      <c r="A14" s="1413">
        <v>42552</v>
      </c>
      <c r="B14" s="1067">
        <v>0</v>
      </c>
      <c r="C14" s="1067">
        <v>0</v>
      </c>
      <c r="D14" s="1248">
        <f t="shared" si="1"/>
        <v>731</v>
      </c>
      <c r="E14" s="1248">
        <f t="shared" si="2"/>
        <v>212755</v>
      </c>
      <c r="F14" s="1067"/>
      <c r="G14" s="1245"/>
      <c r="H14" s="1414">
        <f t="shared" si="4"/>
        <v>2430</v>
      </c>
      <c r="I14" s="1418"/>
      <c r="J14" s="1418">
        <f t="shared" si="5"/>
        <v>210025</v>
      </c>
      <c r="K14" s="1416">
        <f t="shared" si="3"/>
        <v>2730</v>
      </c>
      <c r="L14" s="1417">
        <f t="shared" si="0"/>
        <v>2730</v>
      </c>
      <c r="M14" s="412"/>
    </row>
    <row r="15" spans="1:13" ht="36" customHeight="1">
      <c r="A15" s="1413">
        <v>42583</v>
      </c>
      <c r="B15" s="1067">
        <v>52</v>
      </c>
      <c r="C15" s="1067">
        <v>16230</v>
      </c>
      <c r="D15" s="1248">
        <f t="shared" si="1"/>
        <v>783</v>
      </c>
      <c r="E15" s="1248">
        <f t="shared" si="2"/>
        <v>228985</v>
      </c>
      <c r="F15" s="1067"/>
      <c r="G15" s="1245"/>
      <c r="H15" s="1414">
        <f t="shared" si="4"/>
        <v>0</v>
      </c>
      <c r="I15" s="1418"/>
      <c r="J15" s="1418">
        <f t="shared" si="5"/>
        <v>210025</v>
      </c>
      <c r="K15" s="1416">
        <f t="shared" si="3"/>
        <v>2730</v>
      </c>
      <c r="L15" s="1417">
        <f t="shared" si="0"/>
        <v>18960</v>
      </c>
      <c r="M15" s="412"/>
    </row>
    <row r="16" spans="1:13" ht="36" customHeight="1">
      <c r="A16" s="1413">
        <v>42614</v>
      </c>
      <c r="B16" s="1067">
        <v>271</v>
      </c>
      <c r="C16" s="1067">
        <v>83865</v>
      </c>
      <c r="D16" s="1248">
        <f t="shared" si="1"/>
        <v>1054</v>
      </c>
      <c r="E16" s="1248">
        <f t="shared" si="2"/>
        <v>312850</v>
      </c>
      <c r="F16" s="1067"/>
      <c r="G16" s="1245"/>
      <c r="H16" s="1414">
        <f t="shared" si="4"/>
        <v>16230</v>
      </c>
      <c r="I16" s="1418">
        <v>18560</v>
      </c>
      <c r="J16" s="1418">
        <f t="shared" si="5"/>
        <v>228585</v>
      </c>
      <c r="K16" s="1416">
        <f t="shared" si="3"/>
        <v>400</v>
      </c>
      <c r="L16" s="1417">
        <f t="shared" si="0"/>
        <v>84265</v>
      </c>
      <c r="M16" s="412" t="s">
        <v>409</v>
      </c>
    </row>
    <row r="17" spans="1:13" ht="36" customHeight="1">
      <c r="A17" s="1413">
        <v>42644</v>
      </c>
      <c r="B17" s="1067">
        <v>174.5</v>
      </c>
      <c r="C17" s="1067">
        <v>54667.5</v>
      </c>
      <c r="D17" s="1248">
        <f t="shared" si="1"/>
        <v>1228.5</v>
      </c>
      <c r="E17" s="1248">
        <f t="shared" si="2"/>
        <v>367517.5</v>
      </c>
      <c r="F17" s="1067"/>
      <c r="G17" s="1245"/>
      <c r="H17" s="1414">
        <f t="shared" si="4"/>
        <v>83865</v>
      </c>
      <c r="I17" s="1418"/>
      <c r="J17" s="1418">
        <f t="shared" si="5"/>
        <v>228585</v>
      </c>
      <c r="K17" s="1416">
        <f t="shared" si="3"/>
        <v>84265</v>
      </c>
      <c r="L17" s="1417">
        <f t="shared" si="0"/>
        <v>138932.5</v>
      </c>
      <c r="M17" s="412"/>
    </row>
    <row r="18" spans="1:13" ht="36" customHeight="1">
      <c r="A18" s="1413">
        <v>42675</v>
      </c>
      <c r="B18" s="1067">
        <v>12</v>
      </c>
      <c r="C18" s="1067">
        <v>3780</v>
      </c>
      <c r="D18" s="1248">
        <f t="shared" si="1"/>
        <v>1240.5</v>
      </c>
      <c r="E18" s="1248">
        <f t="shared" si="2"/>
        <v>371297.5</v>
      </c>
      <c r="F18" s="1067"/>
      <c r="G18" s="1245"/>
      <c r="H18" s="1414">
        <f t="shared" si="4"/>
        <v>54667.5</v>
      </c>
      <c r="I18" s="1418">
        <v>49900</v>
      </c>
      <c r="J18" s="1418">
        <f t="shared" si="5"/>
        <v>278485</v>
      </c>
      <c r="K18" s="1416">
        <f t="shared" si="3"/>
        <v>89032.5</v>
      </c>
      <c r="L18" s="1417">
        <f t="shared" si="0"/>
        <v>92812.5</v>
      </c>
      <c r="M18" s="412" t="s">
        <v>410</v>
      </c>
    </row>
    <row r="19" spans="1:13" ht="36" customHeight="1">
      <c r="A19" s="1413">
        <v>42705</v>
      </c>
      <c r="B19" s="1067">
        <v>12</v>
      </c>
      <c r="C19" s="1067">
        <v>3600</v>
      </c>
      <c r="D19" s="1248">
        <f t="shared" si="1"/>
        <v>1252.5</v>
      </c>
      <c r="E19" s="1248">
        <f t="shared" si="2"/>
        <v>374897.5</v>
      </c>
      <c r="F19" s="1067"/>
      <c r="G19" s="1245"/>
      <c r="H19" s="1414">
        <f t="shared" si="4"/>
        <v>3780</v>
      </c>
      <c r="I19" s="1418">
        <v>88332.5</v>
      </c>
      <c r="J19" s="1418">
        <f t="shared" si="5"/>
        <v>366817.5</v>
      </c>
      <c r="K19" s="1416">
        <f t="shared" si="3"/>
        <v>4480</v>
      </c>
      <c r="L19" s="1417">
        <f t="shared" si="0"/>
        <v>8080</v>
      </c>
      <c r="M19" s="412" t="s">
        <v>411</v>
      </c>
    </row>
    <row r="20" spans="1:13" ht="36" customHeight="1">
      <c r="A20" s="1413">
        <v>42736</v>
      </c>
      <c r="B20" s="1067">
        <v>13.5</v>
      </c>
      <c r="C20" s="1067">
        <v>4252.5</v>
      </c>
      <c r="D20" s="1248">
        <f t="shared" si="1"/>
        <v>1266</v>
      </c>
      <c r="E20" s="1248">
        <f t="shared" si="2"/>
        <v>379150</v>
      </c>
      <c r="F20" s="1067"/>
      <c r="G20" s="1245"/>
      <c r="H20" s="1414">
        <f t="shared" si="4"/>
        <v>3600</v>
      </c>
      <c r="I20" s="1418"/>
      <c r="J20" s="1418">
        <f t="shared" si="5"/>
        <v>366817.5</v>
      </c>
      <c r="K20" s="1416">
        <f t="shared" si="3"/>
        <v>8080</v>
      </c>
      <c r="L20" s="1417">
        <f t="shared" si="0"/>
        <v>12332.5</v>
      </c>
      <c r="M20" s="412"/>
    </row>
    <row r="21" spans="1:13" ht="36" customHeight="1">
      <c r="A21" s="1413">
        <v>42767</v>
      </c>
      <c r="B21" s="1067">
        <v>0</v>
      </c>
      <c r="C21" s="1067">
        <v>0</v>
      </c>
      <c r="D21" s="1248">
        <f t="shared" si="1"/>
        <v>1266</v>
      </c>
      <c r="E21" s="1248">
        <f t="shared" si="2"/>
        <v>379150</v>
      </c>
      <c r="F21" s="1067"/>
      <c r="G21" s="1245"/>
      <c r="H21" s="1414">
        <f t="shared" si="4"/>
        <v>4252.5</v>
      </c>
      <c r="I21" s="1418"/>
      <c r="J21" s="1418">
        <f t="shared" si="5"/>
        <v>366817.5</v>
      </c>
      <c r="K21" s="1416">
        <f t="shared" si="3"/>
        <v>12332.5</v>
      </c>
      <c r="L21" s="1417">
        <f t="shared" si="0"/>
        <v>12332.5</v>
      </c>
      <c r="M21" s="412"/>
    </row>
    <row r="22" spans="1:13" ht="36" customHeight="1">
      <c r="A22" s="1413">
        <v>42795</v>
      </c>
      <c r="B22" s="1067">
        <v>0</v>
      </c>
      <c r="C22" s="1067">
        <v>0</v>
      </c>
      <c r="D22" s="1248">
        <f t="shared" si="1"/>
        <v>1266</v>
      </c>
      <c r="E22" s="1248">
        <f t="shared" si="2"/>
        <v>379150</v>
      </c>
      <c r="F22" s="1067"/>
      <c r="G22" s="1245"/>
      <c r="H22" s="1414">
        <f t="shared" si="4"/>
        <v>0</v>
      </c>
      <c r="I22" s="1418"/>
      <c r="J22" s="1418">
        <f t="shared" si="5"/>
        <v>366817.5</v>
      </c>
      <c r="K22" s="1416">
        <f t="shared" si="3"/>
        <v>12332.5</v>
      </c>
      <c r="L22" s="1417">
        <f t="shared" si="0"/>
        <v>12332.5</v>
      </c>
      <c r="M22" s="412"/>
    </row>
    <row r="23" spans="1:13" ht="36" customHeight="1">
      <c r="A23" s="1413">
        <v>42827</v>
      </c>
      <c r="B23" s="1067">
        <v>0</v>
      </c>
      <c r="C23" s="1067">
        <v>0</v>
      </c>
      <c r="D23" s="1248">
        <f t="shared" si="1"/>
        <v>1266</v>
      </c>
      <c r="E23" s="1248">
        <f t="shared" si="2"/>
        <v>379150</v>
      </c>
      <c r="F23" s="1067"/>
      <c r="G23" s="1245"/>
      <c r="H23" s="1414">
        <f t="shared" si="4"/>
        <v>0</v>
      </c>
      <c r="I23" s="1418"/>
      <c r="J23" s="1418">
        <f t="shared" si="5"/>
        <v>366817.5</v>
      </c>
      <c r="K23" s="1416">
        <f t="shared" si="3"/>
        <v>12332.5</v>
      </c>
      <c r="L23" s="1417">
        <f t="shared" si="0"/>
        <v>12332.5</v>
      </c>
      <c r="M23" s="412"/>
    </row>
    <row r="24" spans="1:13" ht="36" customHeight="1">
      <c r="A24" s="1413">
        <v>42856</v>
      </c>
      <c r="B24" s="1067">
        <v>7</v>
      </c>
      <c r="C24" s="1067">
        <v>2100</v>
      </c>
      <c r="D24" s="1248">
        <f t="shared" si="1"/>
        <v>1273</v>
      </c>
      <c r="E24" s="1248">
        <f t="shared" si="2"/>
        <v>381250</v>
      </c>
      <c r="F24" s="1067"/>
      <c r="G24" s="1245"/>
      <c r="H24" s="1414">
        <f t="shared" si="4"/>
        <v>0</v>
      </c>
      <c r="I24" s="1418">
        <v>11432.5</v>
      </c>
      <c r="J24" s="1418">
        <f t="shared" si="5"/>
        <v>378250</v>
      </c>
      <c r="K24" s="1416">
        <f t="shared" si="3"/>
        <v>900</v>
      </c>
      <c r="L24" s="1417">
        <f t="shared" si="0"/>
        <v>3000</v>
      </c>
      <c r="M24" s="412" t="s">
        <v>412</v>
      </c>
    </row>
    <row r="25" spans="1:13" ht="36" customHeight="1">
      <c r="A25" s="1413">
        <v>42917</v>
      </c>
      <c r="B25" s="1067">
        <v>32</v>
      </c>
      <c r="C25" s="1067">
        <v>10080</v>
      </c>
      <c r="D25" s="1248">
        <f t="shared" si="1"/>
        <v>1305</v>
      </c>
      <c r="E25" s="1248">
        <f t="shared" si="2"/>
        <v>391330</v>
      </c>
      <c r="F25" s="1067"/>
      <c r="G25" s="1245"/>
      <c r="H25" s="1414">
        <f t="shared" si="4"/>
        <v>2100</v>
      </c>
      <c r="I25" s="1418"/>
      <c r="J25" s="1418">
        <f t="shared" si="5"/>
        <v>378250</v>
      </c>
      <c r="K25" s="1416">
        <f t="shared" si="3"/>
        <v>3000</v>
      </c>
      <c r="L25" s="1417">
        <f t="shared" si="0"/>
        <v>13080</v>
      </c>
      <c r="M25" s="412"/>
    </row>
    <row r="26" spans="1:13" ht="36" customHeight="1">
      <c r="A26" s="1413">
        <v>42948</v>
      </c>
      <c r="B26" s="1067">
        <v>188</v>
      </c>
      <c r="C26" s="1067">
        <v>61100</v>
      </c>
      <c r="D26" s="1248">
        <f t="shared" si="1"/>
        <v>1493</v>
      </c>
      <c r="E26" s="1248">
        <f t="shared" si="2"/>
        <v>452430</v>
      </c>
      <c r="F26" s="1067"/>
      <c r="G26" s="1245"/>
      <c r="H26" s="1414">
        <f t="shared" si="4"/>
        <v>10080</v>
      </c>
      <c r="I26" s="1418">
        <v>11980</v>
      </c>
      <c r="J26" s="1418">
        <f t="shared" si="5"/>
        <v>390230</v>
      </c>
      <c r="K26" s="1416">
        <f t="shared" si="3"/>
        <v>1100</v>
      </c>
      <c r="L26" s="1417">
        <f t="shared" si="0"/>
        <v>62200</v>
      </c>
      <c r="M26" s="412" t="s">
        <v>413</v>
      </c>
    </row>
    <row r="27" spans="1:13" ht="36" customHeight="1">
      <c r="A27" s="1413"/>
      <c r="B27" s="1067"/>
      <c r="C27" s="1067"/>
      <c r="D27" s="1067"/>
      <c r="E27" s="1067"/>
      <c r="F27" s="1067"/>
      <c r="G27" s="1245"/>
      <c r="H27" s="1414">
        <f t="shared" si="4"/>
        <v>61100</v>
      </c>
      <c r="I27" s="1418"/>
      <c r="J27" s="1418"/>
      <c r="K27" s="1416">
        <f t="shared" si="3"/>
        <v>62200</v>
      </c>
      <c r="L27" s="259"/>
      <c r="M27" s="412"/>
    </row>
    <row r="28" spans="1:13" ht="36" customHeight="1">
      <c r="A28" s="1413"/>
      <c r="B28" s="1067"/>
      <c r="C28" s="1067"/>
      <c r="D28" s="1067"/>
      <c r="E28" s="1067"/>
      <c r="F28" s="1067"/>
      <c r="G28" s="1245"/>
      <c r="H28" s="1414"/>
      <c r="I28" s="1418"/>
      <c r="J28" s="1418"/>
      <c r="K28" s="1416"/>
      <c r="L28" s="259"/>
      <c r="M28" s="412"/>
    </row>
    <row r="29" spans="1:13" ht="36" customHeight="1">
      <c r="A29" s="1413"/>
      <c r="B29" s="1067"/>
      <c r="C29" s="1067"/>
      <c r="D29" s="1067"/>
      <c r="E29" s="1067"/>
      <c r="F29" s="1067"/>
      <c r="G29" s="1245"/>
      <c r="H29" s="1414"/>
      <c r="I29" s="1418"/>
      <c r="J29" s="1418"/>
      <c r="K29" s="1067"/>
      <c r="L29" s="259"/>
      <c r="M29" s="412"/>
    </row>
    <row r="36" spans="8:8">
      <c r="H36" s="287"/>
    </row>
    <row r="37" spans="8:8">
      <c r="H37" s="287"/>
    </row>
    <row r="38" spans="8:8">
      <c r="H38" s="287"/>
    </row>
    <row r="39" spans="8:8">
      <c r="H39" s="287"/>
    </row>
    <row r="40" spans="8:8">
      <c r="H40" s="287"/>
    </row>
    <row r="41" spans="8:8">
      <c r="H41" s="287"/>
    </row>
    <row r="42" spans="8:8">
      <c r="H42" s="287"/>
    </row>
    <row r="43" spans="8:8">
      <c r="H43" s="287"/>
    </row>
    <row r="44" spans="8:8">
      <c r="H44" s="287"/>
    </row>
    <row r="45" spans="8:8">
      <c r="H45" s="287"/>
    </row>
  </sheetData>
  <mergeCells count="12">
    <mergeCell ref="M1:M2"/>
    <mergeCell ref="J1:L2"/>
    <mergeCell ref="B2:C2"/>
    <mergeCell ref="E2:F2"/>
    <mergeCell ref="B3:C3"/>
    <mergeCell ref="B4:D4"/>
    <mergeCell ref="F4:H4"/>
    <mergeCell ref="I4:J4"/>
    <mergeCell ref="B5:D5"/>
    <mergeCell ref="E5:H5"/>
    <mergeCell ref="I5:L5"/>
    <mergeCell ref="I1:I2"/>
  </mergeCells>
  <phoneticPr fontId="84" type="noConversion"/>
  <pageMargins left="0.75" right="0.75" top="1" bottom="1" header="0.51" footer="0.51"/>
  <pageSetup paperSize="9" orientation="portrait" verticalDpi="200"/>
  <headerFooter scaleWithDoc="0" alignWithMargins="0"/>
  <legacyDrawing r:id="rId1"/>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opLeftCell="A7" zoomScaleSheetLayoutView="100" workbookViewId="0">
      <selection activeCell="B16" sqref="B16:M16"/>
    </sheetView>
  </sheetViews>
  <sheetFormatPr defaultColWidth="9" defaultRowHeight="14.25"/>
  <cols>
    <col min="1" max="1" width="13.75" customWidth="1"/>
    <col min="2" max="2" width="14.25" customWidth="1"/>
    <col min="3" max="3" width="16.87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78.95" customHeight="1">
      <c r="A1" s="34" t="s">
        <v>556</v>
      </c>
      <c r="B1" s="176" t="s">
        <v>1905</v>
      </c>
      <c r="C1" s="1124" t="s">
        <v>1906</v>
      </c>
      <c r="D1" s="1124" t="s">
        <v>1907</v>
      </c>
      <c r="E1" s="38" t="s">
        <v>236</v>
      </c>
      <c r="F1" s="1893"/>
      <c r="G1" s="1790"/>
      <c r="H1" s="1126" t="s">
        <v>237</v>
      </c>
      <c r="I1" s="1633" t="s">
        <v>1908</v>
      </c>
      <c r="J1" s="1633"/>
      <c r="K1" s="1633"/>
      <c r="L1" s="1904" t="s">
        <v>1909</v>
      </c>
      <c r="M1" s="1812"/>
    </row>
    <row r="2" spans="1:13" ht="50.1" customHeight="1">
      <c r="A2" s="39" t="s">
        <v>240</v>
      </c>
      <c r="B2" s="1637" t="s">
        <v>1703</v>
      </c>
      <c r="C2" s="1637"/>
      <c r="D2" s="41" t="s">
        <v>242</v>
      </c>
      <c r="E2" s="1832"/>
      <c r="F2" s="1833"/>
      <c r="G2" s="40"/>
      <c r="H2" s="40" t="s">
        <v>425</v>
      </c>
      <c r="I2" s="1772" t="s">
        <v>1910</v>
      </c>
      <c r="J2" s="1773"/>
      <c r="K2" s="1773"/>
      <c r="L2" s="1773"/>
      <c r="M2" s="1905"/>
    </row>
    <row r="3" spans="1:13" ht="57.95" customHeight="1">
      <c r="A3" s="39" t="s">
        <v>247</v>
      </c>
      <c r="B3" s="1637" t="s">
        <v>1911</v>
      </c>
      <c r="C3" s="1637"/>
      <c r="D3" s="41" t="s">
        <v>249</v>
      </c>
      <c r="E3" s="40">
        <v>3200</v>
      </c>
      <c r="F3" s="40" t="s">
        <v>1706</v>
      </c>
      <c r="G3" s="40" t="s">
        <v>1912</v>
      </c>
      <c r="H3" s="177">
        <v>13924221848</v>
      </c>
      <c r="I3" s="531" t="s">
        <v>243</v>
      </c>
      <c r="J3" s="1866" t="s">
        <v>421</v>
      </c>
      <c r="K3" s="1675"/>
      <c r="L3" s="1131" t="s">
        <v>245</v>
      </c>
      <c r="M3" s="1132" t="s">
        <v>402</v>
      </c>
    </row>
    <row r="4" spans="1:13" ht="72" customHeight="1">
      <c r="A4" s="1127" t="s">
        <v>260</v>
      </c>
      <c r="B4" s="1764" t="s">
        <v>1913</v>
      </c>
      <c r="C4" s="1764"/>
      <c r="D4" s="1764"/>
      <c r="E4" s="1764"/>
      <c r="F4" s="1764"/>
      <c r="G4" s="1896" t="s">
        <v>1914</v>
      </c>
      <c r="H4" s="1906"/>
      <c r="I4" s="1907"/>
      <c r="J4" s="91" t="s">
        <v>253</v>
      </c>
      <c r="K4" s="1133" t="s">
        <v>1915</v>
      </c>
      <c r="L4" s="15" t="s">
        <v>1469</v>
      </c>
      <c r="M4" s="92" t="s">
        <v>1916</v>
      </c>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t="s">
        <v>1917</v>
      </c>
      <c r="B7" s="412">
        <v>1767</v>
      </c>
      <c r="C7" s="412">
        <v>560301</v>
      </c>
      <c r="D7" s="412">
        <f>B7</f>
        <v>1767</v>
      </c>
      <c r="E7" s="412">
        <f>C7</f>
        <v>560301</v>
      </c>
      <c r="F7" s="412"/>
      <c r="G7" s="412"/>
      <c r="H7" s="412"/>
      <c r="I7" s="412"/>
      <c r="J7" s="412"/>
      <c r="K7" s="412"/>
      <c r="L7" s="412">
        <f t="shared" ref="L7:L15" si="0">E7-J7</f>
        <v>560301</v>
      </c>
      <c r="M7" s="682"/>
    </row>
    <row r="8" spans="1:13" ht="27.95" customHeight="1">
      <c r="A8" s="324" t="s">
        <v>1918</v>
      </c>
      <c r="B8" s="412">
        <v>1054</v>
      </c>
      <c r="C8" s="412">
        <v>336462</v>
      </c>
      <c r="D8" s="412">
        <f t="shared" ref="D8:D15" si="1">D7+B8</f>
        <v>2821</v>
      </c>
      <c r="E8" s="412">
        <f t="shared" ref="E8:E15" si="2">E7+C8</f>
        <v>896763</v>
      </c>
      <c r="F8" s="412"/>
      <c r="G8" s="412">
        <f t="shared" ref="G8:G15" si="3">C8</f>
        <v>336462</v>
      </c>
      <c r="H8" s="412"/>
      <c r="I8" s="412"/>
      <c r="J8" s="412"/>
      <c r="K8" s="412">
        <f t="shared" ref="K8:K15" si="4">K7+H8-I8</f>
        <v>0</v>
      </c>
      <c r="L8" s="412">
        <f t="shared" si="0"/>
        <v>896763</v>
      </c>
      <c r="M8" s="682" t="s">
        <v>1919</v>
      </c>
    </row>
    <row r="9" spans="1:13" ht="27.95" customHeight="1">
      <c r="A9" s="324" t="s">
        <v>1920</v>
      </c>
      <c r="B9" s="412">
        <v>92</v>
      </c>
      <c r="C9" s="412">
        <v>28336</v>
      </c>
      <c r="D9" s="412">
        <f t="shared" si="1"/>
        <v>2913</v>
      </c>
      <c r="E9" s="412">
        <f t="shared" si="2"/>
        <v>925099</v>
      </c>
      <c r="F9" s="412"/>
      <c r="G9" s="412">
        <f t="shared" si="3"/>
        <v>28336</v>
      </c>
      <c r="H9" s="412">
        <f t="shared" ref="H9:H15" si="5">C7</f>
        <v>560301</v>
      </c>
      <c r="I9" s="412"/>
      <c r="J9" s="412"/>
      <c r="K9" s="412">
        <f t="shared" si="4"/>
        <v>560301</v>
      </c>
      <c r="L9" s="412">
        <f t="shared" si="0"/>
        <v>925099</v>
      </c>
      <c r="M9" s="682"/>
    </row>
    <row r="10" spans="1:13" ht="27.95" customHeight="1">
      <c r="A10" s="324" t="s">
        <v>1921</v>
      </c>
      <c r="B10" s="412">
        <v>210</v>
      </c>
      <c r="C10" s="412">
        <v>64680</v>
      </c>
      <c r="D10" s="412">
        <f t="shared" si="1"/>
        <v>3123</v>
      </c>
      <c r="E10" s="412">
        <f t="shared" si="2"/>
        <v>989779</v>
      </c>
      <c r="F10" s="412"/>
      <c r="G10" s="412">
        <f t="shared" si="3"/>
        <v>64680</v>
      </c>
      <c r="H10" s="412">
        <f t="shared" si="5"/>
        <v>336462</v>
      </c>
      <c r="I10" s="412">
        <f>560301+336462</f>
        <v>896763</v>
      </c>
      <c r="J10" s="412">
        <f>I10</f>
        <v>896763</v>
      </c>
      <c r="K10" s="412">
        <f t="shared" si="4"/>
        <v>0</v>
      </c>
      <c r="L10" s="412">
        <f t="shared" si="0"/>
        <v>93016</v>
      </c>
      <c r="M10" s="682" t="s">
        <v>1922</v>
      </c>
    </row>
    <row r="11" spans="1:13" ht="27.95" customHeight="1">
      <c r="A11" s="324" t="s">
        <v>1923</v>
      </c>
      <c r="B11" s="412">
        <v>130</v>
      </c>
      <c r="C11" s="412">
        <v>40040</v>
      </c>
      <c r="D11" s="412">
        <f t="shared" si="1"/>
        <v>3253</v>
      </c>
      <c r="E11" s="412">
        <f t="shared" si="2"/>
        <v>1029819</v>
      </c>
      <c r="F11" s="412"/>
      <c r="G11" s="412">
        <f t="shared" si="3"/>
        <v>40040</v>
      </c>
      <c r="H11" s="412">
        <f t="shared" si="5"/>
        <v>28336</v>
      </c>
      <c r="I11" s="412"/>
      <c r="J11" s="412">
        <f>I11+J10</f>
        <v>896763</v>
      </c>
      <c r="K11" s="412">
        <f t="shared" si="4"/>
        <v>28336</v>
      </c>
      <c r="L11" s="412">
        <f t="shared" si="0"/>
        <v>133056</v>
      </c>
      <c r="M11" s="682"/>
    </row>
    <row r="12" spans="1:13" ht="27.95" customHeight="1">
      <c r="A12" s="1155" t="s">
        <v>1924</v>
      </c>
      <c r="B12" s="1141">
        <v>437</v>
      </c>
      <c r="C12" s="1141">
        <v>126588</v>
      </c>
      <c r="D12" s="412">
        <f t="shared" si="1"/>
        <v>3690</v>
      </c>
      <c r="E12" s="412">
        <f t="shared" si="2"/>
        <v>1156407</v>
      </c>
      <c r="F12" s="412"/>
      <c r="G12" s="412">
        <f t="shared" si="3"/>
        <v>126588</v>
      </c>
      <c r="H12" s="412">
        <f t="shared" si="5"/>
        <v>64680</v>
      </c>
      <c r="I12" s="412"/>
      <c r="J12" s="412">
        <f>I12+J11</f>
        <v>896763</v>
      </c>
      <c r="K12" s="412">
        <f t="shared" si="4"/>
        <v>93016</v>
      </c>
      <c r="L12" s="412">
        <f t="shared" si="0"/>
        <v>259644</v>
      </c>
      <c r="M12" s="682"/>
    </row>
    <row r="13" spans="1:13" ht="27.95" customHeight="1">
      <c r="A13" s="1155" t="s">
        <v>1925</v>
      </c>
      <c r="B13" s="1141">
        <v>85</v>
      </c>
      <c r="C13" s="1141">
        <v>26215</v>
      </c>
      <c r="D13" s="412">
        <f t="shared" si="1"/>
        <v>3775</v>
      </c>
      <c r="E13" s="412">
        <f t="shared" si="2"/>
        <v>1182622</v>
      </c>
      <c r="F13" s="412"/>
      <c r="G13" s="412">
        <f t="shared" si="3"/>
        <v>26215</v>
      </c>
      <c r="H13" s="412">
        <f t="shared" si="5"/>
        <v>40040</v>
      </c>
      <c r="I13" s="412"/>
      <c r="J13" s="412">
        <f>I13+J12</f>
        <v>896763</v>
      </c>
      <c r="K13" s="412">
        <f t="shared" si="4"/>
        <v>133056</v>
      </c>
      <c r="L13" s="412">
        <f t="shared" si="0"/>
        <v>285859</v>
      </c>
      <c r="M13" s="682"/>
    </row>
    <row r="14" spans="1:13" ht="27.95" customHeight="1">
      <c r="A14" s="1155" t="s">
        <v>1926</v>
      </c>
      <c r="B14" s="1141">
        <v>141</v>
      </c>
      <c r="C14" s="1141">
        <v>45348</v>
      </c>
      <c r="D14" s="412">
        <f t="shared" si="1"/>
        <v>3916</v>
      </c>
      <c r="E14" s="412">
        <f t="shared" si="2"/>
        <v>1227970</v>
      </c>
      <c r="F14" s="412"/>
      <c r="G14" s="412">
        <f t="shared" si="3"/>
        <v>45348</v>
      </c>
      <c r="H14" s="412">
        <f t="shared" si="5"/>
        <v>126588</v>
      </c>
      <c r="I14" s="412">
        <v>93016</v>
      </c>
      <c r="J14" s="412">
        <f>I14+J13</f>
        <v>989779</v>
      </c>
      <c r="K14" s="412">
        <f t="shared" si="4"/>
        <v>166628</v>
      </c>
      <c r="L14" s="412">
        <f t="shared" si="0"/>
        <v>238191</v>
      </c>
      <c r="M14" s="682" t="s">
        <v>1927</v>
      </c>
    </row>
    <row r="15" spans="1:13" ht="27.95" customHeight="1">
      <c r="A15" s="324"/>
      <c r="B15" s="412"/>
      <c r="C15" s="412"/>
      <c r="D15" s="412">
        <f t="shared" si="1"/>
        <v>3916</v>
      </c>
      <c r="E15" s="412">
        <f t="shared" si="2"/>
        <v>1227970</v>
      </c>
      <c r="F15" s="412"/>
      <c r="G15" s="412">
        <f t="shared" si="3"/>
        <v>0</v>
      </c>
      <c r="H15" s="412">
        <f t="shared" si="5"/>
        <v>26215</v>
      </c>
      <c r="I15" s="412"/>
      <c r="J15" s="412">
        <f>I15+J14</f>
        <v>989779</v>
      </c>
      <c r="K15" s="412">
        <f t="shared" si="4"/>
        <v>192843</v>
      </c>
      <c r="L15" s="412">
        <f t="shared" si="0"/>
        <v>238191</v>
      </c>
      <c r="M15" s="682"/>
    </row>
    <row r="16" spans="1:13" ht="27.95" customHeight="1">
      <c r="A16" s="324">
        <v>42979</v>
      </c>
      <c r="B16" s="412">
        <v>141</v>
      </c>
      <c r="C16" s="412">
        <v>45348</v>
      </c>
      <c r="D16" s="412">
        <v>3916</v>
      </c>
      <c r="E16" s="412">
        <v>1227970</v>
      </c>
      <c r="F16" s="412"/>
      <c r="G16" s="412">
        <v>45348</v>
      </c>
      <c r="H16" s="412">
        <v>126588</v>
      </c>
      <c r="I16" s="412">
        <v>93016</v>
      </c>
      <c r="J16" s="412">
        <v>989779</v>
      </c>
      <c r="K16" s="412">
        <v>166628</v>
      </c>
      <c r="L16" s="412">
        <v>238191</v>
      </c>
      <c r="M16" s="682" t="s">
        <v>1927</v>
      </c>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0"/>
  <sheetViews>
    <sheetView topLeftCell="A7" zoomScaleSheetLayoutView="100" workbookViewId="0">
      <selection activeCell="A16" sqref="A16"/>
    </sheetView>
  </sheetViews>
  <sheetFormatPr defaultColWidth="9" defaultRowHeight="14.25"/>
  <cols>
    <col min="1" max="1" width="13.75" customWidth="1"/>
    <col min="2" max="2" width="17.1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 min="14" max="14" width="15.125" style="1093" customWidth="1"/>
    <col min="15" max="15" width="27.375" hidden="1" customWidth="1"/>
    <col min="16" max="16" width="16.125" customWidth="1"/>
    <col min="17" max="28" width="14.125" customWidth="1"/>
  </cols>
  <sheetData>
    <row r="1" spans="1:28" ht="63" customHeight="1">
      <c r="A1" s="34" t="s">
        <v>556</v>
      </c>
      <c r="B1" s="176">
        <v>42804</v>
      </c>
      <c r="C1" s="1124" t="s">
        <v>1928</v>
      </c>
      <c r="D1" s="1124" t="s">
        <v>1929</v>
      </c>
      <c r="E1" s="38" t="s">
        <v>236</v>
      </c>
      <c r="F1" s="1893" t="s">
        <v>1930</v>
      </c>
      <c r="G1" s="1790"/>
      <c r="H1" s="1126" t="s">
        <v>237</v>
      </c>
      <c r="I1" s="1633" t="s">
        <v>1931</v>
      </c>
      <c r="J1" s="1633"/>
      <c r="K1" s="1633"/>
      <c r="L1" s="1894" t="s">
        <v>1932</v>
      </c>
      <c r="M1" s="1938"/>
      <c r="N1" s="1142"/>
      <c r="O1" s="1143"/>
      <c r="P1" s="34" t="s">
        <v>556</v>
      </c>
      <c r="Q1" s="176" t="s">
        <v>1933</v>
      </c>
      <c r="R1" s="38" t="s">
        <v>1719</v>
      </c>
      <c r="S1" s="1124"/>
      <c r="T1" s="38" t="s">
        <v>236</v>
      </c>
      <c r="U1" s="1893"/>
      <c r="V1" s="1790"/>
      <c r="W1" s="1126" t="s">
        <v>237</v>
      </c>
      <c r="X1" s="1633"/>
      <c r="Y1" s="1633"/>
      <c r="Z1" s="1633"/>
      <c r="AA1" s="1894"/>
      <c r="AB1" s="1823"/>
    </row>
    <row r="2" spans="1:28" ht="50.1" customHeight="1">
      <c r="A2" s="39" t="s">
        <v>240</v>
      </c>
      <c r="B2" s="1637" t="s">
        <v>529</v>
      </c>
      <c r="C2" s="1637"/>
      <c r="D2" s="41" t="s">
        <v>242</v>
      </c>
      <c r="E2" s="1832" t="s">
        <v>1934</v>
      </c>
      <c r="F2" s="1833"/>
      <c r="G2" s="40"/>
      <c r="H2" s="40" t="s">
        <v>425</v>
      </c>
      <c r="I2" s="1921" t="s">
        <v>1935</v>
      </c>
      <c r="J2" s="1922"/>
      <c r="K2" s="1922"/>
      <c r="L2" s="1922"/>
      <c r="M2" s="1922"/>
      <c r="N2" s="1144"/>
      <c r="O2" s="1130"/>
      <c r="P2" s="39" t="s">
        <v>240</v>
      </c>
      <c r="Q2" s="1637" t="s">
        <v>1283</v>
      </c>
      <c r="R2" s="1637"/>
      <c r="S2" s="41" t="s">
        <v>242</v>
      </c>
      <c r="T2" s="1832"/>
      <c r="U2" s="1833"/>
      <c r="V2" s="40"/>
      <c r="W2" s="40" t="s">
        <v>425</v>
      </c>
      <c r="X2" s="1921"/>
      <c r="Y2" s="1922"/>
      <c r="Z2" s="1922"/>
      <c r="AA2" s="1922"/>
      <c r="AB2" s="1923"/>
    </row>
    <row r="3" spans="1:28" ht="57.95" customHeight="1">
      <c r="A3" s="39" t="s">
        <v>247</v>
      </c>
      <c r="B3" s="1637" t="s">
        <v>1936</v>
      </c>
      <c r="C3" s="1637"/>
      <c r="D3" s="41" t="s">
        <v>249</v>
      </c>
      <c r="E3" s="40" t="s">
        <v>1937</v>
      </c>
      <c r="F3" s="40" t="s">
        <v>1706</v>
      </c>
      <c r="G3" s="40" t="s">
        <v>1938</v>
      </c>
      <c r="H3" s="184"/>
      <c r="I3" s="642" t="s">
        <v>243</v>
      </c>
      <c r="J3" s="1866" t="s">
        <v>421</v>
      </c>
      <c r="K3" s="1675"/>
      <c r="L3" s="1131" t="s">
        <v>245</v>
      </c>
      <c r="M3" s="591" t="s">
        <v>1939</v>
      </c>
      <c r="N3" s="1145"/>
      <c r="O3" s="1146"/>
      <c r="P3" s="39" t="s">
        <v>247</v>
      </c>
      <c r="Q3" s="1637" t="s">
        <v>1940</v>
      </c>
      <c r="R3" s="1637"/>
      <c r="S3" s="41" t="s">
        <v>249</v>
      </c>
      <c r="T3" s="40"/>
      <c r="U3" s="40" t="s">
        <v>1706</v>
      </c>
      <c r="V3" s="40"/>
      <c r="W3" s="177"/>
      <c r="X3" s="531" t="s">
        <v>243</v>
      </c>
      <c r="Y3" s="1866" t="s">
        <v>421</v>
      </c>
      <c r="Z3" s="1675"/>
      <c r="AA3" s="1131" t="s">
        <v>245</v>
      </c>
      <c r="AB3" s="1132"/>
    </row>
    <row r="4" spans="1:28" ht="72" customHeight="1">
      <c r="A4" s="1127" t="s">
        <v>260</v>
      </c>
      <c r="B4" s="1764" t="s">
        <v>1941</v>
      </c>
      <c r="C4" s="1764"/>
      <c r="D4" s="1764"/>
      <c r="E4" s="1764"/>
      <c r="F4" s="1764"/>
      <c r="G4" s="1896"/>
      <c r="H4" s="1906"/>
      <c r="I4" s="1907"/>
      <c r="J4" s="91" t="s">
        <v>253</v>
      </c>
      <c r="K4" s="1133" t="s">
        <v>1942</v>
      </c>
      <c r="L4" s="15" t="s">
        <v>1469</v>
      </c>
      <c r="M4" s="15" t="s">
        <v>1943</v>
      </c>
      <c r="N4" s="1147"/>
      <c r="O4" s="1003"/>
      <c r="P4" s="1127" t="s">
        <v>260</v>
      </c>
      <c r="Q4" s="1764"/>
      <c r="R4" s="1764"/>
      <c r="S4" s="1764"/>
      <c r="T4" s="1764"/>
      <c r="U4" s="1764"/>
      <c r="V4" s="1896"/>
      <c r="W4" s="1906"/>
      <c r="X4" s="1907"/>
      <c r="Y4" s="91" t="s">
        <v>253</v>
      </c>
      <c r="Z4" s="1133"/>
      <c r="AA4" s="15" t="s">
        <v>1469</v>
      </c>
      <c r="AB4" s="92"/>
    </row>
    <row r="5" spans="1:28" ht="69.95" customHeight="1">
      <c r="A5" s="39" t="s">
        <v>258</v>
      </c>
      <c r="B5" s="1890"/>
      <c r="C5" s="1891"/>
      <c r="D5" s="1908"/>
      <c r="E5" s="1909"/>
      <c r="F5" s="1909"/>
      <c r="G5" s="1786" t="s">
        <v>1944</v>
      </c>
      <c r="H5" s="1786"/>
      <c r="I5" s="1786"/>
      <c r="J5" s="1786"/>
      <c r="L5" s="178"/>
      <c r="M5" s="1148"/>
      <c r="N5" s="1149"/>
      <c r="O5" s="1150"/>
      <c r="P5" s="39" t="s">
        <v>258</v>
      </c>
      <c r="Q5" s="1890"/>
      <c r="R5" s="1891"/>
      <c r="S5" s="1908"/>
      <c r="T5" s="1909"/>
      <c r="U5" s="1909"/>
      <c r="V5" s="1786"/>
      <c r="W5" s="1786"/>
      <c r="X5" s="1786"/>
      <c r="Y5" s="1786"/>
      <c r="AA5" s="178"/>
      <c r="AB5" s="1134"/>
    </row>
    <row r="6" spans="1:28" ht="42.75">
      <c r="A6" s="381" t="s">
        <v>266</v>
      </c>
      <c r="B6" s="382" t="s">
        <v>1474</v>
      </c>
      <c r="C6" s="382" t="s">
        <v>268</v>
      </c>
      <c r="D6" s="382" t="s">
        <v>1475</v>
      </c>
      <c r="E6" s="382" t="s">
        <v>270</v>
      </c>
      <c r="F6" s="382" t="s">
        <v>1476</v>
      </c>
      <c r="G6" s="1128" t="s">
        <v>272</v>
      </c>
      <c r="H6" s="384" t="s">
        <v>273</v>
      </c>
      <c r="I6" s="390" t="s">
        <v>274</v>
      </c>
      <c r="J6" s="1135" t="s">
        <v>275</v>
      </c>
      <c r="K6" s="391" t="s">
        <v>276</v>
      </c>
      <c r="L6" s="382" t="s">
        <v>277</v>
      </c>
      <c r="M6" s="417" t="s">
        <v>278</v>
      </c>
      <c r="N6" s="2"/>
      <c r="O6" s="1151"/>
      <c r="P6" s="381" t="s">
        <v>266</v>
      </c>
      <c r="Q6" s="382" t="s">
        <v>1474</v>
      </c>
      <c r="R6" s="382" t="s">
        <v>268</v>
      </c>
      <c r="S6" s="382" t="s">
        <v>1475</v>
      </c>
      <c r="T6" s="382" t="s">
        <v>270</v>
      </c>
      <c r="U6" s="382" t="s">
        <v>1476</v>
      </c>
      <c r="V6" s="1128" t="s">
        <v>272</v>
      </c>
      <c r="W6" s="384" t="s">
        <v>273</v>
      </c>
      <c r="X6" s="390" t="s">
        <v>274</v>
      </c>
      <c r="Y6" s="1135" t="s">
        <v>275</v>
      </c>
      <c r="Z6" s="391" t="s">
        <v>276</v>
      </c>
      <c r="AA6" s="382" t="s">
        <v>277</v>
      </c>
      <c r="AB6" s="392" t="s">
        <v>278</v>
      </c>
    </row>
    <row r="7" spans="1:28" ht="27.95" customHeight="1">
      <c r="A7" s="324" t="s">
        <v>1945</v>
      </c>
      <c r="B7" s="412">
        <v>986</v>
      </c>
      <c r="C7" s="412">
        <v>291705</v>
      </c>
      <c r="D7" s="412">
        <f>B7</f>
        <v>986</v>
      </c>
      <c r="E7" s="412">
        <f>C7</f>
        <v>291705</v>
      </c>
      <c r="F7" s="412"/>
      <c r="G7" s="412">
        <f t="shared" ref="G7:G15" si="0">C7</f>
        <v>291705</v>
      </c>
      <c r="H7" s="412"/>
      <c r="I7" s="412"/>
      <c r="J7" s="412"/>
      <c r="K7" s="412"/>
      <c r="L7" s="412">
        <f t="shared" ref="L7:L15" si="1">E7-J7</f>
        <v>291705</v>
      </c>
      <c r="M7" s="412"/>
      <c r="N7" s="1152"/>
      <c r="O7" s="1153"/>
      <c r="P7" s="324">
        <v>42370</v>
      </c>
      <c r="Q7" s="412">
        <v>98</v>
      </c>
      <c r="R7" s="412">
        <v>28420</v>
      </c>
      <c r="S7" s="412">
        <f>Q7</f>
        <v>98</v>
      </c>
      <c r="T7" s="412">
        <f>R7</f>
        <v>28420</v>
      </c>
      <c r="U7" s="412"/>
      <c r="V7" s="412"/>
      <c r="W7" s="412"/>
      <c r="X7" s="412"/>
      <c r="Y7" s="412"/>
      <c r="Z7" s="412"/>
      <c r="AA7" s="412">
        <f>T7-Y7</f>
        <v>28420</v>
      </c>
      <c r="AB7" s="682"/>
    </row>
    <row r="8" spans="1:28" ht="27.95" customHeight="1">
      <c r="A8" s="324" t="s">
        <v>1946</v>
      </c>
      <c r="B8" s="412">
        <v>267</v>
      </c>
      <c r="C8" s="412">
        <v>79875</v>
      </c>
      <c r="D8" s="412">
        <f t="shared" ref="D8:D15" si="2">D7+B8</f>
        <v>1253</v>
      </c>
      <c r="E8" s="412">
        <f t="shared" ref="E8:E15" si="3">E7+C8</f>
        <v>371580</v>
      </c>
      <c r="F8" s="412"/>
      <c r="G8" s="412">
        <f t="shared" si="0"/>
        <v>79875</v>
      </c>
      <c r="H8" s="412"/>
      <c r="I8" s="412"/>
      <c r="J8" s="412"/>
      <c r="K8" s="412"/>
      <c r="L8" s="412">
        <f t="shared" si="1"/>
        <v>371580</v>
      </c>
      <c r="M8" s="412"/>
      <c r="N8" s="1152"/>
      <c r="O8" s="1153"/>
      <c r="P8" s="324"/>
      <c r="Q8" s="412"/>
      <c r="R8" s="412"/>
      <c r="S8" s="412"/>
      <c r="T8" s="412"/>
      <c r="U8" s="412"/>
      <c r="V8" s="412"/>
      <c r="W8" s="412"/>
      <c r="X8" s="412"/>
      <c r="Y8" s="412"/>
      <c r="Z8" s="412"/>
      <c r="AA8" s="412">
        <f>T8-Y8</f>
        <v>0</v>
      </c>
      <c r="AB8" s="682"/>
    </row>
    <row r="9" spans="1:28" ht="27.95" customHeight="1">
      <c r="A9" s="324">
        <v>42767</v>
      </c>
      <c r="B9" s="412">
        <v>715.5</v>
      </c>
      <c r="C9" s="412">
        <v>213460</v>
      </c>
      <c r="D9" s="412">
        <f t="shared" si="2"/>
        <v>1968.5</v>
      </c>
      <c r="E9" s="412">
        <f t="shared" si="3"/>
        <v>585040</v>
      </c>
      <c r="F9" s="412"/>
      <c r="G9" s="412">
        <f t="shared" si="0"/>
        <v>213460</v>
      </c>
      <c r="H9" s="412">
        <f t="shared" ref="H9:H16" si="4">C7</f>
        <v>291705</v>
      </c>
      <c r="I9" s="412"/>
      <c r="J9" s="412"/>
      <c r="K9" s="412">
        <f t="shared" ref="K9:K16" si="5">K8+H9-I9</f>
        <v>291705</v>
      </c>
      <c r="L9" s="412">
        <f t="shared" si="1"/>
        <v>585040</v>
      </c>
      <c r="M9" s="412"/>
      <c r="N9" s="1152"/>
      <c r="O9" s="1153"/>
      <c r="P9" s="324"/>
      <c r="Q9" s="412"/>
      <c r="R9" s="412"/>
      <c r="S9" s="412"/>
      <c r="T9" s="412"/>
      <c r="U9" s="412"/>
      <c r="V9" s="412"/>
      <c r="W9" s="412">
        <f>R7</f>
        <v>28420</v>
      </c>
      <c r="X9" s="412"/>
      <c r="Y9" s="412"/>
      <c r="Z9" s="412"/>
      <c r="AA9" s="412">
        <f>T9-Y9</f>
        <v>0</v>
      </c>
      <c r="AB9" s="682"/>
    </row>
    <row r="10" spans="1:28" ht="27.95" customHeight="1">
      <c r="A10" s="324">
        <v>42795</v>
      </c>
      <c r="B10" s="412">
        <v>1238</v>
      </c>
      <c r="C10" s="412">
        <v>376540</v>
      </c>
      <c r="D10" s="1027">
        <f t="shared" si="2"/>
        <v>3206.5</v>
      </c>
      <c r="E10" s="1027">
        <f t="shared" si="3"/>
        <v>961580</v>
      </c>
      <c r="F10" s="412"/>
      <c r="G10" s="412">
        <f t="shared" si="0"/>
        <v>376540</v>
      </c>
      <c r="H10" s="412">
        <f t="shared" si="4"/>
        <v>79875</v>
      </c>
      <c r="I10" s="412">
        <v>291705</v>
      </c>
      <c r="J10" s="412">
        <f t="shared" ref="J10:J15" si="6">J9+I10</f>
        <v>291705</v>
      </c>
      <c r="K10" s="412">
        <f t="shared" si="5"/>
        <v>79875</v>
      </c>
      <c r="L10" s="412">
        <f t="shared" si="1"/>
        <v>669875</v>
      </c>
      <c r="M10" s="412" t="s">
        <v>1947</v>
      </c>
      <c r="N10" s="1152"/>
      <c r="O10" s="1154"/>
    </row>
    <row r="11" spans="1:28" ht="27.95" customHeight="1">
      <c r="A11" s="324">
        <v>42826</v>
      </c>
      <c r="B11" s="412">
        <v>731</v>
      </c>
      <c r="C11" s="412">
        <v>222510</v>
      </c>
      <c r="D11" s="412">
        <f t="shared" si="2"/>
        <v>3937.5</v>
      </c>
      <c r="E11" s="412">
        <f t="shared" si="3"/>
        <v>1184090</v>
      </c>
      <c r="F11" s="412"/>
      <c r="G11" s="412">
        <f t="shared" si="0"/>
        <v>222510</v>
      </c>
      <c r="H11" s="412">
        <f t="shared" si="4"/>
        <v>213460</v>
      </c>
      <c r="I11" s="412"/>
      <c r="J11" s="412">
        <f t="shared" si="6"/>
        <v>291705</v>
      </c>
      <c r="K11" s="412">
        <f t="shared" si="5"/>
        <v>293335</v>
      </c>
      <c r="L11" s="412">
        <f t="shared" si="1"/>
        <v>892385</v>
      </c>
      <c r="M11" s="412"/>
      <c r="N11" s="1152"/>
      <c r="O11" s="1154"/>
    </row>
    <row r="12" spans="1:28" ht="27.95" customHeight="1">
      <c r="A12" s="324">
        <v>42856</v>
      </c>
      <c r="B12" s="412">
        <v>495</v>
      </c>
      <c r="C12" s="412">
        <v>150287.5</v>
      </c>
      <c r="D12" s="412">
        <f t="shared" si="2"/>
        <v>4432.5</v>
      </c>
      <c r="E12" s="412">
        <f t="shared" si="3"/>
        <v>1334377.5</v>
      </c>
      <c r="F12" s="412"/>
      <c r="G12" s="412">
        <f t="shared" si="0"/>
        <v>150287.5</v>
      </c>
      <c r="H12" s="412">
        <f t="shared" si="4"/>
        <v>376540</v>
      </c>
      <c r="I12" s="412">
        <v>585040</v>
      </c>
      <c r="J12" s="412">
        <f t="shared" si="6"/>
        <v>876745</v>
      </c>
      <c r="K12" s="412">
        <f t="shared" si="5"/>
        <v>84835</v>
      </c>
      <c r="L12" s="412">
        <f t="shared" si="1"/>
        <v>457632.5</v>
      </c>
      <c r="M12" s="412" t="s">
        <v>1948</v>
      </c>
      <c r="N12" s="1152"/>
      <c r="O12" s="1154"/>
    </row>
    <row r="13" spans="1:28" ht="27.95" customHeight="1">
      <c r="A13" s="324">
        <v>42887</v>
      </c>
      <c r="B13" s="412">
        <v>376</v>
      </c>
      <c r="C13" s="412">
        <v>111935</v>
      </c>
      <c r="D13" s="412">
        <f t="shared" si="2"/>
        <v>4808.5</v>
      </c>
      <c r="E13" s="412">
        <f t="shared" si="3"/>
        <v>1446312.5</v>
      </c>
      <c r="F13" s="412"/>
      <c r="G13" s="412">
        <f t="shared" si="0"/>
        <v>111935</v>
      </c>
      <c r="H13" s="412">
        <f t="shared" si="4"/>
        <v>222510</v>
      </c>
      <c r="I13" s="412"/>
      <c r="J13" s="412">
        <f t="shared" si="6"/>
        <v>876745</v>
      </c>
      <c r="K13" s="412">
        <f t="shared" si="5"/>
        <v>307345</v>
      </c>
      <c r="L13" s="412">
        <f t="shared" si="1"/>
        <v>569567.5</v>
      </c>
      <c r="M13" s="412"/>
      <c r="N13" s="1152"/>
      <c r="O13" s="1154"/>
    </row>
    <row r="14" spans="1:28" ht="27.95" customHeight="1">
      <c r="A14" s="324">
        <v>42917</v>
      </c>
      <c r="B14" s="412">
        <v>126</v>
      </c>
      <c r="C14" s="412">
        <v>36280</v>
      </c>
      <c r="D14" s="412">
        <f t="shared" si="2"/>
        <v>4934.5</v>
      </c>
      <c r="E14" s="412">
        <f t="shared" si="3"/>
        <v>1482592.5</v>
      </c>
      <c r="F14" s="412"/>
      <c r="G14" s="412">
        <f t="shared" si="0"/>
        <v>36280</v>
      </c>
      <c r="H14" s="412">
        <f t="shared" si="4"/>
        <v>150287.5</v>
      </c>
      <c r="I14" s="412">
        <v>457632.5</v>
      </c>
      <c r="J14" s="412">
        <f t="shared" si="6"/>
        <v>1334377.5</v>
      </c>
      <c r="K14" s="412">
        <f t="shared" si="5"/>
        <v>0</v>
      </c>
      <c r="L14" s="412">
        <f t="shared" si="1"/>
        <v>148215</v>
      </c>
      <c r="M14" s="412" t="s">
        <v>1949</v>
      </c>
      <c r="N14" s="1152"/>
      <c r="O14" s="1154"/>
    </row>
    <row r="15" spans="1:28" ht="27.95" customHeight="1">
      <c r="A15" s="324">
        <v>42948</v>
      </c>
      <c r="B15" s="412">
        <v>62</v>
      </c>
      <c r="C15" s="412">
        <v>17985</v>
      </c>
      <c r="D15" s="412">
        <f t="shared" si="2"/>
        <v>4996.5</v>
      </c>
      <c r="E15" s="412">
        <f t="shared" si="3"/>
        <v>1500577.5</v>
      </c>
      <c r="F15" s="412"/>
      <c r="G15" s="412">
        <f t="shared" si="0"/>
        <v>17985</v>
      </c>
      <c r="H15" s="412">
        <f t="shared" si="4"/>
        <v>111935</v>
      </c>
      <c r="I15" s="412"/>
      <c r="J15" s="412">
        <f t="shared" si="6"/>
        <v>1334377.5</v>
      </c>
      <c r="K15" s="412">
        <f t="shared" si="5"/>
        <v>111935</v>
      </c>
      <c r="L15" s="412">
        <f t="shared" si="1"/>
        <v>166200</v>
      </c>
      <c r="M15" s="412"/>
      <c r="N15" s="1152"/>
      <c r="O15" s="1154"/>
    </row>
    <row r="16" spans="1:28" ht="27.95" customHeight="1">
      <c r="A16" s="324"/>
      <c r="B16" s="412"/>
      <c r="C16" s="412"/>
      <c r="D16" s="412"/>
      <c r="E16" s="412"/>
      <c r="F16" s="412"/>
      <c r="G16" s="412"/>
      <c r="H16" s="412">
        <f t="shared" si="4"/>
        <v>36280</v>
      </c>
      <c r="I16" s="412"/>
      <c r="J16" s="412"/>
      <c r="K16" s="412">
        <f t="shared" si="5"/>
        <v>148215</v>
      </c>
      <c r="L16" s="412"/>
      <c r="M16" s="412"/>
      <c r="N16" s="1152"/>
      <c r="O16" s="1154"/>
    </row>
    <row r="17" spans="1:15" ht="27.95" customHeight="1">
      <c r="A17" s="324"/>
      <c r="B17" s="412"/>
      <c r="C17" s="412"/>
      <c r="D17" s="412"/>
      <c r="E17" s="412"/>
      <c r="F17" s="412"/>
      <c r="G17" s="412"/>
      <c r="H17" s="412"/>
      <c r="I17" s="412"/>
      <c r="J17" s="412"/>
      <c r="K17" s="412"/>
      <c r="L17" s="412"/>
      <c r="M17" s="412"/>
      <c r="N17" s="1152"/>
      <c r="O17" s="1154"/>
    </row>
    <row r="18" spans="1:15" ht="27.95" customHeight="1">
      <c r="A18" s="324"/>
      <c r="B18" s="412"/>
      <c r="C18" s="412"/>
      <c r="D18" s="412"/>
      <c r="E18" s="412"/>
      <c r="F18" s="412"/>
      <c r="G18" s="412"/>
      <c r="H18" s="412"/>
      <c r="I18" s="412"/>
      <c r="J18" s="412"/>
      <c r="K18" s="412"/>
      <c r="L18" s="412"/>
      <c r="M18" s="412"/>
      <c r="N18" s="1152"/>
      <c r="O18" s="1154"/>
    </row>
    <row r="19" spans="1:15" ht="27.95" customHeight="1">
      <c r="A19" s="324"/>
      <c r="B19" s="412"/>
      <c r="C19" s="412"/>
      <c r="D19" s="412"/>
      <c r="E19" s="412"/>
      <c r="F19" s="412"/>
      <c r="G19" s="412"/>
      <c r="H19" s="412"/>
      <c r="I19" s="412"/>
      <c r="J19" s="412"/>
      <c r="K19" s="412"/>
      <c r="L19" s="412"/>
      <c r="M19" s="412"/>
      <c r="N19" s="1152"/>
      <c r="O19" s="1154"/>
    </row>
    <row r="20" spans="1:15" ht="27.95" customHeight="1">
      <c r="A20" s="324"/>
      <c r="B20" s="412"/>
      <c r="C20" s="412"/>
      <c r="D20" s="412"/>
      <c r="E20" s="412"/>
      <c r="F20" s="412"/>
      <c r="G20" s="412"/>
      <c r="H20" s="412"/>
      <c r="I20" s="412"/>
      <c r="J20" s="412"/>
      <c r="K20" s="412"/>
      <c r="L20" s="412"/>
      <c r="M20" s="412"/>
      <c r="N20" s="1152"/>
      <c r="O20" s="1154"/>
    </row>
  </sheetData>
  <mergeCells count="26">
    <mergeCell ref="B5:C5"/>
    <mergeCell ref="D5:F5"/>
    <mergeCell ref="G5:J5"/>
    <mergeCell ref="Q5:R5"/>
    <mergeCell ref="S5:U5"/>
    <mergeCell ref="V5:Y5"/>
    <mergeCell ref="B3:C3"/>
    <mergeCell ref="J3:K3"/>
    <mergeCell ref="Q3:R3"/>
    <mergeCell ref="Y3:Z3"/>
    <mergeCell ref="B4:F4"/>
    <mergeCell ref="G4:I4"/>
    <mergeCell ref="Q4:U4"/>
    <mergeCell ref="V4:X4"/>
    <mergeCell ref="B2:C2"/>
    <mergeCell ref="E2:F2"/>
    <mergeCell ref="I2:M2"/>
    <mergeCell ref="Q2:R2"/>
    <mergeCell ref="T2:U2"/>
    <mergeCell ref="X2:AB2"/>
    <mergeCell ref="F1:G1"/>
    <mergeCell ref="I1:K1"/>
    <mergeCell ref="L1:M1"/>
    <mergeCell ref="U1:V1"/>
    <mergeCell ref="X1:Z1"/>
    <mergeCell ref="AA1:AB1"/>
  </mergeCells>
  <phoneticPr fontId="84" type="noConversion"/>
  <pageMargins left="0.75" right="0.75" top="1" bottom="1" header="0.51" footer="0.51"/>
  <pageSetup paperSize="9" orientation="portrait" horizontalDpi="200" verticalDpi="200"/>
  <headerFooter scaleWithDoc="0"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0" zoomScaleSheetLayoutView="100" workbookViewId="0">
      <selection activeCell="A16" sqref="A16"/>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1950</v>
      </c>
      <c r="C1" s="1124" t="s">
        <v>1951</v>
      </c>
      <c r="D1" s="1124"/>
      <c r="E1" s="38" t="s">
        <v>236</v>
      </c>
      <c r="F1" s="1140" t="s">
        <v>1952</v>
      </c>
      <c r="G1" s="1138" t="s">
        <v>1953</v>
      </c>
      <c r="H1" s="1126" t="s">
        <v>237</v>
      </c>
      <c r="I1" s="1633" t="s">
        <v>1954</v>
      </c>
      <c r="J1" s="1633"/>
      <c r="K1" s="1633"/>
      <c r="L1" s="1904" t="s">
        <v>1955</v>
      </c>
      <c r="M1" s="1812"/>
    </row>
    <row r="2" spans="1:13" ht="50.1" customHeight="1">
      <c r="A2" s="39" t="s">
        <v>240</v>
      </c>
      <c r="B2" s="1637" t="s">
        <v>1956</v>
      </c>
      <c r="C2" s="1637"/>
      <c r="D2" s="41" t="s">
        <v>242</v>
      </c>
      <c r="E2" s="1832"/>
      <c r="F2" s="1833"/>
      <c r="G2" s="40"/>
      <c r="H2" s="40" t="s">
        <v>425</v>
      </c>
      <c r="I2" s="1939" t="s">
        <v>1957</v>
      </c>
      <c r="J2" s="1940"/>
      <c r="K2" s="1940"/>
      <c r="L2" s="1940"/>
      <c r="M2" s="1941"/>
    </row>
    <row r="3" spans="1:13" ht="57.95" customHeight="1">
      <c r="A3" s="39" t="s">
        <v>247</v>
      </c>
      <c r="B3" s="1637" t="s">
        <v>1958</v>
      </c>
      <c r="C3" s="1637"/>
      <c r="D3" s="41" t="s">
        <v>249</v>
      </c>
      <c r="E3" s="40" t="s">
        <v>1959</v>
      </c>
      <c r="F3" s="40" t="s">
        <v>1706</v>
      </c>
      <c r="G3" s="269" t="s">
        <v>1960</v>
      </c>
      <c r="H3" s="177">
        <v>1371186852</v>
      </c>
      <c r="I3" s="531" t="s">
        <v>243</v>
      </c>
      <c r="J3" s="1866" t="s">
        <v>421</v>
      </c>
      <c r="K3" s="1675"/>
      <c r="L3" s="1131" t="s">
        <v>245</v>
      </c>
      <c r="M3" s="1132" t="s">
        <v>1961</v>
      </c>
    </row>
    <row r="4" spans="1:13" ht="72" customHeight="1">
      <c r="A4" s="1127" t="s">
        <v>260</v>
      </c>
      <c r="B4" s="1764" t="s">
        <v>1962</v>
      </c>
      <c r="C4" s="1764"/>
      <c r="D4" s="1764"/>
      <c r="E4" s="1764"/>
      <c r="F4" s="1764"/>
      <c r="G4" s="1896"/>
      <c r="H4" s="1906"/>
      <c r="I4" s="1907"/>
      <c r="J4" s="91" t="s">
        <v>253</v>
      </c>
      <c r="K4" s="1133" t="s">
        <v>1963</v>
      </c>
      <c r="L4" s="15" t="s">
        <v>1469</v>
      </c>
      <c r="M4" s="92" t="s">
        <v>1964</v>
      </c>
    </row>
    <row r="5" spans="1:13" ht="69.95" customHeight="1">
      <c r="A5" s="39" t="s">
        <v>258</v>
      </c>
      <c r="B5" s="1890"/>
      <c r="C5" s="1891"/>
      <c r="D5" s="1908"/>
      <c r="E5" s="1909"/>
      <c r="F5" s="1909"/>
      <c r="G5" s="1786" t="s">
        <v>1965</v>
      </c>
      <c r="H5" s="1786"/>
      <c r="I5" s="1786"/>
      <c r="J5" s="1786"/>
      <c r="L5" s="178"/>
      <c r="M5" s="1134" t="s">
        <v>1966</v>
      </c>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42705</v>
      </c>
      <c r="B7" s="412">
        <v>278</v>
      </c>
      <c r="C7" s="412">
        <v>98690</v>
      </c>
      <c r="D7" s="412">
        <f>B7</f>
        <v>278</v>
      </c>
      <c r="E7" s="412">
        <f>C7</f>
        <v>98690</v>
      </c>
      <c r="F7" s="412"/>
      <c r="G7" s="412">
        <f>E7</f>
        <v>98690</v>
      </c>
      <c r="H7" s="412"/>
      <c r="I7" s="412"/>
      <c r="J7" s="412"/>
      <c r="K7" s="412"/>
      <c r="L7" s="412">
        <f t="shared" ref="L7:L15" si="0">E7-J7</f>
        <v>98690</v>
      </c>
      <c r="M7" s="682"/>
    </row>
    <row r="8" spans="1:13" ht="27.95" customHeight="1">
      <c r="A8" s="324">
        <v>42736</v>
      </c>
      <c r="B8" s="412">
        <v>1221</v>
      </c>
      <c r="C8" s="412">
        <v>433455</v>
      </c>
      <c r="D8" s="412">
        <f t="shared" ref="D8:D15" si="1">D7+B8</f>
        <v>1499</v>
      </c>
      <c r="E8" s="412">
        <f t="shared" ref="E8:E15" si="2">E7+C8</f>
        <v>532145</v>
      </c>
      <c r="F8" s="412"/>
      <c r="G8" s="412">
        <f>E8*0.2</f>
        <v>106429</v>
      </c>
      <c r="H8" s="412"/>
      <c r="I8" s="412"/>
      <c r="J8" s="412"/>
      <c r="K8" s="412">
        <f t="shared" ref="K8:K16" si="3">K7+H8-I8</f>
        <v>0</v>
      </c>
      <c r="L8" s="412">
        <f t="shared" si="0"/>
        <v>532145</v>
      </c>
      <c r="M8" s="682"/>
    </row>
    <row r="9" spans="1:13" ht="27.95" customHeight="1">
      <c r="A9" s="324">
        <v>42767</v>
      </c>
      <c r="B9" s="412">
        <v>0</v>
      </c>
      <c r="C9" s="412">
        <v>0</v>
      </c>
      <c r="D9" s="412">
        <f t="shared" si="1"/>
        <v>1499</v>
      </c>
      <c r="E9" s="412">
        <f t="shared" si="2"/>
        <v>532145</v>
      </c>
      <c r="F9" s="412"/>
      <c r="G9" s="412">
        <f>E9*0.2</f>
        <v>106429</v>
      </c>
      <c r="H9" s="412">
        <f>C7*0.8</f>
        <v>78952</v>
      </c>
      <c r="I9" s="412"/>
      <c r="J9" s="412"/>
      <c r="K9" s="412">
        <f t="shared" si="3"/>
        <v>78952</v>
      </c>
      <c r="L9" s="412">
        <f t="shared" si="0"/>
        <v>532145</v>
      </c>
      <c r="M9" s="682"/>
    </row>
    <row r="10" spans="1:13" ht="27.95" customHeight="1">
      <c r="A10" s="324">
        <v>42795</v>
      </c>
      <c r="B10" s="412">
        <v>5</v>
      </c>
      <c r="C10" s="1141">
        <v>1750</v>
      </c>
      <c r="D10" s="412">
        <f t="shared" si="1"/>
        <v>1504</v>
      </c>
      <c r="E10" s="412">
        <f t="shared" si="2"/>
        <v>533895</v>
      </c>
      <c r="F10" s="412"/>
      <c r="G10" s="412">
        <f>E10*0.2</f>
        <v>106779</v>
      </c>
      <c r="H10" s="412">
        <f>C8*0.8</f>
        <v>346764</v>
      </c>
      <c r="I10" s="412"/>
      <c r="J10" s="412"/>
      <c r="K10" s="412">
        <f t="shared" si="3"/>
        <v>425716</v>
      </c>
      <c r="L10" s="412">
        <f t="shared" si="0"/>
        <v>533895</v>
      </c>
      <c r="M10" s="682"/>
    </row>
    <row r="11" spans="1:13" ht="27.95" customHeight="1">
      <c r="A11" s="324">
        <v>42826</v>
      </c>
      <c r="B11" s="412">
        <v>0</v>
      </c>
      <c r="C11" s="412">
        <v>0</v>
      </c>
      <c r="D11" s="412">
        <f t="shared" si="1"/>
        <v>1504</v>
      </c>
      <c r="E11" s="412">
        <f t="shared" si="2"/>
        <v>533895</v>
      </c>
      <c r="F11" s="412"/>
      <c r="G11" s="412">
        <f>E11*0.2</f>
        <v>106779</v>
      </c>
      <c r="H11" s="412">
        <f t="shared" ref="H11:H16" si="4">C9*0.8</f>
        <v>0</v>
      </c>
      <c r="I11" s="412"/>
      <c r="J11" s="412"/>
      <c r="K11" s="412">
        <f t="shared" si="3"/>
        <v>425716</v>
      </c>
      <c r="L11" s="412">
        <f t="shared" si="0"/>
        <v>533895</v>
      </c>
      <c r="M11" s="682" t="s">
        <v>1967</v>
      </c>
    </row>
    <row r="12" spans="1:13" ht="27.95" customHeight="1">
      <c r="A12" s="324">
        <v>42856</v>
      </c>
      <c r="B12" s="412">
        <v>3</v>
      </c>
      <c r="C12" s="412">
        <v>1005</v>
      </c>
      <c r="D12" s="412">
        <f t="shared" si="1"/>
        <v>1507</v>
      </c>
      <c r="E12" s="412">
        <f t="shared" si="2"/>
        <v>534900</v>
      </c>
      <c r="F12" s="412"/>
      <c r="G12" s="412">
        <f>E11*0.2+C12</f>
        <v>107784</v>
      </c>
      <c r="H12" s="412">
        <f t="shared" si="4"/>
        <v>1400</v>
      </c>
      <c r="I12" s="412"/>
      <c r="J12" s="412"/>
      <c r="K12" s="412">
        <f t="shared" si="3"/>
        <v>427116</v>
      </c>
      <c r="L12" s="412">
        <f t="shared" si="0"/>
        <v>534900</v>
      </c>
      <c r="M12" s="682"/>
    </row>
    <row r="13" spans="1:13" ht="27.95" customHeight="1">
      <c r="A13" s="324">
        <v>42887</v>
      </c>
      <c r="B13" s="412">
        <v>1465</v>
      </c>
      <c r="C13" s="412">
        <v>487145</v>
      </c>
      <c r="D13" s="412">
        <f t="shared" si="1"/>
        <v>2972</v>
      </c>
      <c r="E13" s="412">
        <f t="shared" si="2"/>
        <v>1022045</v>
      </c>
      <c r="F13" s="412"/>
      <c r="G13" s="412">
        <f>E12*0.2+C13</f>
        <v>594125</v>
      </c>
      <c r="H13" s="412">
        <f t="shared" si="4"/>
        <v>0</v>
      </c>
      <c r="I13" s="412">
        <v>524406</v>
      </c>
      <c r="J13" s="412">
        <f>I13</f>
        <v>524406</v>
      </c>
      <c r="K13" s="412">
        <f t="shared" si="3"/>
        <v>-97290</v>
      </c>
      <c r="L13" s="412">
        <f t="shared" si="0"/>
        <v>497639</v>
      </c>
      <c r="M13" s="682"/>
    </row>
    <row r="14" spans="1:13" ht="27.95" customHeight="1">
      <c r="A14" s="324">
        <v>42917</v>
      </c>
      <c r="B14" s="412">
        <v>735</v>
      </c>
      <c r="C14" s="412">
        <v>243375</v>
      </c>
      <c r="D14" s="412">
        <f t="shared" si="1"/>
        <v>3707</v>
      </c>
      <c r="E14" s="412">
        <f t="shared" si="2"/>
        <v>1265420</v>
      </c>
      <c r="F14" s="412"/>
      <c r="G14" s="412">
        <f>E13*0.2+C14</f>
        <v>447784</v>
      </c>
      <c r="H14" s="412">
        <f t="shared" si="4"/>
        <v>804</v>
      </c>
      <c r="I14" s="412"/>
      <c r="J14" s="412">
        <f>J13+I14</f>
        <v>524406</v>
      </c>
      <c r="K14" s="412">
        <f t="shared" si="3"/>
        <v>-96486</v>
      </c>
      <c r="L14" s="412">
        <f t="shared" si="0"/>
        <v>741014</v>
      </c>
      <c r="M14" s="682"/>
    </row>
    <row r="15" spans="1:13" ht="27.95" customHeight="1">
      <c r="A15" s="324">
        <v>42948</v>
      </c>
      <c r="B15" s="412">
        <v>203</v>
      </c>
      <c r="C15" s="412">
        <v>64915</v>
      </c>
      <c r="D15" s="412">
        <f t="shared" si="1"/>
        <v>3910</v>
      </c>
      <c r="E15" s="412">
        <f t="shared" si="2"/>
        <v>1330335</v>
      </c>
      <c r="F15" s="412"/>
      <c r="G15" s="412">
        <f>E14*0.2+C15</f>
        <v>317999</v>
      </c>
      <c r="H15" s="412">
        <f t="shared" si="4"/>
        <v>389716</v>
      </c>
      <c r="I15" s="412"/>
      <c r="J15" s="412">
        <f>J14+I15</f>
        <v>524406</v>
      </c>
      <c r="K15" s="412">
        <f t="shared" si="3"/>
        <v>293230</v>
      </c>
      <c r="L15" s="412">
        <f t="shared" si="0"/>
        <v>805929</v>
      </c>
      <c r="M15" s="682"/>
    </row>
    <row r="16" spans="1:13" ht="27.95" customHeight="1">
      <c r="A16" s="324"/>
      <c r="B16" s="412"/>
      <c r="C16" s="412"/>
      <c r="D16" s="412"/>
      <c r="E16" s="412"/>
      <c r="F16" s="412"/>
      <c r="G16" s="412"/>
      <c r="H16" s="412">
        <f t="shared" si="4"/>
        <v>194700</v>
      </c>
      <c r="I16" s="412"/>
      <c r="J16" s="412"/>
      <c r="K16" s="412">
        <f t="shared" si="3"/>
        <v>487930</v>
      </c>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2">
    <mergeCell ref="B4:F4"/>
    <mergeCell ref="G4:I4"/>
    <mergeCell ref="B5:C5"/>
    <mergeCell ref="D5:F5"/>
    <mergeCell ref="G5:J5"/>
    <mergeCell ref="I1:K1"/>
    <mergeCell ref="L1:M1"/>
    <mergeCell ref="B2:C2"/>
    <mergeCell ref="E2:F2"/>
    <mergeCell ref="I2:M2"/>
    <mergeCell ref="B3:C3"/>
    <mergeCell ref="J3:K3"/>
  </mergeCells>
  <phoneticPr fontId="84" type="noConversion"/>
  <pageMargins left="0.75" right="0.75" top="1" bottom="1" header="0.51" footer="0.51"/>
  <pageSetup paperSize="9" orientation="portrait" horizontalDpi="200" verticalDpi="200"/>
  <headerFooter scaleWithDoc="0" alignWithMargins="0"/>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9"/>
  <sheetViews>
    <sheetView topLeftCell="A10" zoomScaleSheetLayoutView="100" workbookViewId="0">
      <selection activeCell="A14" sqref="A14"/>
    </sheetView>
  </sheetViews>
  <sheetFormatPr defaultColWidth="9" defaultRowHeight="14.25"/>
  <cols>
    <col min="1" max="1" width="13.75" customWidth="1"/>
    <col min="2" max="2" width="14.25" customWidth="1"/>
    <col min="3" max="3" width="15" customWidth="1"/>
    <col min="4" max="4" width="14" customWidth="1"/>
    <col min="5" max="5" width="14.75" customWidth="1"/>
    <col min="6" max="6" width="14.625" customWidth="1"/>
    <col min="7" max="7" width="12.375" customWidth="1"/>
    <col min="8" max="8" width="20.6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1968</v>
      </c>
      <c r="C1" s="1123" t="s">
        <v>1969</v>
      </c>
      <c r="D1" s="1124"/>
      <c r="E1" s="38" t="s">
        <v>236</v>
      </c>
      <c r="F1" s="1138" t="s">
        <v>1968</v>
      </c>
      <c r="G1" s="1138" t="s">
        <v>1970</v>
      </c>
      <c r="H1" s="1126" t="s">
        <v>237</v>
      </c>
      <c r="I1" s="1633" t="s">
        <v>1971</v>
      </c>
      <c r="J1" s="1633"/>
      <c r="K1" s="1633"/>
      <c r="L1" s="1904" t="s">
        <v>1972</v>
      </c>
      <c r="M1" s="1812"/>
    </row>
    <row r="2" spans="1:13" ht="50.1" customHeight="1">
      <c r="A2" s="39" t="s">
        <v>240</v>
      </c>
      <c r="B2" s="1637" t="s">
        <v>1973</v>
      </c>
      <c r="C2" s="1637"/>
      <c r="D2" s="41" t="s">
        <v>242</v>
      </c>
      <c r="E2" s="1832"/>
      <c r="F2" s="1833"/>
      <c r="G2" s="40" t="s">
        <v>1974</v>
      </c>
      <c r="H2" s="40" t="s">
        <v>425</v>
      </c>
      <c r="I2" s="1921" t="s">
        <v>1975</v>
      </c>
      <c r="J2" s="1922"/>
      <c r="K2" s="1922"/>
      <c r="L2" s="1922"/>
      <c r="M2" s="1923"/>
    </row>
    <row r="3" spans="1:13" ht="57.95" customHeight="1">
      <c r="A3" s="39" t="s">
        <v>247</v>
      </c>
      <c r="B3" s="1637" t="s">
        <v>1976</v>
      </c>
      <c r="C3" s="1637"/>
      <c r="D3" s="41" t="s">
        <v>249</v>
      </c>
      <c r="E3" s="40">
        <v>25000</v>
      </c>
      <c r="F3" s="40" t="s">
        <v>1706</v>
      </c>
      <c r="G3" s="103" t="s">
        <v>1977</v>
      </c>
      <c r="H3" s="271"/>
      <c r="I3" s="531" t="s">
        <v>243</v>
      </c>
      <c r="J3" s="1866" t="s">
        <v>421</v>
      </c>
      <c r="K3" s="1675"/>
      <c r="L3" s="1131" t="s">
        <v>245</v>
      </c>
      <c r="M3" s="59" t="s">
        <v>1978</v>
      </c>
    </row>
    <row r="4" spans="1:13" ht="72" customHeight="1">
      <c r="A4" s="1127" t="s">
        <v>260</v>
      </c>
      <c r="B4" s="1764" t="s">
        <v>1979</v>
      </c>
      <c r="C4" s="1764"/>
      <c r="D4" s="1764"/>
      <c r="E4" s="1764"/>
      <c r="F4" s="1764"/>
      <c r="G4" s="1896"/>
      <c r="H4" s="1906"/>
      <c r="I4" s="1907"/>
      <c r="J4" s="91" t="s">
        <v>253</v>
      </c>
      <c r="K4" s="1133"/>
      <c r="L4" s="15" t="s">
        <v>1469</v>
      </c>
      <c r="M4" s="92" t="s">
        <v>1980</v>
      </c>
    </row>
    <row r="5" spans="1:13" ht="69.95" customHeight="1">
      <c r="A5" s="39" t="s">
        <v>258</v>
      </c>
      <c r="B5" s="1890"/>
      <c r="C5" s="1891"/>
      <c r="D5" s="1908"/>
      <c r="E5" s="1909"/>
      <c r="F5" s="1909"/>
      <c r="G5" s="1786" t="s">
        <v>1793</v>
      </c>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42767</v>
      </c>
      <c r="B7" s="412">
        <f>107</f>
        <v>107</v>
      </c>
      <c r="C7" s="412">
        <v>37626</v>
      </c>
      <c r="D7" s="412">
        <f>B7</f>
        <v>107</v>
      </c>
      <c r="E7" s="412">
        <f>C7</f>
        <v>37626</v>
      </c>
      <c r="F7" s="412"/>
      <c r="G7" s="412">
        <f t="shared" ref="G7:G13" si="0">C7</f>
        <v>37626</v>
      </c>
      <c r="H7" s="412"/>
      <c r="I7" s="412"/>
      <c r="J7" s="412"/>
      <c r="K7" s="412"/>
      <c r="L7" s="412">
        <f t="shared" ref="L7:L13" si="1">E7-J7</f>
        <v>37626</v>
      </c>
      <c r="M7" s="682"/>
    </row>
    <row r="8" spans="1:13" ht="27.95" customHeight="1">
      <c r="A8" s="324">
        <v>42795</v>
      </c>
      <c r="B8" s="412">
        <v>4808</v>
      </c>
      <c r="C8" s="412">
        <v>1595137</v>
      </c>
      <c r="D8" s="412">
        <f t="shared" ref="D8:D13" si="2">D7+B8</f>
        <v>4915</v>
      </c>
      <c r="E8" s="412">
        <f t="shared" ref="E8:E13" si="3">E7+C8</f>
        <v>1632763</v>
      </c>
      <c r="F8" s="412"/>
      <c r="G8" s="412">
        <f t="shared" si="0"/>
        <v>1595137</v>
      </c>
      <c r="H8" s="412"/>
      <c r="I8" s="412"/>
      <c r="J8" s="412"/>
      <c r="K8" s="412">
        <f t="shared" ref="K8:K14" si="4">K7+H8-I8</f>
        <v>0</v>
      </c>
      <c r="L8" s="412">
        <f t="shared" si="1"/>
        <v>1632763</v>
      </c>
      <c r="M8" s="682"/>
    </row>
    <row r="9" spans="1:13" ht="27.95" customHeight="1">
      <c r="A9" s="324">
        <v>42826</v>
      </c>
      <c r="B9" s="412">
        <v>3079</v>
      </c>
      <c r="C9" s="412">
        <v>945865</v>
      </c>
      <c r="D9" s="412">
        <f t="shared" si="2"/>
        <v>7994</v>
      </c>
      <c r="E9" s="412">
        <f t="shared" si="3"/>
        <v>2578628</v>
      </c>
      <c r="F9" s="412"/>
      <c r="G9" s="412">
        <f t="shared" si="0"/>
        <v>945865</v>
      </c>
      <c r="H9" s="412">
        <f t="shared" ref="H9:H14" si="5">C7</f>
        <v>37626</v>
      </c>
      <c r="I9" s="412"/>
      <c r="J9" s="412"/>
      <c r="K9" s="412">
        <f t="shared" si="4"/>
        <v>37626</v>
      </c>
      <c r="L9" s="412">
        <f t="shared" si="1"/>
        <v>2578628</v>
      </c>
      <c r="M9" s="682"/>
    </row>
    <row r="10" spans="1:13" ht="27.95" customHeight="1">
      <c r="A10" s="324">
        <v>42856</v>
      </c>
      <c r="B10" s="412">
        <v>2864.5</v>
      </c>
      <c r="C10" s="412">
        <v>871239</v>
      </c>
      <c r="D10" s="412">
        <f t="shared" si="2"/>
        <v>10858.5</v>
      </c>
      <c r="E10" s="412">
        <f t="shared" si="3"/>
        <v>3449867</v>
      </c>
      <c r="F10" s="412"/>
      <c r="G10" s="412">
        <f t="shared" si="0"/>
        <v>871239</v>
      </c>
      <c r="H10" s="412">
        <f t="shared" si="5"/>
        <v>1595137</v>
      </c>
      <c r="I10" s="412"/>
      <c r="J10" s="412">
        <f>I10</f>
        <v>0</v>
      </c>
      <c r="K10" s="412">
        <f t="shared" si="4"/>
        <v>1632763</v>
      </c>
      <c r="L10" s="412">
        <f t="shared" si="1"/>
        <v>3449867</v>
      </c>
      <c r="M10" s="682" t="s">
        <v>1981</v>
      </c>
    </row>
    <row r="11" spans="1:13" ht="27.95" customHeight="1">
      <c r="A11" s="324">
        <v>42887</v>
      </c>
      <c r="B11" s="412">
        <v>2023</v>
      </c>
      <c r="C11" s="412">
        <v>604027</v>
      </c>
      <c r="D11" s="412">
        <f t="shared" si="2"/>
        <v>12881.5</v>
      </c>
      <c r="E11" s="412">
        <f t="shared" si="3"/>
        <v>4053894</v>
      </c>
      <c r="F11" s="412"/>
      <c r="G11" s="412">
        <f t="shared" si="0"/>
        <v>604027</v>
      </c>
      <c r="H11" s="412">
        <f t="shared" si="5"/>
        <v>945865</v>
      </c>
      <c r="I11" s="412">
        <f>1632763+945865</f>
        <v>2578628</v>
      </c>
      <c r="J11" s="412">
        <f>I11</f>
        <v>2578628</v>
      </c>
      <c r="K11" s="412">
        <f t="shared" si="4"/>
        <v>0</v>
      </c>
      <c r="L11" s="412">
        <f t="shared" si="1"/>
        <v>1475266</v>
      </c>
      <c r="M11" s="682"/>
    </row>
    <row r="12" spans="1:13" ht="27.95" customHeight="1">
      <c r="A12" s="324">
        <v>42917</v>
      </c>
      <c r="B12" s="412">
        <v>488</v>
      </c>
      <c r="C12" s="412">
        <v>145419</v>
      </c>
      <c r="D12" s="412">
        <f t="shared" si="2"/>
        <v>13369.5</v>
      </c>
      <c r="E12" s="412">
        <f t="shared" si="3"/>
        <v>4199313</v>
      </c>
      <c r="F12" s="412"/>
      <c r="G12" s="412">
        <f t="shared" si="0"/>
        <v>145419</v>
      </c>
      <c r="H12" s="412">
        <f t="shared" si="5"/>
        <v>871239</v>
      </c>
      <c r="I12" s="412">
        <v>871239</v>
      </c>
      <c r="J12" s="412">
        <f>I12+J11</f>
        <v>3449867</v>
      </c>
      <c r="K12" s="412">
        <f t="shared" si="4"/>
        <v>0</v>
      </c>
      <c r="L12" s="412">
        <f t="shared" si="1"/>
        <v>749446</v>
      </c>
      <c r="M12" s="682" t="s">
        <v>1982</v>
      </c>
    </row>
    <row r="13" spans="1:13" ht="27.95" customHeight="1">
      <c r="A13" s="324">
        <v>42948</v>
      </c>
      <c r="B13" s="412">
        <v>256</v>
      </c>
      <c r="C13" s="412">
        <v>76895.5</v>
      </c>
      <c r="D13" s="412">
        <f t="shared" si="2"/>
        <v>13625.5</v>
      </c>
      <c r="E13" s="412">
        <f t="shared" si="3"/>
        <v>4276208.5</v>
      </c>
      <c r="F13" s="412"/>
      <c r="G13" s="412">
        <f t="shared" si="0"/>
        <v>76895.5</v>
      </c>
      <c r="H13" s="412">
        <f t="shared" si="5"/>
        <v>604027</v>
      </c>
      <c r="I13" s="412"/>
      <c r="J13" s="412">
        <f>I13+J12</f>
        <v>3449867</v>
      </c>
      <c r="K13" s="412">
        <f t="shared" si="4"/>
        <v>604027</v>
      </c>
      <c r="L13" s="412">
        <f t="shared" si="1"/>
        <v>826341.5</v>
      </c>
      <c r="M13" s="682"/>
    </row>
    <row r="14" spans="1:13" ht="27.95" customHeight="1">
      <c r="A14" s="324"/>
      <c r="B14" s="412"/>
      <c r="C14" s="412"/>
      <c r="D14" s="412"/>
      <c r="E14" s="412"/>
      <c r="F14" s="412"/>
      <c r="G14" s="412"/>
      <c r="H14" s="412">
        <f t="shared" si="5"/>
        <v>145419</v>
      </c>
      <c r="I14" s="412"/>
      <c r="J14" s="412"/>
      <c r="K14" s="412">
        <f t="shared" si="4"/>
        <v>749446</v>
      </c>
      <c r="L14" s="412"/>
      <c r="M14" s="682"/>
    </row>
    <row r="15" spans="1:13" ht="27.95" customHeight="1">
      <c r="A15" s="324"/>
      <c r="B15" s="412"/>
      <c r="C15" s="412"/>
      <c r="D15" s="412"/>
      <c r="E15" s="412"/>
      <c r="F15" s="412"/>
      <c r="G15" s="412"/>
      <c r="H15" s="412"/>
      <c r="I15" s="412"/>
      <c r="J15" s="412"/>
      <c r="K15" s="412"/>
      <c r="L15" s="412"/>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1139"/>
      <c r="I17" s="412"/>
      <c r="J17" s="412"/>
      <c r="K17" s="412"/>
      <c r="L17" s="412"/>
      <c r="M17" s="682"/>
    </row>
    <row r="19" spans="1:13">
      <c r="H19" s="994"/>
    </row>
  </sheetData>
  <mergeCells count="12">
    <mergeCell ref="B4:F4"/>
    <mergeCell ref="G4:I4"/>
    <mergeCell ref="B5:C5"/>
    <mergeCell ref="D5:F5"/>
    <mergeCell ref="G5:J5"/>
    <mergeCell ref="I1:K1"/>
    <mergeCell ref="L1:M1"/>
    <mergeCell ref="B2:C2"/>
    <mergeCell ref="E2:F2"/>
    <mergeCell ref="I2:M2"/>
    <mergeCell ref="B3:C3"/>
    <mergeCell ref="J3:K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5"/>
  <sheetViews>
    <sheetView topLeftCell="A7"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1983</v>
      </c>
      <c r="D1" s="1124"/>
      <c r="E1" s="38" t="s">
        <v>236</v>
      </c>
      <c r="F1" s="1138"/>
      <c r="G1" s="1138" t="s">
        <v>1984</v>
      </c>
      <c r="H1" s="1126" t="s">
        <v>237</v>
      </c>
      <c r="I1" s="1633" t="s">
        <v>1985</v>
      </c>
      <c r="J1" s="1633"/>
      <c r="K1" s="1633"/>
      <c r="L1" s="1904" t="s">
        <v>1986</v>
      </c>
      <c r="M1" s="1812"/>
    </row>
    <row r="2" spans="1:13" ht="50.1" customHeight="1">
      <c r="A2" s="39" t="s">
        <v>240</v>
      </c>
      <c r="B2" s="1637" t="s">
        <v>1723</v>
      </c>
      <c r="C2" s="1637"/>
      <c r="D2" s="41" t="s">
        <v>242</v>
      </c>
      <c r="E2" s="1832"/>
      <c r="F2" s="1833"/>
      <c r="G2" s="40"/>
      <c r="H2" s="40" t="s">
        <v>425</v>
      </c>
      <c r="I2" s="1921" t="s">
        <v>1987</v>
      </c>
      <c r="J2" s="1922"/>
      <c r="K2" s="1922"/>
      <c r="L2" s="1922"/>
      <c r="M2" s="1923"/>
    </row>
    <row r="3" spans="1:13" ht="57.95" customHeight="1">
      <c r="A3" s="39" t="s">
        <v>247</v>
      </c>
      <c r="B3" s="1637" t="s">
        <v>1988</v>
      </c>
      <c r="C3" s="1637"/>
      <c r="D3" s="41" t="s">
        <v>249</v>
      </c>
      <c r="E3" s="40" t="s">
        <v>1662</v>
      </c>
      <c r="F3" s="40" t="s">
        <v>1706</v>
      </c>
      <c r="G3" s="103" t="s">
        <v>1989</v>
      </c>
      <c r="H3" s="271"/>
      <c r="I3" s="531" t="s">
        <v>243</v>
      </c>
      <c r="J3" s="1866" t="s">
        <v>421</v>
      </c>
      <c r="K3" s="1675"/>
      <c r="L3" s="1131" t="s">
        <v>245</v>
      </c>
      <c r="M3" s="59" t="s">
        <v>1990</v>
      </c>
    </row>
    <row r="4" spans="1:13" ht="72" customHeight="1">
      <c r="A4" s="1127" t="s">
        <v>260</v>
      </c>
      <c r="B4" s="1764" t="s">
        <v>1991</v>
      </c>
      <c r="C4" s="1764"/>
      <c r="D4" s="1764"/>
      <c r="E4" s="1764"/>
      <c r="F4" s="1764"/>
      <c r="G4" s="1896"/>
      <c r="H4" s="1906"/>
      <c r="I4" s="1907"/>
      <c r="J4" s="91" t="s">
        <v>253</v>
      </c>
      <c r="K4" s="1133" t="s">
        <v>1992</v>
      </c>
      <c r="L4" s="15" t="s">
        <v>1469</v>
      </c>
      <c r="M4" s="92" t="s">
        <v>1993</v>
      </c>
    </row>
    <row r="5" spans="1:13" ht="69.95" customHeight="1">
      <c r="A5" s="39" t="s">
        <v>258</v>
      </c>
      <c r="B5" s="1890"/>
      <c r="C5" s="1891"/>
      <c r="D5" s="1908"/>
      <c r="E5" s="1909"/>
      <c r="F5" s="1909"/>
      <c r="G5" s="1786" t="s">
        <v>1793</v>
      </c>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42826</v>
      </c>
      <c r="B7" s="412">
        <v>5611</v>
      </c>
      <c r="C7" s="412">
        <v>1610400</v>
      </c>
      <c r="D7" s="412">
        <f>B7</f>
        <v>5611</v>
      </c>
      <c r="E7" s="412">
        <f>C7</f>
        <v>1610400</v>
      </c>
      <c r="F7" s="412"/>
      <c r="G7" s="412">
        <f>C7</f>
        <v>1610400</v>
      </c>
      <c r="H7" s="412"/>
      <c r="I7" s="412"/>
      <c r="J7" s="412"/>
      <c r="K7" s="412"/>
      <c r="L7" s="412">
        <f>E7-J7</f>
        <v>1610400</v>
      </c>
      <c r="M7" s="682"/>
    </row>
    <row r="8" spans="1:13" ht="27.95" customHeight="1">
      <c r="A8" s="324">
        <v>42856</v>
      </c>
      <c r="B8" s="412">
        <v>3239.5</v>
      </c>
      <c r="C8" s="412">
        <v>924485</v>
      </c>
      <c r="D8" s="412">
        <f t="shared" ref="D8:E11" si="0">D7+B8</f>
        <v>8850.5</v>
      </c>
      <c r="E8" s="412">
        <f t="shared" si="0"/>
        <v>2534885</v>
      </c>
      <c r="F8" s="412"/>
      <c r="G8" s="412">
        <f>C8</f>
        <v>924485</v>
      </c>
      <c r="H8" s="412"/>
      <c r="I8" s="412"/>
      <c r="J8" s="412"/>
      <c r="K8" s="412">
        <f>K7+H8-I8</f>
        <v>0</v>
      </c>
      <c r="L8" s="412">
        <f>E8-J8</f>
        <v>2534885</v>
      </c>
      <c r="M8" s="682" t="s">
        <v>1994</v>
      </c>
    </row>
    <row r="9" spans="1:13" ht="27.95" customHeight="1">
      <c r="A9" s="324">
        <v>42887</v>
      </c>
      <c r="B9" s="412">
        <v>4193</v>
      </c>
      <c r="C9" s="412">
        <v>1198215</v>
      </c>
      <c r="D9" s="412">
        <f t="shared" si="0"/>
        <v>13043.5</v>
      </c>
      <c r="E9" s="412">
        <f t="shared" si="0"/>
        <v>3733100</v>
      </c>
      <c r="F9" s="412"/>
      <c r="G9" s="412">
        <f>C9</f>
        <v>1198215</v>
      </c>
      <c r="H9" s="412">
        <f>C7</f>
        <v>1610400</v>
      </c>
      <c r="I9" s="412">
        <f>610400+1000000</f>
        <v>1610400</v>
      </c>
      <c r="J9" s="412">
        <f>I9</f>
        <v>1610400</v>
      </c>
      <c r="K9" s="412">
        <f>K8+H9-I9</f>
        <v>0</v>
      </c>
      <c r="L9" s="412">
        <f>E9-J9</f>
        <v>2122700</v>
      </c>
      <c r="M9" s="682"/>
    </row>
    <row r="10" spans="1:13" ht="27.95" customHeight="1">
      <c r="A10" s="324">
        <v>42917</v>
      </c>
      <c r="B10" s="412">
        <v>2661.5</v>
      </c>
      <c r="C10" s="412">
        <v>765452.5</v>
      </c>
      <c r="D10" s="412">
        <f t="shared" si="0"/>
        <v>15705</v>
      </c>
      <c r="E10" s="412">
        <f t="shared" si="0"/>
        <v>4498552.5</v>
      </c>
      <c r="F10" s="412"/>
      <c r="G10" s="412">
        <f>C10</f>
        <v>765452.5</v>
      </c>
      <c r="H10" s="412">
        <f>C8</f>
        <v>924485</v>
      </c>
      <c r="I10" s="412">
        <v>924485</v>
      </c>
      <c r="J10" s="412">
        <f>J9+I10</f>
        <v>2534885</v>
      </c>
      <c r="K10" s="412">
        <f>K9+H10-I10</f>
        <v>0</v>
      </c>
      <c r="L10" s="412">
        <f>E10-J10</f>
        <v>1963667.5</v>
      </c>
      <c r="M10" s="682" t="s">
        <v>1995</v>
      </c>
    </row>
    <row r="11" spans="1:13" ht="27.95" customHeight="1">
      <c r="A11" s="324">
        <v>42948</v>
      </c>
      <c r="B11" s="412">
        <v>1777</v>
      </c>
      <c r="C11" s="412">
        <v>521851.5</v>
      </c>
      <c r="D11" s="412">
        <f t="shared" si="0"/>
        <v>17482</v>
      </c>
      <c r="E11" s="412">
        <f t="shared" si="0"/>
        <v>5020404</v>
      </c>
      <c r="F11" s="412"/>
      <c r="G11" s="412">
        <f>C11</f>
        <v>521851.5</v>
      </c>
      <c r="H11" s="412">
        <f>C9</f>
        <v>1198215</v>
      </c>
      <c r="I11" s="412">
        <v>600000</v>
      </c>
      <c r="J11" s="412">
        <f>J10+I11</f>
        <v>3134885</v>
      </c>
      <c r="K11" s="412">
        <f>K10+H11-I11</f>
        <v>598215</v>
      </c>
      <c r="L11" s="412">
        <f>E11-J11</f>
        <v>1885519</v>
      </c>
      <c r="M11" s="682" t="s">
        <v>1996</v>
      </c>
    </row>
    <row r="12" spans="1:13" ht="27.95" customHeight="1">
      <c r="A12" s="324"/>
      <c r="B12" s="412"/>
      <c r="C12" s="412"/>
      <c r="D12" s="412"/>
      <c r="E12" s="412"/>
      <c r="F12" s="412"/>
      <c r="G12" s="412"/>
      <c r="H12" s="412">
        <f>C10</f>
        <v>765452.5</v>
      </c>
      <c r="I12" s="412"/>
      <c r="J12" s="412"/>
      <c r="K12" s="412">
        <f>K11+H12-I12</f>
        <v>1363667.5</v>
      </c>
      <c r="L12" s="412"/>
      <c r="M12" s="682"/>
    </row>
    <row r="13" spans="1:13" ht="27.95" customHeight="1">
      <c r="A13" s="324"/>
      <c r="B13" s="412"/>
      <c r="C13" s="412"/>
      <c r="D13" s="412"/>
      <c r="E13" s="412"/>
      <c r="F13" s="412"/>
      <c r="G13" s="412"/>
      <c r="H13" s="412"/>
      <c r="I13" s="412"/>
      <c r="J13" s="412"/>
      <c r="K13" s="412"/>
      <c r="L13" s="412"/>
      <c r="M13" s="682"/>
    </row>
    <row r="14" spans="1:13" ht="27.95" customHeight="1">
      <c r="A14" s="324"/>
      <c r="B14" s="412"/>
      <c r="C14" s="412"/>
      <c r="D14" s="412"/>
      <c r="E14" s="412"/>
      <c r="F14" s="412"/>
      <c r="G14" s="412"/>
      <c r="H14" s="412"/>
      <c r="I14" s="412"/>
      <c r="J14" s="412"/>
      <c r="K14" s="412"/>
      <c r="L14" s="412"/>
      <c r="M14" s="682"/>
    </row>
    <row r="15" spans="1:13" ht="27.95" customHeight="1">
      <c r="A15" s="324"/>
      <c r="B15" s="412"/>
      <c r="C15" s="412"/>
      <c r="D15" s="412"/>
      <c r="E15" s="412"/>
      <c r="F15" s="412"/>
      <c r="G15" s="412"/>
      <c r="H15" s="412"/>
      <c r="I15" s="412"/>
      <c r="J15" s="412"/>
      <c r="K15" s="412"/>
      <c r="L15" s="412"/>
      <c r="M15" s="682"/>
    </row>
  </sheetData>
  <mergeCells count="12">
    <mergeCell ref="B4:F4"/>
    <mergeCell ref="G4:I4"/>
    <mergeCell ref="B5:C5"/>
    <mergeCell ref="D5:F5"/>
    <mergeCell ref="G5:J5"/>
    <mergeCell ref="I1:K1"/>
    <mergeCell ref="L1:M1"/>
    <mergeCell ref="B2:C2"/>
    <mergeCell ref="E2:F2"/>
    <mergeCell ref="I2:M2"/>
    <mergeCell ref="B3:C3"/>
    <mergeCell ref="J3:K3"/>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7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opLeftCell="A10" zoomScaleSheetLayoutView="100" workbookViewId="0">
      <selection activeCell="A14" sqref="A14"/>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1997</v>
      </c>
      <c r="D1" s="1124"/>
      <c r="E1" s="38" t="s">
        <v>236</v>
      </c>
      <c r="F1" s="1893"/>
      <c r="G1" s="1790"/>
      <c r="H1" s="1126" t="s">
        <v>237</v>
      </c>
      <c r="I1" s="1633" t="s">
        <v>1998</v>
      </c>
      <c r="J1" s="1633"/>
      <c r="K1" s="1633"/>
      <c r="L1" s="1904" t="s">
        <v>1999</v>
      </c>
      <c r="M1" s="1812"/>
    </row>
    <row r="2" spans="1:13" ht="50.1" customHeight="1">
      <c r="A2" s="39" t="s">
        <v>240</v>
      </c>
      <c r="B2" s="1637" t="s">
        <v>2000</v>
      </c>
      <c r="C2" s="1637"/>
      <c r="D2" s="41" t="s">
        <v>242</v>
      </c>
      <c r="E2" s="1832"/>
      <c r="F2" s="1833"/>
      <c r="G2" s="40"/>
      <c r="H2" s="40" t="s">
        <v>425</v>
      </c>
      <c r="I2" s="1921" t="s">
        <v>2001</v>
      </c>
      <c r="J2" s="1922"/>
      <c r="K2" s="1922"/>
      <c r="L2" s="1922"/>
      <c r="M2" s="1923"/>
    </row>
    <row r="3" spans="1:13" ht="57.95" customHeight="1">
      <c r="A3" s="39" t="s">
        <v>247</v>
      </c>
      <c r="B3" s="1637" t="s">
        <v>2002</v>
      </c>
      <c r="C3" s="1637"/>
      <c r="D3" s="41" t="s">
        <v>249</v>
      </c>
      <c r="E3" s="40" t="s">
        <v>955</v>
      </c>
      <c r="F3" s="40" t="s">
        <v>1706</v>
      </c>
      <c r="G3" s="269" t="s">
        <v>2003</v>
      </c>
      <c r="H3" s="271">
        <v>18675854673</v>
      </c>
      <c r="I3" s="531" t="s">
        <v>243</v>
      </c>
      <c r="J3" s="1866" t="s">
        <v>421</v>
      </c>
      <c r="K3" s="1675"/>
      <c r="L3" s="1131" t="s">
        <v>245</v>
      </c>
      <c r="M3" s="1132" t="s">
        <v>536</v>
      </c>
    </row>
    <row r="4" spans="1:13" ht="72" customHeight="1">
      <c r="A4" s="1127" t="s">
        <v>260</v>
      </c>
      <c r="B4" s="1764" t="s">
        <v>2004</v>
      </c>
      <c r="C4" s="1764"/>
      <c r="D4" s="1764"/>
      <c r="E4" s="1764"/>
      <c r="F4" s="1764"/>
      <c r="G4" s="1896" t="s">
        <v>2005</v>
      </c>
      <c r="H4" s="1906"/>
      <c r="I4" s="1907"/>
      <c r="J4" s="91" t="s">
        <v>253</v>
      </c>
      <c r="K4" s="92" t="s">
        <v>2006</v>
      </c>
      <c r="L4" s="15" t="s">
        <v>1469</v>
      </c>
      <c r="M4" s="92" t="s">
        <v>2006</v>
      </c>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42794</v>
      </c>
      <c r="B7" s="412">
        <v>9</v>
      </c>
      <c r="C7" s="412">
        <v>2340</v>
      </c>
      <c r="D7" s="412">
        <f>B7</f>
        <v>9</v>
      </c>
      <c r="E7" s="412">
        <f>C7</f>
        <v>2340</v>
      </c>
      <c r="F7" s="412"/>
      <c r="G7" s="412">
        <f>E7</f>
        <v>2340</v>
      </c>
      <c r="H7" s="412"/>
      <c r="I7" s="412"/>
      <c r="J7" s="412"/>
      <c r="K7" s="412"/>
      <c r="L7" s="412">
        <f t="shared" ref="L7:L13" si="0">E7-J7</f>
        <v>2340</v>
      </c>
      <c r="M7" s="682"/>
    </row>
    <row r="8" spans="1:13" ht="27.95" customHeight="1">
      <c r="A8" s="324">
        <v>42795</v>
      </c>
      <c r="B8" s="412">
        <v>68</v>
      </c>
      <c r="C8" s="412">
        <v>18345</v>
      </c>
      <c r="D8" s="412">
        <f t="shared" ref="D8:D13" si="1">D7+B8</f>
        <v>77</v>
      </c>
      <c r="E8" s="412">
        <f t="shared" ref="E8:E13" si="2">E7+C8</f>
        <v>20685</v>
      </c>
      <c r="F8" s="412"/>
      <c r="G8" s="412">
        <f t="shared" ref="G8:G13" si="3">C8</f>
        <v>18345</v>
      </c>
      <c r="H8" s="412"/>
      <c r="I8" s="412"/>
      <c r="J8" s="412"/>
      <c r="K8" s="412">
        <f t="shared" ref="K8:K14" si="4">K7+H8-I8</f>
        <v>0</v>
      </c>
      <c r="L8" s="412">
        <f t="shared" si="0"/>
        <v>20685</v>
      </c>
      <c r="M8" s="682"/>
    </row>
    <row r="9" spans="1:13" ht="27.95" customHeight="1">
      <c r="A9" s="324">
        <v>42826</v>
      </c>
      <c r="B9" s="412">
        <v>1030</v>
      </c>
      <c r="C9" s="412">
        <v>288000</v>
      </c>
      <c r="D9" s="412">
        <f t="shared" si="1"/>
        <v>1107</v>
      </c>
      <c r="E9" s="412">
        <f t="shared" si="2"/>
        <v>308685</v>
      </c>
      <c r="F9" s="412"/>
      <c r="G9" s="412">
        <f t="shared" si="3"/>
        <v>288000</v>
      </c>
      <c r="H9" s="412">
        <f t="shared" ref="H9:H14" si="5">C7</f>
        <v>2340</v>
      </c>
      <c r="I9" s="412"/>
      <c r="J9" s="412"/>
      <c r="K9" s="412">
        <f t="shared" si="4"/>
        <v>2340</v>
      </c>
      <c r="L9" s="412">
        <f t="shared" si="0"/>
        <v>308685</v>
      </c>
      <c r="M9" s="682"/>
    </row>
    <row r="10" spans="1:13" ht="27.95" customHeight="1">
      <c r="A10" s="324">
        <v>42856</v>
      </c>
      <c r="B10" s="412">
        <v>1158.5</v>
      </c>
      <c r="C10" s="412">
        <v>320927.5</v>
      </c>
      <c r="D10" s="412">
        <f t="shared" si="1"/>
        <v>2265.5</v>
      </c>
      <c r="E10" s="412">
        <f t="shared" si="2"/>
        <v>629612.5</v>
      </c>
      <c r="F10" s="412"/>
      <c r="G10" s="412">
        <f t="shared" si="3"/>
        <v>320927.5</v>
      </c>
      <c r="H10" s="412">
        <f t="shared" si="5"/>
        <v>18345</v>
      </c>
      <c r="I10" s="412"/>
      <c r="J10" s="412"/>
      <c r="K10" s="412">
        <f t="shared" si="4"/>
        <v>20685</v>
      </c>
      <c r="L10" s="412">
        <f t="shared" si="0"/>
        <v>629612.5</v>
      </c>
      <c r="M10" s="682"/>
    </row>
    <row r="11" spans="1:13" ht="27.95" customHeight="1">
      <c r="A11" s="324">
        <v>42887</v>
      </c>
      <c r="B11" s="412">
        <v>1645</v>
      </c>
      <c r="C11" s="412">
        <v>491830.5</v>
      </c>
      <c r="D11" s="412">
        <f t="shared" si="1"/>
        <v>3910.5</v>
      </c>
      <c r="E11" s="412">
        <f t="shared" si="2"/>
        <v>1121443</v>
      </c>
      <c r="F11" s="412"/>
      <c r="G11" s="412">
        <f t="shared" si="3"/>
        <v>491830.5</v>
      </c>
      <c r="H11" s="412">
        <f t="shared" si="5"/>
        <v>288000</v>
      </c>
      <c r="I11" s="412"/>
      <c r="J11" s="412"/>
      <c r="K11" s="412">
        <f t="shared" si="4"/>
        <v>308685</v>
      </c>
      <c r="L11" s="412">
        <f t="shared" si="0"/>
        <v>1121443</v>
      </c>
      <c r="M11" s="682"/>
    </row>
    <row r="12" spans="1:13" ht="27.95" customHeight="1">
      <c r="A12" s="324">
        <v>42917</v>
      </c>
      <c r="B12" s="412">
        <v>760.5</v>
      </c>
      <c r="C12" s="412">
        <v>228170</v>
      </c>
      <c r="D12" s="412">
        <f t="shared" si="1"/>
        <v>4671</v>
      </c>
      <c r="E12" s="412">
        <f t="shared" si="2"/>
        <v>1349613</v>
      </c>
      <c r="F12" s="412"/>
      <c r="G12" s="412">
        <f t="shared" si="3"/>
        <v>228170</v>
      </c>
      <c r="H12" s="412">
        <f t="shared" si="5"/>
        <v>320927.5</v>
      </c>
      <c r="I12" s="412"/>
      <c r="J12" s="412"/>
      <c r="K12" s="412">
        <f t="shared" si="4"/>
        <v>629612.5</v>
      </c>
      <c r="L12" s="412">
        <f t="shared" si="0"/>
        <v>1349613</v>
      </c>
      <c r="M12" s="682" t="s">
        <v>2007</v>
      </c>
    </row>
    <row r="13" spans="1:13" ht="27.95" customHeight="1">
      <c r="A13" s="324">
        <v>42948</v>
      </c>
      <c r="B13" s="412">
        <v>358</v>
      </c>
      <c r="C13" s="412">
        <v>100465</v>
      </c>
      <c r="D13" s="412">
        <f t="shared" si="1"/>
        <v>5029</v>
      </c>
      <c r="E13" s="412">
        <f t="shared" si="2"/>
        <v>1450078</v>
      </c>
      <c r="F13" s="412"/>
      <c r="G13" s="412">
        <f t="shared" si="3"/>
        <v>100465</v>
      </c>
      <c r="H13" s="412">
        <f t="shared" si="5"/>
        <v>491830.5</v>
      </c>
      <c r="I13" s="412">
        <f>308685+320927.5</f>
        <v>629612.5</v>
      </c>
      <c r="J13" s="412">
        <f>I13</f>
        <v>629612.5</v>
      </c>
      <c r="K13" s="412">
        <f t="shared" si="4"/>
        <v>491830.5</v>
      </c>
      <c r="L13" s="412">
        <f t="shared" si="0"/>
        <v>820465.5</v>
      </c>
      <c r="M13" s="682" t="s">
        <v>2008</v>
      </c>
    </row>
    <row r="14" spans="1:13" ht="27.95" customHeight="1">
      <c r="A14" s="324"/>
      <c r="B14" s="412"/>
      <c r="C14" s="412"/>
      <c r="D14" s="412"/>
      <c r="E14" s="412"/>
      <c r="F14" s="412"/>
      <c r="G14" s="412"/>
      <c r="H14" s="412">
        <f t="shared" si="5"/>
        <v>228170</v>
      </c>
      <c r="I14" s="412"/>
      <c r="J14" s="412"/>
      <c r="K14" s="412">
        <f t="shared" si="4"/>
        <v>720000.5</v>
      </c>
      <c r="L14" s="412"/>
      <c r="M14" s="682"/>
    </row>
    <row r="15" spans="1:13" ht="27.95" customHeight="1">
      <c r="A15" s="324"/>
      <c r="B15" s="412"/>
      <c r="C15" s="412"/>
      <c r="D15" s="412"/>
      <c r="E15" s="412"/>
      <c r="F15" s="412"/>
      <c r="G15" s="412"/>
      <c r="H15" s="412"/>
      <c r="I15" s="412"/>
      <c r="J15" s="412"/>
      <c r="K15" s="412"/>
      <c r="L15" s="412"/>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3"/>
  <sheetViews>
    <sheetView topLeftCell="A7" zoomScaleSheetLayoutView="100" workbookViewId="0">
      <selection activeCell="A10" sqref="A10"/>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1719</v>
      </c>
      <c r="D1" s="1124"/>
      <c r="E1" s="38" t="s">
        <v>236</v>
      </c>
      <c r="F1" s="1893"/>
      <c r="G1" s="1790"/>
      <c r="H1" s="1126" t="s">
        <v>237</v>
      </c>
      <c r="I1" s="1633"/>
      <c r="J1" s="1633"/>
      <c r="K1" s="1633"/>
      <c r="L1" s="1904"/>
      <c r="M1" s="1812"/>
    </row>
    <row r="2" spans="1:13" ht="50.1" customHeight="1">
      <c r="A2" s="39" t="s">
        <v>240</v>
      </c>
      <c r="B2" s="1637" t="s">
        <v>896</v>
      </c>
      <c r="C2" s="1637"/>
      <c r="D2" s="41" t="s">
        <v>242</v>
      </c>
      <c r="E2" s="1832"/>
      <c r="F2" s="1833"/>
      <c r="G2" s="40"/>
      <c r="H2" s="40" t="s">
        <v>425</v>
      </c>
      <c r="I2" s="1921"/>
      <c r="J2" s="1922"/>
      <c r="K2" s="1922"/>
      <c r="L2" s="1922"/>
      <c r="M2" s="1923"/>
    </row>
    <row r="3" spans="1:13" ht="57.95" customHeight="1">
      <c r="A3" s="39" t="s">
        <v>247</v>
      </c>
      <c r="B3" s="1637" t="s">
        <v>2009</v>
      </c>
      <c r="C3" s="1637"/>
      <c r="D3" s="41" t="s">
        <v>249</v>
      </c>
      <c r="E3" s="40"/>
      <c r="F3" s="40" t="s">
        <v>1706</v>
      </c>
      <c r="G3" s="269"/>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42795</v>
      </c>
      <c r="B7" s="412">
        <v>34</v>
      </c>
      <c r="C7" s="412">
        <f>B7*280</f>
        <v>9520</v>
      </c>
      <c r="D7" s="412">
        <f>B7</f>
        <v>34</v>
      </c>
      <c r="E7" s="412">
        <f>C7</f>
        <v>9520</v>
      </c>
      <c r="F7" s="412"/>
      <c r="G7" s="412"/>
      <c r="H7" s="412"/>
      <c r="I7" s="412"/>
      <c r="J7" s="412"/>
      <c r="K7" s="412"/>
      <c r="L7" s="412">
        <f>E7-J7</f>
        <v>9520</v>
      </c>
      <c r="M7" s="682"/>
    </row>
    <row r="8" spans="1:13" ht="27.95" customHeight="1">
      <c r="A8" s="324">
        <v>42826</v>
      </c>
      <c r="B8" s="412">
        <v>25</v>
      </c>
      <c r="C8" s="412">
        <f>B8*280</f>
        <v>7000</v>
      </c>
      <c r="D8" s="412">
        <f>D7+B8</f>
        <v>59</v>
      </c>
      <c r="E8" s="412">
        <f>E7+C8</f>
        <v>16520</v>
      </c>
      <c r="F8" s="412"/>
      <c r="G8" s="412"/>
      <c r="H8" s="412">
        <f>C7</f>
        <v>9520</v>
      </c>
      <c r="I8" s="412"/>
      <c r="J8" s="412">
        <f>I8</f>
        <v>0</v>
      </c>
      <c r="K8" s="412"/>
      <c r="L8" s="412">
        <f>E8-J8</f>
        <v>16520</v>
      </c>
      <c r="M8" s="682" t="s">
        <v>2010</v>
      </c>
    </row>
    <row r="9" spans="1:13" ht="27.95" customHeight="1">
      <c r="A9" s="324">
        <v>42887</v>
      </c>
      <c r="B9" s="412"/>
      <c r="C9" s="412"/>
      <c r="D9" s="412">
        <f>D8+B9</f>
        <v>59</v>
      </c>
      <c r="E9" s="412">
        <f>E8+C9</f>
        <v>16520</v>
      </c>
      <c r="F9" s="412"/>
      <c r="G9" s="412"/>
      <c r="H9" s="412">
        <f>C8</f>
        <v>7000</v>
      </c>
      <c r="I9" s="412">
        <v>16520</v>
      </c>
      <c r="J9" s="412">
        <f>I9</f>
        <v>16520</v>
      </c>
      <c r="K9" s="412"/>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10"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2011</v>
      </c>
      <c r="D1" s="1124"/>
      <c r="E1" s="38" t="s">
        <v>236</v>
      </c>
      <c r="F1" s="1893"/>
      <c r="G1" s="1790"/>
      <c r="H1" s="1126" t="s">
        <v>237</v>
      </c>
      <c r="I1" s="1633" t="s">
        <v>2012</v>
      </c>
      <c r="J1" s="1633"/>
      <c r="K1" s="1633"/>
      <c r="L1" s="1904" t="s">
        <v>2013</v>
      </c>
      <c r="M1" s="1812"/>
    </row>
    <row r="2" spans="1:13" ht="50.1" customHeight="1">
      <c r="A2" s="39" t="s">
        <v>240</v>
      </c>
      <c r="B2" s="1637" t="s">
        <v>2014</v>
      </c>
      <c r="C2" s="1637"/>
      <c r="D2" s="41" t="s">
        <v>242</v>
      </c>
      <c r="E2" s="1832"/>
      <c r="F2" s="1833"/>
      <c r="G2" s="591" t="s">
        <v>2015</v>
      </c>
      <c r="H2" s="40" t="s">
        <v>425</v>
      </c>
      <c r="I2" s="1921" t="s">
        <v>1902</v>
      </c>
      <c r="J2" s="1922"/>
      <c r="K2" s="1922"/>
      <c r="L2" s="1922"/>
      <c r="M2" s="1923"/>
    </row>
    <row r="3" spans="1:13" ht="57.95" customHeight="1">
      <c r="A3" s="39" t="s">
        <v>247</v>
      </c>
      <c r="B3" s="1637" t="s">
        <v>2016</v>
      </c>
      <c r="C3" s="1637"/>
      <c r="D3" s="41" t="s">
        <v>249</v>
      </c>
      <c r="E3" s="40" t="s">
        <v>2017</v>
      </c>
      <c r="F3" s="40" t="s">
        <v>1706</v>
      </c>
      <c r="G3" s="269"/>
      <c r="H3" s="271"/>
      <c r="I3" s="531" t="s">
        <v>243</v>
      </c>
      <c r="J3" s="1866" t="s">
        <v>421</v>
      </c>
      <c r="K3" s="1675"/>
      <c r="L3" s="1131" t="s">
        <v>245</v>
      </c>
      <c r="M3" s="1132" t="s">
        <v>2018</v>
      </c>
    </row>
    <row r="4" spans="1:13" ht="72" customHeight="1">
      <c r="A4" s="1127" t="s">
        <v>260</v>
      </c>
      <c r="B4" s="1764" t="s">
        <v>2019</v>
      </c>
      <c r="C4" s="1764"/>
      <c r="D4" s="1764"/>
      <c r="E4" s="1764"/>
      <c r="F4" s="1764"/>
      <c r="G4" s="1896" t="s">
        <v>2020</v>
      </c>
      <c r="H4" s="1906"/>
      <c r="I4" s="1907"/>
      <c r="J4" s="91" t="s">
        <v>253</v>
      </c>
      <c r="K4" s="1133" t="s">
        <v>2021</v>
      </c>
      <c r="L4" s="15" t="s">
        <v>1469</v>
      </c>
      <c r="M4" s="92" t="s">
        <v>2021</v>
      </c>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42826</v>
      </c>
      <c r="B7" s="412">
        <v>7.5</v>
      </c>
      <c r="C7" s="412">
        <v>1822.5</v>
      </c>
      <c r="D7" s="412">
        <f>B7</f>
        <v>7.5</v>
      </c>
      <c r="E7" s="412">
        <f>C7</f>
        <v>1822.5</v>
      </c>
      <c r="F7" s="412"/>
      <c r="G7" s="412">
        <f>E7</f>
        <v>1822.5</v>
      </c>
      <c r="H7" s="412"/>
      <c r="I7" s="412"/>
      <c r="J7" s="412"/>
      <c r="K7" s="412"/>
      <c r="L7" s="412">
        <f>E7-J7</f>
        <v>1822.5</v>
      </c>
      <c r="M7" s="682"/>
    </row>
    <row r="8" spans="1:13" ht="27.95" customHeight="1">
      <c r="A8" s="324">
        <v>42856</v>
      </c>
      <c r="B8" s="412">
        <v>202</v>
      </c>
      <c r="C8" s="412">
        <v>55296</v>
      </c>
      <c r="D8" s="412">
        <f t="shared" ref="D8:E11" si="0">D7+B8</f>
        <v>209.5</v>
      </c>
      <c r="E8" s="412">
        <f t="shared" si="0"/>
        <v>57118.5</v>
      </c>
      <c r="F8" s="412"/>
      <c r="G8" s="412">
        <f>C8</f>
        <v>55296</v>
      </c>
      <c r="H8" s="412"/>
      <c r="I8" s="412"/>
      <c r="J8" s="412"/>
      <c r="K8" s="412">
        <f>K7+H8-I8</f>
        <v>0</v>
      </c>
      <c r="L8" s="412">
        <f>E8-J8</f>
        <v>57118.5</v>
      </c>
      <c r="M8" s="682"/>
    </row>
    <row r="9" spans="1:13" ht="27.95" customHeight="1">
      <c r="A9" s="324">
        <v>42887</v>
      </c>
      <c r="B9" s="412">
        <v>209.5</v>
      </c>
      <c r="C9" s="412">
        <v>57611</v>
      </c>
      <c r="D9" s="412">
        <f t="shared" si="0"/>
        <v>419</v>
      </c>
      <c r="E9" s="412">
        <f t="shared" si="0"/>
        <v>114729.5</v>
      </c>
      <c r="F9" s="412"/>
      <c r="G9" s="412">
        <f>C9</f>
        <v>57611</v>
      </c>
      <c r="H9" s="412">
        <f>C7</f>
        <v>1822.5</v>
      </c>
      <c r="I9" s="412"/>
      <c r="J9" s="412"/>
      <c r="K9" s="412">
        <f>K8+H9-I9</f>
        <v>1822.5</v>
      </c>
      <c r="L9" s="412">
        <f>E9-J9</f>
        <v>114729.5</v>
      </c>
      <c r="M9" s="682"/>
    </row>
    <row r="10" spans="1:13" ht="27.95" customHeight="1">
      <c r="A10" s="324">
        <v>42917</v>
      </c>
      <c r="B10" s="412">
        <v>225</v>
      </c>
      <c r="C10" s="412">
        <v>61425</v>
      </c>
      <c r="D10" s="412">
        <f t="shared" si="0"/>
        <v>644</v>
      </c>
      <c r="E10" s="412">
        <f t="shared" si="0"/>
        <v>176154.5</v>
      </c>
      <c r="F10" s="412"/>
      <c r="G10" s="412">
        <f>C10</f>
        <v>61425</v>
      </c>
      <c r="H10" s="412">
        <f>C8</f>
        <v>55296</v>
      </c>
      <c r="I10" s="412"/>
      <c r="J10" s="412"/>
      <c r="K10" s="412">
        <f>K9+H10-I10</f>
        <v>57118.5</v>
      </c>
      <c r="L10" s="412">
        <f>E10-J10</f>
        <v>176154.5</v>
      </c>
      <c r="M10" s="682"/>
    </row>
    <row r="11" spans="1:13" ht="27.95" customHeight="1">
      <c r="A11" s="324">
        <v>42948</v>
      </c>
      <c r="B11" s="412">
        <v>367</v>
      </c>
      <c r="C11" s="412">
        <v>100191</v>
      </c>
      <c r="D11" s="412">
        <f t="shared" si="0"/>
        <v>1011</v>
      </c>
      <c r="E11" s="412">
        <f t="shared" si="0"/>
        <v>276345.5</v>
      </c>
      <c r="F11" s="412"/>
      <c r="G11" s="412">
        <f>C11</f>
        <v>100191</v>
      </c>
      <c r="H11" s="412">
        <f>C9</f>
        <v>57611</v>
      </c>
      <c r="I11" s="412"/>
      <c r="J11" s="412"/>
      <c r="K11" s="412">
        <f>K10+H11-I11</f>
        <v>114729.5</v>
      </c>
      <c r="L11" s="412">
        <f>E11-J11</f>
        <v>276345.5</v>
      </c>
      <c r="M11" s="682" t="s">
        <v>2022</v>
      </c>
    </row>
    <row r="12" spans="1:13" ht="27.95" customHeight="1">
      <c r="A12" s="324"/>
      <c r="B12" s="412"/>
      <c r="C12" s="412"/>
      <c r="D12" s="412"/>
      <c r="E12" s="412"/>
      <c r="F12" s="412"/>
      <c r="G12" s="412"/>
      <c r="H12" s="412">
        <f>C10</f>
        <v>61425</v>
      </c>
      <c r="I12" s="412"/>
      <c r="J12" s="412"/>
      <c r="K12" s="412">
        <f>K11+H12-I12</f>
        <v>176154.5</v>
      </c>
      <c r="L12" s="412"/>
      <c r="M12" s="682"/>
    </row>
    <row r="13" spans="1:13" ht="27.95" customHeight="1">
      <c r="A13" s="324"/>
      <c r="B13" s="412"/>
      <c r="C13" s="412"/>
      <c r="D13" s="412"/>
      <c r="E13" s="412"/>
      <c r="F13" s="412"/>
      <c r="G13" s="412"/>
      <c r="H13" s="412"/>
      <c r="I13" s="412"/>
      <c r="J13" s="412"/>
      <c r="K13" s="412"/>
      <c r="L13" s="412"/>
      <c r="M13" s="682"/>
    </row>
    <row r="14" spans="1:13" ht="27.95" customHeight="1">
      <c r="A14" s="324"/>
      <c r="B14" s="412"/>
      <c r="C14" s="412"/>
      <c r="D14" s="412"/>
      <c r="E14" s="412"/>
      <c r="F14" s="412"/>
      <c r="G14" s="412"/>
      <c r="H14" s="412"/>
      <c r="I14" s="412"/>
      <c r="J14" s="412"/>
      <c r="K14" s="412"/>
      <c r="L14" s="412"/>
      <c r="M14" s="682"/>
    </row>
    <row r="15" spans="1:13" ht="27.95" customHeight="1">
      <c r="A15" s="324"/>
      <c r="B15" s="412"/>
      <c r="C15" s="412"/>
      <c r="D15" s="412"/>
      <c r="E15" s="412"/>
      <c r="F15" s="412"/>
      <c r="G15" s="412"/>
      <c r="H15" s="412"/>
      <c r="I15" s="412"/>
      <c r="J15" s="412"/>
      <c r="K15" s="412"/>
      <c r="L15" s="412"/>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13"/>
  <sheetViews>
    <sheetView topLeftCell="A7" zoomScaleSheetLayoutView="100" workbookViewId="0">
      <selection activeCell="A10" sqref="A10"/>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1605</v>
      </c>
      <c r="D1" s="1124"/>
      <c r="E1" s="38" t="s">
        <v>236</v>
      </c>
      <c r="F1" s="1893"/>
      <c r="G1" s="1790"/>
      <c r="H1" s="1126" t="s">
        <v>237</v>
      </c>
      <c r="I1" s="1633"/>
      <c r="J1" s="1633"/>
      <c r="K1" s="1633"/>
      <c r="L1" s="1904"/>
      <c r="M1" s="1812"/>
    </row>
    <row r="2" spans="1:13" ht="50.1" customHeight="1">
      <c r="A2" s="39" t="s">
        <v>240</v>
      </c>
      <c r="B2" s="1637"/>
      <c r="C2" s="1637"/>
      <c r="D2" s="41" t="s">
        <v>242</v>
      </c>
      <c r="E2" s="1832"/>
      <c r="F2" s="1833"/>
      <c r="G2" s="40"/>
      <c r="H2" s="40" t="s">
        <v>425</v>
      </c>
      <c r="I2" s="1921"/>
      <c r="J2" s="1922"/>
      <c r="K2" s="1922"/>
      <c r="L2" s="1922"/>
      <c r="M2" s="1923"/>
    </row>
    <row r="3" spans="1:13" ht="57.95" customHeight="1">
      <c r="A3" s="39" t="s">
        <v>247</v>
      </c>
      <c r="B3" s="1637" t="s">
        <v>2023</v>
      </c>
      <c r="C3" s="1637"/>
      <c r="D3" s="41" t="s">
        <v>249</v>
      </c>
      <c r="E3" s="40"/>
      <c r="F3" s="40" t="s">
        <v>1706</v>
      </c>
      <c r="G3" s="269"/>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42795</v>
      </c>
      <c r="B7" s="412">
        <v>24</v>
      </c>
      <c r="C7" s="412">
        <v>6960</v>
      </c>
      <c r="D7" s="412">
        <f>B7</f>
        <v>24</v>
      </c>
      <c r="E7" s="412">
        <f>C7</f>
        <v>6960</v>
      </c>
      <c r="F7" s="412"/>
      <c r="G7" s="412"/>
      <c r="H7" s="412">
        <f>E7</f>
        <v>6960</v>
      </c>
      <c r="I7" s="412"/>
      <c r="J7" s="412"/>
      <c r="K7" s="412"/>
      <c r="L7" s="412">
        <f>E7-J7</f>
        <v>6960</v>
      </c>
      <c r="M7" s="682"/>
    </row>
    <row r="8" spans="1:13" ht="27.95" customHeight="1">
      <c r="A8" s="324">
        <v>42826</v>
      </c>
      <c r="B8" s="412">
        <v>0</v>
      </c>
      <c r="C8" s="412">
        <v>0</v>
      </c>
      <c r="D8" s="412">
        <f>D7+B8</f>
        <v>24</v>
      </c>
      <c r="E8" s="412">
        <f>E7+C8</f>
        <v>6960</v>
      </c>
      <c r="F8" s="412"/>
      <c r="G8" s="412"/>
      <c r="H8" s="412">
        <f>E8</f>
        <v>6960</v>
      </c>
      <c r="I8" s="412"/>
      <c r="J8" s="412"/>
      <c r="K8" s="412">
        <f>K7+H8-I8</f>
        <v>6960</v>
      </c>
      <c r="L8" s="412">
        <f>E8-J8</f>
        <v>6960</v>
      </c>
      <c r="M8" s="682"/>
    </row>
    <row r="9" spans="1:13" ht="27.95" customHeight="1">
      <c r="A9" s="324">
        <v>42887</v>
      </c>
      <c r="B9" s="412">
        <v>0</v>
      </c>
      <c r="C9" s="412">
        <v>0</v>
      </c>
      <c r="D9" s="412">
        <f>D8+B9</f>
        <v>24</v>
      </c>
      <c r="E9" s="412">
        <f>E8+C9</f>
        <v>6960</v>
      </c>
      <c r="F9" s="412"/>
      <c r="G9" s="412"/>
      <c r="H9" s="412">
        <f>E9</f>
        <v>6960</v>
      </c>
      <c r="I9" s="412">
        <v>6720</v>
      </c>
      <c r="J9" s="412">
        <f>I9</f>
        <v>6720</v>
      </c>
      <c r="K9" s="412">
        <f>K8</f>
        <v>6960</v>
      </c>
      <c r="L9" s="412">
        <f>E9-J9</f>
        <v>240</v>
      </c>
      <c r="M9" s="682" t="s">
        <v>2024</v>
      </c>
    </row>
    <row r="10" spans="1:13" ht="27.95" customHeight="1">
      <c r="A10" s="324"/>
      <c r="B10" s="412"/>
      <c r="C10" s="412"/>
      <c r="D10" s="412"/>
      <c r="E10" s="412"/>
      <c r="F10" s="412"/>
      <c r="G10" s="412"/>
      <c r="H10" s="412">
        <f>E10</f>
        <v>0</v>
      </c>
      <c r="I10" s="412"/>
      <c r="J10" s="412"/>
      <c r="K10" s="412">
        <f>K9</f>
        <v>6960</v>
      </c>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4" zoomScaleSheetLayoutView="100" workbookViewId="0">
      <selection activeCell="E21" sqref="E21"/>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1605</v>
      </c>
      <c r="D1" s="1124"/>
      <c r="E1" s="38" t="s">
        <v>236</v>
      </c>
      <c r="F1" s="1893"/>
      <c r="G1" s="1790"/>
      <c r="H1" s="1126" t="s">
        <v>237</v>
      </c>
      <c r="I1" s="1633"/>
      <c r="J1" s="1633"/>
      <c r="K1" s="1633"/>
      <c r="L1" s="1904"/>
      <c r="M1" s="1812"/>
    </row>
    <row r="2" spans="1:13" ht="50.1" customHeight="1">
      <c r="A2" s="39" t="s">
        <v>240</v>
      </c>
      <c r="B2" s="1637" t="s">
        <v>2025</v>
      </c>
      <c r="C2" s="1637"/>
      <c r="D2" s="41" t="s">
        <v>242</v>
      </c>
      <c r="E2" s="1832"/>
      <c r="F2" s="1833"/>
      <c r="G2" s="40"/>
      <c r="H2" s="40" t="s">
        <v>425</v>
      </c>
      <c r="I2" s="1921"/>
      <c r="J2" s="1922"/>
      <c r="K2" s="1922"/>
      <c r="L2" s="1922"/>
      <c r="M2" s="1923"/>
    </row>
    <row r="3" spans="1:13" ht="57.95" customHeight="1">
      <c r="A3" s="39" t="s">
        <v>247</v>
      </c>
      <c r="B3" s="1637" t="s">
        <v>2026</v>
      </c>
      <c r="C3" s="1637"/>
      <c r="D3" s="41" t="s">
        <v>249</v>
      </c>
      <c r="E3" s="40"/>
      <c r="F3" s="40" t="s">
        <v>1706</v>
      </c>
      <c r="G3" s="269"/>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42826</v>
      </c>
      <c r="B7" s="412">
        <v>489</v>
      </c>
      <c r="C7" s="412">
        <f>B7*280</f>
        <v>136920</v>
      </c>
      <c r="D7" s="412">
        <f>B7</f>
        <v>489</v>
      </c>
      <c r="E7" s="412">
        <f>C7</f>
        <v>136920</v>
      </c>
      <c r="F7" s="412"/>
      <c r="G7" s="412"/>
      <c r="H7" s="412"/>
      <c r="I7" s="412"/>
      <c r="J7" s="412"/>
      <c r="K7" s="412"/>
      <c r="L7" s="412">
        <f>E7-J7</f>
        <v>136920</v>
      </c>
      <c r="M7" s="682"/>
    </row>
    <row r="8" spans="1:13" ht="27.95" customHeight="1">
      <c r="A8" s="324">
        <v>42856</v>
      </c>
      <c r="B8" s="412">
        <v>10</v>
      </c>
      <c r="C8" s="412">
        <f>B8*280</f>
        <v>2800</v>
      </c>
      <c r="D8" s="412">
        <f>D7+B8</f>
        <v>499</v>
      </c>
      <c r="E8" s="412">
        <f>E7+C8</f>
        <v>139720</v>
      </c>
      <c r="F8" s="412"/>
      <c r="G8" s="412"/>
      <c r="H8" s="412">
        <f>C7</f>
        <v>136920</v>
      </c>
      <c r="I8" s="412"/>
      <c r="J8" s="412"/>
      <c r="K8" s="412">
        <f>K7+H8-I8</f>
        <v>136920</v>
      </c>
      <c r="L8" s="412">
        <f>E8-J8</f>
        <v>139720</v>
      </c>
      <c r="M8" s="682"/>
    </row>
    <row r="9" spans="1:13" ht="27.95" customHeight="1">
      <c r="A9" s="324"/>
      <c r="B9" s="412"/>
      <c r="C9" s="412"/>
      <c r="D9" s="412"/>
      <c r="E9" s="412"/>
      <c r="F9" s="412"/>
      <c r="G9" s="412"/>
      <c r="H9" s="412">
        <f>C8</f>
        <v>2800</v>
      </c>
      <c r="I9" s="412"/>
      <c r="J9" s="412"/>
      <c r="K9" s="412">
        <f>K8+H9-I9</f>
        <v>139720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7"/>
  <sheetViews>
    <sheetView topLeftCell="A13" zoomScaleSheetLayoutView="100" workbookViewId="0">
      <selection activeCell="B3" sqref="B3:C3"/>
    </sheetView>
  </sheetViews>
  <sheetFormatPr defaultColWidth="9" defaultRowHeight="14.25"/>
  <cols>
    <col min="1" max="1" width="13.5" customWidth="1"/>
    <col min="2" max="3" width="16.5" customWidth="1"/>
    <col min="4" max="5" width="14.25" customWidth="1"/>
    <col min="6" max="6" width="15.75" customWidth="1"/>
    <col min="7" max="7" width="14.875" customWidth="1"/>
    <col min="8" max="8" width="16.75" customWidth="1"/>
    <col min="9" max="9" width="13.5" customWidth="1"/>
    <col min="10" max="10" width="15.375" customWidth="1"/>
    <col min="11" max="11" width="14.75" customWidth="1"/>
    <col min="12" max="12" width="14.625" customWidth="1"/>
    <col min="13" max="13" width="33.25" customWidth="1"/>
  </cols>
  <sheetData>
    <row r="1" spans="1:13" ht="60" customHeight="1">
      <c r="A1" s="1032" t="s">
        <v>348</v>
      </c>
      <c r="B1" s="1033" t="s">
        <v>414</v>
      </c>
      <c r="C1" s="1405" t="s">
        <v>415</v>
      </c>
      <c r="D1" s="1175"/>
      <c r="E1" s="1034" t="s">
        <v>236</v>
      </c>
      <c r="F1" s="1406"/>
      <c r="G1" s="656" t="s">
        <v>351</v>
      </c>
      <c r="H1" s="1407" t="s">
        <v>416</v>
      </c>
      <c r="I1" s="1652" t="s">
        <v>237</v>
      </c>
      <c r="J1" s="1656" t="s">
        <v>417</v>
      </c>
      <c r="K1" s="1657"/>
      <c r="L1" s="1658"/>
      <c r="M1" s="1654" t="s">
        <v>418</v>
      </c>
    </row>
    <row r="2" spans="1:13" ht="60" customHeight="1">
      <c r="A2" s="39" t="s">
        <v>240</v>
      </c>
      <c r="B2" s="1637" t="s">
        <v>419</v>
      </c>
      <c r="C2" s="1637"/>
      <c r="D2" s="41" t="s">
        <v>242</v>
      </c>
      <c r="E2" s="1666" t="s">
        <v>420</v>
      </c>
      <c r="F2" s="1667"/>
      <c r="G2" s="41" t="s">
        <v>243</v>
      </c>
      <c r="H2" s="1408" t="s">
        <v>421</v>
      </c>
      <c r="I2" s="1653"/>
      <c r="J2" s="1659"/>
      <c r="K2" s="1660"/>
      <c r="L2" s="1661"/>
      <c r="M2" s="1655"/>
    </row>
    <row r="3" spans="1:13" ht="60" customHeight="1">
      <c r="A3" s="39" t="s">
        <v>247</v>
      </c>
      <c r="B3" s="1637" t="s">
        <v>422</v>
      </c>
      <c r="C3" s="1637"/>
      <c r="D3" s="41" t="s">
        <v>249</v>
      </c>
      <c r="E3" s="186" t="s">
        <v>423</v>
      </c>
      <c r="F3" s="41" t="s">
        <v>251</v>
      </c>
      <c r="G3" s="41" t="s">
        <v>424</v>
      </c>
      <c r="H3" s="41" t="s">
        <v>252</v>
      </c>
      <c r="I3" t="s">
        <v>425</v>
      </c>
      <c r="J3" s="1668" t="s">
        <v>426</v>
      </c>
      <c r="K3" s="1669"/>
      <c r="L3" s="1669"/>
      <c r="M3" s="1669"/>
    </row>
    <row r="4" spans="1:13" ht="60" customHeight="1">
      <c r="A4" s="39" t="s">
        <v>257</v>
      </c>
      <c r="B4" s="1637"/>
      <c r="C4" s="1637"/>
      <c r="D4" s="1637"/>
      <c r="E4" s="43" t="s">
        <v>258</v>
      </c>
      <c r="F4" s="1638"/>
      <c r="G4" s="1638"/>
      <c r="H4" s="1638"/>
      <c r="I4" s="1637"/>
      <c r="J4" s="1637"/>
      <c r="K4" s="15"/>
      <c r="L4" s="40" t="s">
        <v>360</v>
      </c>
      <c r="M4" s="105" t="s">
        <v>427</v>
      </c>
    </row>
    <row r="5" spans="1:13" ht="75.95" customHeight="1">
      <c r="A5" s="1036" t="s">
        <v>428</v>
      </c>
      <c r="B5" s="1665" t="s">
        <v>429</v>
      </c>
      <c r="C5" s="1665"/>
      <c r="D5" s="1665"/>
      <c r="E5" s="1633" t="s">
        <v>430</v>
      </c>
      <c r="F5" s="1633"/>
      <c r="G5" s="1633"/>
      <c r="H5" s="1633"/>
      <c r="I5" s="90"/>
      <c r="J5" s="91" t="s">
        <v>253</v>
      </c>
      <c r="K5" s="40"/>
      <c r="L5" s="15" t="s">
        <v>255</v>
      </c>
      <c r="M5" s="105" t="s">
        <v>431</v>
      </c>
    </row>
    <row r="6" spans="1:13" ht="62.1" customHeight="1">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ht="42" customHeight="1">
      <c r="A7" s="1413">
        <v>42614</v>
      </c>
      <c r="B7" s="1067">
        <v>95</v>
      </c>
      <c r="C7" s="1416">
        <v>29385.4</v>
      </c>
      <c r="D7" s="1067">
        <f>B7</f>
        <v>95</v>
      </c>
      <c r="E7" s="1067">
        <f>C7</f>
        <v>29385.4</v>
      </c>
      <c r="F7" s="1067"/>
      <c r="G7" s="1416">
        <f>E7*0.15</f>
        <v>4407.8100000000004</v>
      </c>
      <c r="H7" s="1414"/>
      <c r="I7" s="1418"/>
      <c r="J7" s="1418"/>
      <c r="K7" s="1416"/>
      <c r="L7" s="259">
        <f t="shared" ref="L7:L17" si="0">E7-J7</f>
        <v>29385.4</v>
      </c>
      <c r="M7" s="1165"/>
    </row>
    <row r="8" spans="1:13" ht="42" customHeight="1">
      <c r="A8" s="1413">
        <v>42644</v>
      </c>
      <c r="B8" s="1067">
        <v>473</v>
      </c>
      <c r="C8" s="1416">
        <v>116994.5</v>
      </c>
      <c r="D8" s="1067">
        <f t="shared" ref="D8:D17" si="1">D7+B8</f>
        <v>568</v>
      </c>
      <c r="E8" s="1067">
        <f t="shared" ref="E8:E17" si="2">E7+C8</f>
        <v>146379.9</v>
      </c>
      <c r="F8" s="1067"/>
      <c r="G8" s="1416">
        <f>E8*0.15</f>
        <v>21956.984999999997</v>
      </c>
      <c r="H8" s="1414">
        <f>C7*0.85</f>
        <v>24977.59</v>
      </c>
      <c r="I8" s="1418"/>
      <c r="J8" s="1418"/>
      <c r="K8" s="1416">
        <f t="shared" ref="K8:K17" si="3">K7+H8-I8</f>
        <v>24977.59</v>
      </c>
      <c r="L8" s="259">
        <f t="shared" si="0"/>
        <v>146379.9</v>
      </c>
      <c r="M8" s="1165"/>
    </row>
    <row r="9" spans="1:13" ht="42" customHeight="1">
      <c r="A9" s="1413">
        <v>42675</v>
      </c>
      <c r="B9" s="1067">
        <v>4731</v>
      </c>
      <c r="C9" s="1416">
        <v>1397535.56</v>
      </c>
      <c r="D9" s="1067">
        <f t="shared" si="1"/>
        <v>5299</v>
      </c>
      <c r="E9" s="1067">
        <f t="shared" si="2"/>
        <v>1543915.46</v>
      </c>
      <c r="F9" s="1067"/>
      <c r="G9" s="1416">
        <f>E9*0.15</f>
        <v>231587.31899999999</v>
      </c>
      <c r="H9" s="1414">
        <f>C8*0.85</f>
        <v>99445.324999999997</v>
      </c>
      <c r="I9" s="1418"/>
      <c r="J9" s="1418"/>
      <c r="K9" s="1416">
        <f t="shared" si="3"/>
        <v>124422.91499999999</v>
      </c>
      <c r="L9" s="259">
        <f t="shared" si="0"/>
        <v>1543915.46</v>
      </c>
      <c r="M9" s="1165"/>
    </row>
    <row r="10" spans="1:13" ht="42" customHeight="1">
      <c r="A10" s="1413">
        <v>42705</v>
      </c>
      <c r="B10" s="1067">
        <v>6450</v>
      </c>
      <c r="C10" s="1416">
        <v>2004245.08</v>
      </c>
      <c r="D10" s="1067">
        <f t="shared" si="1"/>
        <v>11749</v>
      </c>
      <c r="E10" s="1067">
        <f t="shared" si="2"/>
        <v>3548160.54</v>
      </c>
      <c r="F10" s="1067"/>
      <c r="G10" s="1416">
        <f>E10*0.15</f>
        <v>532224.08100000001</v>
      </c>
      <c r="H10" s="1414">
        <f>C9*0.85</f>
        <v>1187905.226</v>
      </c>
      <c r="I10" s="1418"/>
      <c r="J10" s="1418"/>
      <c r="K10" s="1416">
        <f t="shared" si="3"/>
        <v>1312328.1410000001</v>
      </c>
      <c r="L10" s="259">
        <f t="shared" si="0"/>
        <v>3548160.54</v>
      </c>
      <c r="M10" s="1165" t="s">
        <v>432</v>
      </c>
    </row>
    <row r="11" spans="1:13" ht="42" customHeight="1">
      <c r="A11" s="1413" t="s">
        <v>433</v>
      </c>
      <c r="B11" s="1067"/>
      <c r="C11" s="1416">
        <v>89266.97</v>
      </c>
      <c r="D11" s="1067">
        <f t="shared" si="1"/>
        <v>11749</v>
      </c>
      <c r="E11" s="1067">
        <f t="shared" si="2"/>
        <v>3637427.5100000002</v>
      </c>
      <c r="F11" s="1067"/>
      <c r="G11" s="1416">
        <f>E10*0.15</f>
        <v>532224.08100000001</v>
      </c>
      <c r="H11" s="1414">
        <f>C10*0.85</f>
        <v>1703608.318</v>
      </c>
      <c r="I11" s="1418">
        <v>2400000</v>
      </c>
      <c r="J11" s="1418">
        <f>I11</f>
        <v>2400000</v>
      </c>
      <c r="K11" s="1416">
        <f t="shared" si="3"/>
        <v>615936.4589999998</v>
      </c>
      <c r="L11" s="259">
        <f t="shared" si="0"/>
        <v>1237427.5100000002</v>
      </c>
      <c r="M11" s="1165"/>
    </row>
    <row r="12" spans="1:13" ht="42" customHeight="1">
      <c r="A12" s="1413">
        <v>42736</v>
      </c>
      <c r="B12" s="1067">
        <v>2174</v>
      </c>
      <c r="C12" s="1416">
        <v>744498.09</v>
      </c>
      <c r="D12" s="1067">
        <f t="shared" si="1"/>
        <v>13923</v>
      </c>
      <c r="E12" s="1067">
        <f t="shared" si="2"/>
        <v>4381925.6000000006</v>
      </c>
      <c r="F12" s="1067"/>
      <c r="G12" s="1416">
        <f>E10*0.15+C12*0.15</f>
        <v>643898.79449999996</v>
      </c>
      <c r="H12" s="1414">
        <f>C11</f>
        <v>89266.97</v>
      </c>
      <c r="I12" s="1418"/>
      <c r="J12" s="1418">
        <f t="shared" ref="J12:J17" si="4">I12+J11</f>
        <v>2400000</v>
      </c>
      <c r="K12" s="1416">
        <f t="shared" si="3"/>
        <v>705203.42899999977</v>
      </c>
      <c r="L12" s="259">
        <f t="shared" si="0"/>
        <v>1981925.6000000006</v>
      </c>
      <c r="M12" s="1165"/>
    </row>
    <row r="13" spans="1:13" ht="42" customHeight="1">
      <c r="A13" s="1413">
        <v>42767</v>
      </c>
      <c r="B13" s="1067">
        <v>50</v>
      </c>
      <c r="C13" s="1416">
        <v>16074.18</v>
      </c>
      <c r="D13" s="1067">
        <f t="shared" si="1"/>
        <v>13973</v>
      </c>
      <c r="E13" s="1067">
        <f t="shared" si="2"/>
        <v>4397999.78</v>
      </c>
      <c r="F13" s="1067"/>
      <c r="G13" s="1416">
        <f>E10*0.15+C12*0.15+C13*0.15</f>
        <v>646309.92149999994</v>
      </c>
      <c r="H13" s="1414">
        <f>C12*0.85</f>
        <v>632823.37650000001</v>
      </c>
      <c r="I13" s="1418"/>
      <c r="J13" s="1418">
        <f t="shared" si="4"/>
        <v>2400000</v>
      </c>
      <c r="K13" s="1416">
        <f t="shared" si="3"/>
        <v>1338026.8054999998</v>
      </c>
      <c r="L13" s="259">
        <f t="shared" si="0"/>
        <v>1997999.7800000003</v>
      </c>
      <c r="M13" s="1165"/>
    </row>
    <row r="14" spans="1:13" ht="42" customHeight="1">
      <c r="A14" s="1413">
        <v>42795</v>
      </c>
      <c r="B14" s="1067">
        <v>2544</v>
      </c>
      <c r="C14" s="1416">
        <v>836390.71</v>
      </c>
      <c r="D14" s="1067">
        <f t="shared" si="1"/>
        <v>16517</v>
      </c>
      <c r="E14" s="1067">
        <f t="shared" si="2"/>
        <v>5234390.49</v>
      </c>
      <c r="F14" s="1067"/>
      <c r="G14" s="1416">
        <f>E10*0.15+C12*0.15+C13*0.15+C14*0.15</f>
        <v>771768.52799999993</v>
      </c>
      <c r="H14" s="1414">
        <f>C13*0.85</f>
        <v>13663.053</v>
      </c>
      <c r="I14" s="1418"/>
      <c r="J14" s="1418">
        <f t="shared" si="4"/>
        <v>2400000</v>
      </c>
      <c r="K14" s="1416">
        <f t="shared" si="3"/>
        <v>1351689.8584999999</v>
      </c>
      <c r="L14" s="259">
        <f t="shared" si="0"/>
        <v>2834390.49</v>
      </c>
      <c r="M14" s="1165"/>
    </row>
    <row r="15" spans="1:13" ht="42" customHeight="1">
      <c r="A15" s="1413" t="s">
        <v>434</v>
      </c>
      <c r="B15" s="1067"/>
      <c r="C15" s="1416">
        <v>9725.52</v>
      </c>
      <c r="D15" s="1067">
        <f t="shared" si="1"/>
        <v>16517</v>
      </c>
      <c r="E15" s="1067">
        <f t="shared" si="2"/>
        <v>5244116.01</v>
      </c>
      <c r="F15" s="1067"/>
      <c r="G15" s="1416">
        <f>E10*0.15+C12*0.15+C13*0.15+C14*0.15</f>
        <v>771768.52799999993</v>
      </c>
      <c r="H15" s="1414">
        <f>C15</f>
        <v>9725.52</v>
      </c>
      <c r="I15" s="1418">
        <v>1200000</v>
      </c>
      <c r="J15" s="1418">
        <f t="shared" si="4"/>
        <v>3600000</v>
      </c>
      <c r="K15" s="1416">
        <f t="shared" si="3"/>
        <v>161415.37849999988</v>
      </c>
      <c r="L15" s="259">
        <f t="shared" si="0"/>
        <v>1644116.0099999998</v>
      </c>
      <c r="M15" s="1165" t="s">
        <v>435</v>
      </c>
    </row>
    <row r="16" spans="1:13" ht="42" customHeight="1">
      <c r="A16" s="1413">
        <v>42826</v>
      </c>
      <c r="B16" s="1067">
        <v>3068</v>
      </c>
      <c r="C16" s="1416">
        <v>970224.97</v>
      </c>
      <c r="D16" s="1067">
        <f t="shared" si="1"/>
        <v>19585</v>
      </c>
      <c r="E16" s="1067">
        <f t="shared" si="2"/>
        <v>6214340.9799999995</v>
      </c>
      <c r="F16" s="1067"/>
      <c r="G16" s="1245">
        <f>E10*0.15+C12*0.15+C13*0.15+C14*0.15+C16*0.15</f>
        <v>917302.27349999989</v>
      </c>
      <c r="H16" s="1414">
        <f>C14*0.85</f>
        <v>710932.10349999997</v>
      </c>
      <c r="I16" s="1418">
        <v>650000</v>
      </c>
      <c r="J16" s="1418">
        <f t="shared" si="4"/>
        <v>4250000</v>
      </c>
      <c r="K16" s="1416">
        <f t="shared" si="3"/>
        <v>222347.48199999984</v>
      </c>
      <c r="L16" s="259">
        <f t="shared" si="0"/>
        <v>1964340.9799999995</v>
      </c>
      <c r="M16" s="1165" t="s">
        <v>436</v>
      </c>
    </row>
    <row r="17" spans="1:13" ht="42" customHeight="1">
      <c r="A17" s="1413">
        <v>42856</v>
      </c>
      <c r="B17" s="1067">
        <v>0</v>
      </c>
      <c r="C17" s="1416">
        <v>0</v>
      </c>
      <c r="D17" s="1067">
        <f t="shared" si="1"/>
        <v>19585</v>
      </c>
      <c r="E17" s="1067">
        <f t="shared" si="2"/>
        <v>6214340.9799999995</v>
      </c>
      <c r="F17" s="1067"/>
      <c r="G17" s="1245">
        <f>E10*0.15+C12*0.15+C13*0.15+C14*0.15+C16*0.15+C17*0.15</f>
        <v>917302.27349999989</v>
      </c>
      <c r="H17" s="1414">
        <f>C16*0.85</f>
        <v>824691.22450000001</v>
      </c>
      <c r="I17" s="1418">
        <v>950000</v>
      </c>
      <c r="J17" s="1418">
        <f t="shared" si="4"/>
        <v>5200000</v>
      </c>
      <c r="K17" s="1416">
        <f t="shared" si="3"/>
        <v>97038.706499999855</v>
      </c>
      <c r="L17" s="259">
        <f t="shared" si="0"/>
        <v>1014340.9799999995</v>
      </c>
      <c r="M17" s="1484" t="s">
        <v>437</v>
      </c>
    </row>
  </sheetData>
  <mergeCells count="12">
    <mergeCell ref="J3:M3"/>
    <mergeCell ref="B4:D4"/>
    <mergeCell ref="F4:H4"/>
    <mergeCell ref="I4:J4"/>
    <mergeCell ref="B5:D5"/>
    <mergeCell ref="E5:H5"/>
    <mergeCell ref="I1:I2"/>
    <mergeCell ref="M1:M2"/>
    <mergeCell ref="J1:L2"/>
    <mergeCell ref="B2:C2"/>
    <mergeCell ref="E2:F2"/>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opLeftCell="A10"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1.75" customWidth="1"/>
    <col min="12" max="12" width="16.125" customWidth="1"/>
    <col min="13" max="13" width="27.375" customWidth="1"/>
  </cols>
  <sheetData>
    <row r="1" spans="1:13" ht="45.95" customHeight="1">
      <c r="A1" s="34" t="s">
        <v>556</v>
      </c>
      <c r="B1" s="176"/>
      <c r="C1" s="38" t="s">
        <v>1388</v>
      </c>
      <c r="D1" s="1124" t="s">
        <v>2027</v>
      </c>
      <c r="E1" s="38" t="s">
        <v>236</v>
      </c>
      <c r="F1" s="1942" t="s">
        <v>2028</v>
      </c>
      <c r="G1" s="1860"/>
      <c r="H1" s="1126" t="s">
        <v>237</v>
      </c>
      <c r="I1" s="1633" t="s">
        <v>2029</v>
      </c>
      <c r="J1" s="1633"/>
      <c r="K1" s="1633"/>
      <c r="L1" s="1904" t="s">
        <v>2030</v>
      </c>
      <c r="M1" s="1812"/>
    </row>
    <row r="2" spans="1:13" ht="85.5">
      <c r="A2" s="39" t="s">
        <v>240</v>
      </c>
      <c r="B2" s="1637" t="s">
        <v>1886</v>
      </c>
      <c r="C2" s="1637"/>
      <c r="D2" s="41" t="s">
        <v>242</v>
      </c>
      <c r="E2" s="1832"/>
      <c r="F2" s="1833"/>
      <c r="G2" s="40" t="s">
        <v>1864</v>
      </c>
      <c r="H2" s="40" t="s">
        <v>425</v>
      </c>
      <c r="I2" s="1929" t="s">
        <v>2031</v>
      </c>
      <c r="J2" s="1930"/>
      <c r="K2" s="1930"/>
      <c r="L2" s="1930"/>
      <c r="M2" s="1931"/>
    </row>
    <row r="3" spans="1:13" ht="60" customHeight="1">
      <c r="A3" s="39" t="s">
        <v>247</v>
      </c>
      <c r="B3" s="1637" t="s">
        <v>2032</v>
      </c>
      <c r="C3" s="1637"/>
      <c r="D3" s="41" t="s">
        <v>249</v>
      </c>
      <c r="E3" s="40" t="s">
        <v>2033</v>
      </c>
      <c r="F3" s="40" t="s">
        <v>1706</v>
      </c>
      <c r="G3" s="40" t="s">
        <v>2034</v>
      </c>
      <c r="H3" s="177"/>
      <c r="I3" s="531" t="s">
        <v>243</v>
      </c>
      <c r="J3" s="1866" t="s">
        <v>421</v>
      </c>
      <c r="K3" s="1675"/>
      <c r="L3" s="1131" t="s">
        <v>245</v>
      </c>
      <c r="M3" s="1132" t="s">
        <v>2035</v>
      </c>
    </row>
    <row r="4" spans="1:13" ht="80.099999999999994" customHeight="1">
      <c r="A4" s="1127" t="s">
        <v>260</v>
      </c>
      <c r="B4" s="1764" t="s">
        <v>2036</v>
      </c>
      <c r="C4" s="1764"/>
      <c r="D4" s="1764"/>
      <c r="E4" s="1764"/>
      <c r="F4" s="1764"/>
      <c r="G4" s="1137"/>
      <c r="H4" s="1137"/>
      <c r="I4" s="1137"/>
      <c r="J4" s="91" t="s">
        <v>253</v>
      </c>
      <c r="K4" s="1133" t="s">
        <v>2037</v>
      </c>
      <c r="L4" s="15" t="s">
        <v>1469</v>
      </c>
      <c r="M4" s="92" t="s">
        <v>2037</v>
      </c>
    </row>
    <row r="5" spans="1:13" ht="42.95" customHeight="1">
      <c r="A5" s="39" t="s">
        <v>258</v>
      </c>
      <c r="B5" s="1890"/>
      <c r="C5" s="1891"/>
      <c r="D5" s="1908"/>
      <c r="E5" s="1909"/>
      <c r="F5" s="1909"/>
      <c r="G5" s="1786" t="s">
        <v>2038</v>
      </c>
      <c r="H5" s="1786"/>
      <c r="I5" s="1786"/>
      <c r="J5" s="1786"/>
      <c r="L5" s="178"/>
      <c r="M5" s="1134"/>
    </row>
    <row r="6" spans="1:13" ht="33.950000000000003" customHeight="1">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33.950000000000003" customHeight="1">
      <c r="A7" s="324">
        <v>42826</v>
      </c>
      <c r="B7" s="412">
        <v>7266</v>
      </c>
      <c r="C7" s="412">
        <v>2252020</v>
      </c>
      <c r="D7" s="412">
        <f>B7</f>
        <v>7266</v>
      </c>
      <c r="E7" s="412">
        <f>C7</f>
        <v>2252020</v>
      </c>
      <c r="F7" s="412"/>
      <c r="G7" s="412">
        <f>C7</f>
        <v>2252020</v>
      </c>
      <c r="H7" s="412"/>
      <c r="I7" s="412"/>
      <c r="J7" s="412"/>
      <c r="K7" s="412"/>
      <c r="L7" s="412">
        <f>E7-J7</f>
        <v>2252020</v>
      </c>
      <c r="M7" s="682"/>
    </row>
    <row r="8" spans="1:13" ht="33.950000000000003" customHeight="1">
      <c r="A8" s="324">
        <v>42856</v>
      </c>
      <c r="B8" s="412">
        <v>7016</v>
      </c>
      <c r="C8" s="412">
        <v>2164546.48</v>
      </c>
      <c r="D8" s="412">
        <f t="shared" ref="D8:E11" si="0">D7+B8</f>
        <v>14282</v>
      </c>
      <c r="E8" s="412">
        <f t="shared" si="0"/>
        <v>4416566.4800000004</v>
      </c>
      <c r="F8" s="412"/>
      <c r="G8" s="412">
        <f>E7*0.2+C8</f>
        <v>2614950.48</v>
      </c>
      <c r="H8" s="412"/>
      <c r="I8" s="412"/>
      <c r="J8" s="412"/>
      <c r="K8" s="412">
        <f>K7+H8-I8</f>
        <v>0</v>
      </c>
      <c r="L8" s="412">
        <f>E8-J8</f>
        <v>4416566.4800000004</v>
      </c>
      <c r="M8" s="682"/>
    </row>
    <row r="9" spans="1:13" ht="33.950000000000003" customHeight="1">
      <c r="A9" s="324">
        <v>42887</v>
      </c>
      <c r="B9" s="412">
        <v>4741</v>
      </c>
      <c r="C9" s="412">
        <v>1475632.5</v>
      </c>
      <c r="D9" s="412">
        <f t="shared" si="0"/>
        <v>19023</v>
      </c>
      <c r="E9" s="412">
        <f t="shared" si="0"/>
        <v>5892198.9800000004</v>
      </c>
      <c r="F9" s="412"/>
      <c r="G9" s="412">
        <f>E8*0.2+C9</f>
        <v>2358945.7960000001</v>
      </c>
      <c r="H9" s="412">
        <f>C7*0.8</f>
        <v>1801616</v>
      </c>
      <c r="I9" s="412"/>
      <c r="J9" s="412"/>
      <c r="K9" s="412">
        <f>K8+H9-I9</f>
        <v>1801616</v>
      </c>
      <c r="L9" s="412">
        <f>E9-J9</f>
        <v>5892198.9800000004</v>
      </c>
      <c r="M9" s="682"/>
    </row>
    <row r="10" spans="1:13" ht="33.950000000000003" customHeight="1">
      <c r="A10" s="324">
        <v>42917</v>
      </c>
      <c r="B10" s="412">
        <v>3703</v>
      </c>
      <c r="C10" s="412">
        <v>1150245</v>
      </c>
      <c r="D10" s="412">
        <f t="shared" si="0"/>
        <v>22726</v>
      </c>
      <c r="E10" s="412">
        <f t="shared" si="0"/>
        <v>7042443.9800000004</v>
      </c>
      <c r="F10" s="412"/>
      <c r="G10" s="412">
        <f>E9*0.2+C10</f>
        <v>2328684.7960000001</v>
      </c>
      <c r="H10" s="412">
        <f>C8*0.8</f>
        <v>1731637.1840000001</v>
      </c>
      <c r="I10" s="412">
        <v>1750000</v>
      </c>
      <c r="J10" s="412">
        <f>I10</f>
        <v>1750000</v>
      </c>
      <c r="K10" s="412">
        <f>K9+H10-I10</f>
        <v>1783253.1840000004</v>
      </c>
      <c r="L10" s="412">
        <f>E10-J10</f>
        <v>5292443.9800000004</v>
      </c>
      <c r="M10" s="682" t="s">
        <v>2039</v>
      </c>
    </row>
    <row r="11" spans="1:13" ht="33.950000000000003" customHeight="1">
      <c r="A11" s="324">
        <v>42948</v>
      </c>
      <c r="B11" s="412">
        <v>492</v>
      </c>
      <c r="C11" s="412">
        <v>153590</v>
      </c>
      <c r="D11" s="412">
        <f t="shared" si="0"/>
        <v>23218</v>
      </c>
      <c r="E11" s="412">
        <f t="shared" si="0"/>
        <v>7196033.9800000004</v>
      </c>
      <c r="F11" s="412"/>
      <c r="G11" s="412">
        <f>E10*0.2+C11</f>
        <v>1562078.7960000001</v>
      </c>
      <c r="H11" s="412">
        <f>C9*0.8</f>
        <v>1180506</v>
      </c>
      <c r="I11" s="412"/>
      <c r="J11" s="412">
        <f>I11+J10</f>
        <v>1750000</v>
      </c>
      <c r="K11" s="412">
        <f>K10+H11-I11</f>
        <v>2963759.1840000004</v>
      </c>
      <c r="L11" s="412">
        <f>E11-J11</f>
        <v>5446033.9800000004</v>
      </c>
      <c r="M11" s="682"/>
    </row>
    <row r="12" spans="1:13" ht="33.950000000000003" customHeight="1">
      <c r="A12" s="324"/>
      <c r="B12" s="412"/>
      <c r="C12" s="412"/>
      <c r="D12" s="412"/>
      <c r="E12" s="412"/>
      <c r="F12" s="412"/>
      <c r="G12" s="412"/>
      <c r="H12" s="412">
        <f>C10*0.8</f>
        <v>920196</v>
      </c>
      <c r="I12" s="412"/>
      <c r="J12" s="412"/>
      <c r="K12" s="412">
        <f>K11+H12-I12</f>
        <v>3883955.1840000004</v>
      </c>
      <c r="L12" s="412"/>
      <c r="M12" s="682"/>
    </row>
    <row r="13" spans="1:13" ht="33.950000000000003" customHeight="1">
      <c r="A13" s="324"/>
      <c r="B13" s="412"/>
      <c r="C13" s="412"/>
      <c r="D13" s="412"/>
      <c r="E13" s="412"/>
      <c r="F13" s="412"/>
      <c r="G13" s="412"/>
      <c r="H13" s="412"/>
      <c r="I13" s="412"/>
      <c r="J13" s="412"/>
      <c r="K13" s="412"/>
      <c r="L13" s="412"/>
      <c r="M13" s="682"/>
    </row>
    <row r="14" spans="1:13" ht="33.950000000000003" customHeight="1">
      <c r="A14" s="324"/>
      <c r="B14" s="412"/>
      <c r="C14" s="412"/>
      <c r="D14" s="412"/>
      <c r="E14" s="412"/>
      <c r="F14" s="412"/>
      <c r="G14" s="412"/>
      <c r="H14" s="412"/>
      <c r="I14" s="412"/>
      <c r="J14" s="412"/>
      <c r="K14" s="412"/>
      <c r="L14" s="412"/>
      <c r="M14" s="682"/>
    </row>
    <row r="15" spans="1:13" ht="33.950000000000003" customHeight="1">
      <c r="A15" s="324"/>
      <c r="B15" s="412"/>
      <c r="C15" s="412"/>
      <c r="D15" s="412"/>
      <c r="E15" s="412"/>
      <c r="F15" s="412"/>
      <c r="G15" s="412"/>
      <c r="H15" s="412"/>
      <c r="I15" s="412"/>
      <c r="J15" s="412"/>
      <c r="K15" s="412"/>
      <c r="L15" s="412"/>
      <c r="M15" s="682"/>
    </row>
  </sheetData>
  <mergeCells count="12">
    <mergeCell ref="B3:C3"/>
    <mergeCell ref="J3:K3"/>
    <mergeCell ref="B4:F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topLeftCell="A7"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2040</v>
      </c>
      <c r="C1" s="1124" t="s">
        <v>2041</v>
      </c>
      <c r="D1" s="1124"/>
      <c r="E1" s="38" t="s">
        <v>236</v>
      </c>
      <c r="F1" s="1893"/>
      <c r="G1" s="1790"/>
      <c r="H1" s="1126" t="s">
        <v>237</v>
      </c>
      <c r="I1" s="1633" t="s">
        <v>2029</v>
      </c>
      <c r="J1" s="1633"/>
      <c r="K1" s="1633"/>
      <c r="L1" s="1904" t="s">
        <v>2042</v>
      </c>
      <c r="M1" s="1812"/>
    </row>
    <row r="2" spans="1:13" ht="59.1" customHeight="1">
      <c r="A2" s="39" t="s">
        <v>240</v>
      </c>
      <c r="B2" s="1637" t="s">
        <v>2025</v>
      </c>
      <c r="C2" s="1637"/>
      <c r="D2" s="41" t="s">
        <v>242</v>
      </c>
      <c r="E2" s="1832"/>
      <c r="F2" s="1833"/>
      <c r="G2" s="40"/>
      <c r="H2" s="40" t="s">
        <v>425</v>
      </c>
      <c r="I2" s="1929" t="s">
        <v>2043</v>
      </c>
      <c r="J2" s="1930"/>
      <c r="K2" s="1930"/>
      <c r="L2" s="1930"/>
      <c r="M2" s="1931"/>
    </row>
    <row r="3" spans="1:13" ht="57.95" customHeight="1">
      <c r="A3" s="39" t="s">
        <v>247</v>
      </c>
      <c r="B3" s="1637" t="s">
        <v>2044</v>
      </c>
      <c r="C3" s="1637"/>
      <c r="D3" s="41" t="s">
        <v>249</v>
      </c>
      <c r="E3" s="40" t="s">
        <v>2045</v>
      </c>
      <c r="F3" s="40" t="s">
        <v>1706</v>
      </c>
      <c r="G3" s="269"/>
      <c r="H3" s="271"/>
      <c r="I3" s="531" t="s">
        <v>243</v>
      </c>
      <c r="J3" s="1866" t="s">
        <v>421</v>
      </c>
      <c r="K3" s="1675"/>
      <c r="L3" s="1131" t="s">
        <v>245</v>
      </c>
      <c r="M3" s="1132" t="s">
        <v>2046</v>
      </c>
    </row>
    <row r="4" spans="1:13" ht="72" customHeight="1">
      <c r="A4" s="1127" t="s">
        <v>260</v>
      </c>
      <c r="B4" s="1764" t="s">
        <v>2036</v>
      </c>
      <c r="C4" s="1764"/>
      <c r="D4" s="1764"/>
      <c r="E4" s="1764"/>
      <c r="F4" s="1764"/>
      <c r="G4" s="1896"/>
      <c r="H4" s="1906"/>
      <c r="I4" s="1907"/>
      <c r="J4" s="91" t="s">
        <v>253</v>
      </c>
      <c r="K4" s="1133" t="s">
        <v>2047</v>
      </c>
      <c r="L4" s="15" t="s">
        <v>1469</v>
      </c>
      <c r="M4" s="92" t="s">
        <v>2047</v>
      </c>
    </row>
    <row r="5" spans="1:13" ht="69.95" customHeight="1">
      <c r="A5" s="39" t="s">
        <v>258</v>
      </c>
      <c r="B5" s="1890"/>
      <c r="C5" s="1891"/>
      <c r="D5" s="1908"/>
      <c r="E5" s="1909"/>
      <c r="F5" s="1909"/>
      <c r="G5" s="1786" t="s">
        <v>2038</v>
      </c>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42826</v>
      </c>
      <c r="B7" s="412">
        <v>5879</v>
      </c>
      <c r="C7" s="412">
        <v>1835105</v>
      </c>
      <c r="D7" s="412">
        <f>B7</f>
        <v>5879</v>
      </c>
      <c r="E7" s="412">
        <f>C7</f>
        <v>1835105</v>
      </c>
      <c r="F7" s="412"/>
      <c r="G7" s="412">
        <f>C7</f>
        <v>1835105</v>
      </c>
      <c r="H7" s="412"/>
      <c r="I7" s="412"/>
      <c r="J7" s="412"/>
      <c r="K7" s="412"/>
      <c r="L7" s="412">
        <f>E7-J7</f>
        <v>1835105</v>
      </c>
      <c r="M7" s="682"/>
    </row>
    <row r="8" spans="1:13" ht="27.95" customHeight="1">
      <c r="A8" s="324">
        <v>42856</v>
      </c>
      <c r="B8" s="412">
        <v>5762</v>
      </c>
      <c r="C8" s="412">
        <v>1783470</v>
      </c>
      <c r="D8" s="412">
        <f t="shared" ref="D8:E11" si="0">D7+B8</f>
        <v>11641</v>
      </c>
      <c r="E8" s="412">
        <f t="shared" si="0"/>
        <v>3618575</v>
      </c>
      <c r="F8" s="412"/>
      <c r="G8" s="412">
        <f>E7*0.2+C8</f>
        <v>2150491</v>
      </c>
      <c r="H8" s="412"/>
      <c r="I8" s="412"/>
      <c r="J8" s="412"/>
      <c r="K8" s="412">
        <f>K7+H8-I8</f>
        <v>0</v>
      </c>
      <c r="L8" s="412">
        <f>E8-J8</f>
        <v>3618575</v>
      </c>
      <c r="M8" s="682"/>
    </row>
    <row r="9" spans="1:13" ht="27.95" customHeight="1">
      <c r="A9" s="324">
        <v>42887</v>
      </c>
      <c r="B9" s="412">
        <v>3589</v>
      </c>
      <c r="C9" s="412">
        <v>1156900</v>
      </c>
      <c r="D9" s="412">
        <f t="shared" si="0"/>
        <v>15230</v>
      </c>
      <c r="E9" s="412">
        <f t="shared" si="0"/>
        <v>4775475</v>
      </c>
      <c r="F9" s="412"/>
      <c r="G9" s="412">
        <f>E8*0.2+C9</f>
        <v>1880615</v>
      </c>
      <c r="H9" s="412">
        <f>C7*0.8</f>
        <v>1468084</v>
      </c>
      <c r="I9" s="412"/>
      <c r="J9" s="412"/>
      <c r="K9" s="412">
        <f>K8+H9-I9</f>
        <v>1468084</v>
      </c>
      <c r="L9" s="412">
        <f>E9-J9</f>
        <v>4775475</v>
      </c>
      <c r="M9" s="682"/>
    </row>
    <row r="10" spans="1:13" ht="27.95" customHeight="1">
      <c r="A10" s="324">
        <v>42917</v>
      </c>
      <c r="B10" s="412">
        <v>2756</v>
      </c>
      <c r="C10" s="412">
        <v>873510</v>
      </c>
      <c r="D10" s="412">
        <f t="shared" si="0"/>
        <v>17986</v>
      </c>
      <c r="E10" s="412">
        <f t="shared" si="0"/>
        <v>5648985</v>
      </c>
      <c r="F10" s="412"/>
      <c r="G10" s="412">
        <f>E9*0.2+C10</f>
        <v>1828605</v>
      </c>
      <c r="H10" s="412">
        <f>C8*0.8</f>
        <v>1426776</v>
      </c>
      <c r="I10" s="412"/>
      <c r="J10" s="412"/>
      <c r="K10" s="412">
        <f>K9+H10-I10</f>
        <v>2894860</v>
      </c>
      <c r="L10" s="412">
        <f>E10-J10</f>
        <v>5648985</v>
      </c>
      <c r="M10" s="682" t="s">
        <v>2048</v>
      </c>
    </row>
    <row r="11" spans="1:13" ht="27.95" customHeight="1">
      <c r="A11" s="324">
        <v>42948</v>
      </c>
      <c r="B11" s="412">
        <v>366</v>
      </c>
      <c r="C11" s="412">
        <v>119020</v>
      </c>
      <c r="D11" s="412">
        <f t="shared" si="0"/>
        <v>18352</v>
      </c>
      <c r="E11" s="412">
        <f t="shared" si="0"/>
        <v>5768005</v>
      </c>
      <c r="F11" s="412"/>
      <c r="G11" s="412">
        <f>E10*0.2+C11</f>
        <v>1248817</v>
      </c>
      <c r="H11" s="412">
        <f>C9*0.8</f>
        <v>925520</v>
      </c>
      <c r="I11" s="412">
        <v>4519188</v>
      </c>
      <c r="J11" s="412">
        <f>I11</f>
        <v>4519188</v>
      </c>
      <c r="K11" s="412">
        <f>K10+H11-I11</f>
        <v>-698808</v>
      </c>
      <c r="L11" s="412">
        <f>E11-J11</f>
        <v>1248817</v>
      </c>
      <c r="M11" s="682"/>
    </row>
    <row r="12" spans="1:13" ht="27.95" customHeight="1">
      <c r="A12" s="324"/>
      <c r="B12" s="412"/>
      <c r="C12" s="412"/>
      <c r="D12" s="412"/>
      <c r="E12" s="412"/>
      <c r="F12" s="412"/>
      <c r="G12" s="412"/>
      <c r="H12" s="412">
        <f>C10*0.8</f>
        <v>698808</v>
      </c>
      <c r="I12" s="412"/>
      <c r="J12" s="412"/>
      <c r="K12" s="412">
        <f>K11+H12-I12</f>
        <v>0</v>
      </c>
      <c r="L12" s="412"/>
      <c r="M12" s="682"/>
    </row>
    <row r="13" spans="1:13" ht="27.95" customHeight="1">
      <c r="A13" s="324"/>
      <c r="B13" s="412"/>
      <c r="C13" s="412"/>
      <c r="D13" s="412"/>
      <c r="E13" s="412"/>
      <c r="F13" s="412"/>
      <c r="G13" s="412"/>
      <c r="H13" s="412"/>
      <c r="I13" s="412"/>
      <c r="J13" s="412"/>
      <c r="K13" s="412"/>
      <c r="L13" s="412"/>
      <c r="M13" s="682"/>
    </row>
    <row r="14" spans="1:13" ht="27.95" customHeight="1">
      <c r="A14" s="324"/>
      <c r="B14" s="412"/>
      <c r="C14" s="412"/>
      <c r="D14" s="412"/>
      <c r="E14" s="412"/>
      <c r="F14" s="412"/>
      <c r="G14" s="412"/>
      <c r="H14" s="412"/>
      <c r="I14" s="412"/>
      <c r="J14" s="412"/>
      <c r="K14" s="412"/>
      <c r="L14" s="412"/>
      <c r="M14" s="682"/>
    </row>
    <row r="15" spans="1:13" ht="27.95" customHeight="1">
      <c r="A15" s="324"/>
      <c r="B15" s="412"/>
      <c r="C15" s="412"/>
      <c r="D15" s="412"/>
      <c r="E15" s="412"/>
      <c r="F15" s="412"/>
      <c r="G15" s="412"/>
      <c r="H15" s="412"/>
      <c r="I15" s="412"/>
      <c r="J15" s="412"/>
      <c r="K15" s="412"/>
      <c r="L15" s="412"/>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C4" zoomScaleSheetLayoutView="100" workbookViewId="0">
      <selection activeCell="K11" sqref="K11"/>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c r="J1" s="1633"/>
      <c r="K1" s="1633"/>
      <c r="L1" s="1904"/>
      <c r="M1" s="1812"/>
    </row>
    <row r="2" spans="1:13" ht="50.1" customHeight="1">
      <c r="A2" s="39" t="s">
        <v>240</v>
      </c>
      <c r="B2" s="1637" t="s">
        <v>1901</v>
      </c>
      <c r="C2" s="1637"/>
      <c r="D2" s="41" t="s">
        <v>242</v>
      </c>
      <c r="E2" s="1832"/>
      <c r="F2" s="1833"/>
      <c r="G2" s="40"/>
      <c r="H2" s="40" t="s">
        <v>425</v>
      </c>
      <c r="I2" s="1921"/>
      <c r="J2" s="1922"/>
      <c r="K2" s="1922"/>
      <c r="L2" s="1922"/>
      <c r="M2" s="1923"/>
    </row>
    <row r="3" spans="1:13" ht="57.95" customHeight="1">
      <c r="A3" s="39" t="s">
        <v>247</v>
      </c>
      <c r="B3" s="1637" t="s">
        <v>2049</v>
      </c>
      <c r="C3" s="1637"/>
      <c r="D3" s="41" t="s">
        <v>249</v>
      </c>
      <c r="E3" s="40"/>
      <c r="F3" s="40" t="s">
        <v>1706</v>
      </c>
      <c r="G3" s="269"/>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42826</v>
      </c>
      <c r="B7" s="412">
        <v>53</v>
      </c>
      <c r="C7" s="412">
        <f>B7*280</f>
        <v>14840</v>
      </c>
      <c r="D7" s="412">
        <f>B7</f>
        <v>53</v>
      </c>
      <c r="E7" s="412">
        <f>C7</f>
        <v>14840</v>
      </c>
      <c r="F7" s="412"/>
      <c r="G7" s="412">
        <f>E7</f>
        <v>14840</v>
      </c>
      <c r="H7" s="412"/>
      <c r="I7" s="412"/>
      <c r="J7" s="412"/>
      <c r="K7" s="412"/>
      <c r="L7" s="412">
        <f>E7-J7</f>
        <v>14840</v>
      </c>
      <c r="M7" s="682"/>
    </row>
    <row r="8" spans="1:13" ht="27.95" customHeight="1">
      <c r="A8" s="324">
        <v>42856</v>
      </c>
      <c r="B8" s="412">
        <v>224</v>
      </c>
      <c r="C8" s="412">
        <f>B8*280</f>
        <v>62720</v>
      </c>
      <c r="D8" s="412">
        <f t="shared" ref="D8:E11" si="0">D7+B8</f>
        <v>277</v>
      </c>
      <c r="E8" s="412">
        <f t="shared" si="0"/>
        <v>77560</v>
      </c>
      <c r="F8" s="412"/>
      <c r="G8" s="412">
        <f>E8</f>
        <v>77560</v>
      </c>
      <c r="H8" s="412"/>
      <c r="I8" s="412"/>
      <c r="J8" s="412"/>
      <c r="K8" s="412"/>
      <c r="L8" s="412">
        <f>E8-J8</f>
        <v>77560</v>
      </c>
      <c r="M8" s="682"/>
    </row>
    <row r="9" spans="1:13" ht="27.95" customHeight="1">
      <c r="A9" s="324">
        <v>42887</v>
      </c>
      <c r="B9" s="412">
        <v>155</v>
      </c>
      <c r="C9" s="412">
        <f>B9*280</f>
        <v>43400</v>
      </c>
      <c r="D9" s="412">
        <f t="shared" si="0"/>
        <v>432</v>
      </c>
      <c r="E9" s="412">
        <f t="shared" si="0"/>
        <v>120960</v>
      </c>
      <c r="F9" s="412"/>
      <c r="G9" s="412">
        <f>E9</f>
        <v>120960</v>
      </c>
      <c r="H9" s="412"/>
      <c r="I9" s="412"/>
      <c r="J9" s="412"/>
      <c r="K9" s="412"/>
      <c r="L9" s="412">
        <f>E9-J9</f>
        <v>120960</v>
      </c>
      <c r="M9" s="682"/>
    </row>
    <row r="10" spans="1:13" ht="27.95" customHeight="1">
      <c r="A10" s="324">
        <v>42917</v>
      </c>
      <c r="B10" s="412">
        <v>148</v>
      </c>
      <c r="C10" s="412">
        <f>B10*280</f>
        <v>41440</v>
      </c>
      <c r="D10" s="412">
        <f t="shared" si="0"/>
        <v>580</v>
      </c>
      <c r="E10" s="412">
        <f t="shared" si="0"/>
        <v>162400</v>
      </c>
      <c r="F10" s="412"/>
      <c r="G10" s="412">
        <f>E10</f>
        <v>162400</v>
      </c>
      <c r="H10" s="412"/>
      <c r="I10" s="412"/>
      <c r="J10" s="412"/>
      <c r="K10" s="412"/>
      <c r="L10" s="412"/>
      <c r="M10" s="682"/>
    </row>
    <row r="11" spans="1:13" ht="27.95" customHeight="1">
      <c r="A11" s="324">
        <v>42948</v>
      </c>
      <c r="B11" s="412">
        <v>464</v>
      </c>
      <c r="C11" s="412">
        <f>B11*280</f>
        <v>129920</v>
      </c>
      <c r="D11" s="412">
        <f t="shared" si="0"/>
        <v>1044</v>
      </c>
      <c r="E11" s="412">
        <f t="shared" si="0"/>
        <v>292320</v>
      </c>
      <c r="F11" s="412"/>
      <c r="G11" s="412">
        <f>E11</f>
        <v>292320</v>
      </c>
      <c r="H11" s="412"/>
      <c r="I11" s="412"/>
      <c r="J11" s="412">
        <v>0</v>
      </c>
      <c r="K11" s="412">
        <v>0</v>
      </c>
      <c r="L11" s="412">
        <v>29230</v>
      </c>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10" sqref="A10"/>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v>42887</v>
      </c>
      <c r="C1" s="1124" t="s">
        <v>1388</v>
      </c>
      <c r="D1" s="1124"/>
      <c r="E1" s="38" t="s">
        <v>236</v>
      </c>
      <c r="F1" s="1893"/>
      <c r="G1" s="1790"/>
      <c r="H1" s="1126" t="s">
        <v>237</v>
      </c>
      <c r="I1" s="1633" t="s">
        <v>2050</v>
      </c>
      <c r="J1" s="1633"/>
      <c r="K1" s="1633"/>
      <c r="L1" s="1904" t="s">
        <v>2051</v>
      </c>
      <c r="M1" s="1812"/>
    </row>
    <row r="2" spans="1:13" ht="87" customHeight="1">
      <c r="A2" s="39" t="s">
        <v>240</v>
      </c>
      <c r="B2" s="1637" t="s">
        <v>1751</v>
      </c>
      <c r="C2" s="1637"/>
      <c r="D2" s="41" t="s">
        <v>242</v>
      </c>
      <c r="E2" s="1832"/>
      <c r="F2" s="1833"/>
      <c r="G2" s="40" t="s">
        <v>2052</v>
      </c>
      <c r="H2" s="40" t="s">
        <v>425</v>
      </c>
      <c r="I2" s="1921" t="s">
        <v>2053</v>
      </c>
      <c r="J2" s="1922"/>
      <c r="K2" s="1922"/>
      <c r="L2" s="1922"/>
      <c r="M2" s="1923"/>
    </row>
    <row r="3" spans="1:13" ht="57.95" customHeight="1">
      <c r="A3" s="39" t="s">
        <v>247</v>
      </c>
      <c r="B3" s="1637" t="s">
        <v>2054</v>
      </c>
      <c r="C3" s="1637"/>
      <c r="D3" s="41" t="s">
        <v>249</v>
      </c>
      <c r="E3" s="40" t="s">
        <v>2055</v>
      </c>
      <c r="F3" s="40" t="s">
        <v>1706</v>
      </c>
      <c r="G3" s="269"/>
      <c r="H3" s="271"/>
      <c r="I3" s="531" t="s">
        <v>243</v>
      </c>
      <c r="J3" s="1866" t="s">
        <v>421</v>
      </c>
      <c r="K3" s="1675"/>
      <c r="L3" s="1131" t="s">
        <v>245</v>
      </c>
      <c r="M3" s="1132" t="s">
        <v>2056</v>
      </c>
    </row>
    <row r="4" spans="1:13" ht="72" customHeight="1">
      <c r="A4" s="1127" t="s">
        <v>260</v>
      </c>
      <c r="B4" s="1764" t="s">
        <v>2057</v>
      </c>
      <c r="C4" s="1764"/>
      <c r="D4" s="1764"/>
      <c r="E4" s="1764"/>
      <c r="F4" s="1764"/>
      <c r="G4" s="1896" t="s">
        <v>2058</v>
      </c>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42887</v>
      </c>
      <c r="B7" s="412">
        <v>2562</v>
      </c>
      <c r="C7" s="412">
        <v>825250.5</v>
      </c>
      <c r="D7" s="412">
        <f>B7</f>
        <v>2562</v>
      </c>
      <c r="E7" s="412">
        <f>C7</f>
        <v>825250.5</v>
      </c>
      <c r="F7" s="412"/>
      <c r="G7" s="412">
        <f>E7</f>
        <v>825250.5</v>
      </c>
      <c r="H7" s="412"/>
      <c r="I7" s="412"/>
      <c r="J7" s="412"/>
      <c r="K7" s="412"/>
      <c r="L7" s="412">
        <f>E7-J7</f>
        <v>825250.5</v>
      </c>
      <c r="M7" s="682"/>
    </row>
    <row r="8" spans="1:13" ht="27.95" customHeight="1">
      <c r="A8" s="324">
        <v>42917</v>
      </c>
      <c r="B8" s="412">
        <v>1167</v>
      </c>
      <c r="C8" s="412">
        <v>377346.13</v>
      </c>
      <c r="D8" s="412">
        <f>B8+D7</f>
        <v>3729</v>
      </c>
      <c r="E8" s="412">
        <f>C8+E7</f>
        <v>1202596.6299999999</v>
      </c>
      <c r="F8" s="412"/>
      <c r="G8" s="412">
        <f>C8+E7*0.2</f>
        <v>542396.23</v>
      </c>
      <c r="H8" s="412"/>
      <c r="I8" s="412"/>
      <c r="J8" s="412"/>
      <c r="K8" s="412">
        <f>K7+H8-I8</f>
        <v>0</v>
      </c>
      <c r="L8" s="412">
        <f>E8-J8</f>
        <v>1202596.6299999999</v>
      </c>
      <c r="M8" s="682"/>
    </row>
    <row r="9" spans="1:13" ht="27.95" customHeight="1">
      <c r="A9" s="324">
        <v>42948</v>
      </c>
      <c r="B9" s="412">
        <v>1412</v>
      </c>
      <c r="C9" s="412">
        <v>451814.11</v>
      </c>
      <c r="D9" s="412">
        <f>B9+D8</f>
        <v>5141</v>
      </c>
      <c r="E9" s="412">
        <f>C9+E8</f>
        <v>1654410.7399999998</v>
      </c>
      <c r="F9" s="412"/>
      <c r="G9" s="412">
        <f>C9+E8*0.2</f>
        <v>692333.43599999999</v>
      </c>
      <c r="H9" s="412">
        <f>C7*0.8</f>
        <v>660200.4</v>
      </c>
      <c r="I9" s="412">
        <v>616159.46</v>
      </c>
      <c r="J9" s="412">
        <f>I9</f>
        <v>616159.46</v>
      </c>
      <c r="K9" s="412">
        <f>K8+H9-I9</f>
        <v>44040.940000000061</v>
      </c>
      <c r="L9" s="412">
        <f>E9-J9</f>
        <v>1038251.2799999998</v>
      </c>
      <c r="M9" s="682" t="s">
        <v>2059</v>
      </c>
    </row>
    <row r="10" spans="1:13" ht="27.95" customHeight="1">
      <c r="A10" s="324"/>
      <c r="B10" s="412"/>
      <c r="C10" s="412"/>
      <c r="D10" s="412"/>
      <c r="E10" s="412"/>
      <c r="F10" s="412"/>
      <c r="G10" s="412"/>
      <c r="H10" s="412">
        <f>C8*0.8</f>
        <v>301876.90400000004</v>
      </c>
      <c r="I10" s="412"/>
      <c r="J10" s="412"/>
      <c r="K10" s="412">
        <f>K9+H10-I10</f>
        <v>345917.8440000001</v>
      </c>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11" sqref="A11"/>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2060</v>
      </c>
      <c r="C1" s="1124" t="s">
        <v>2061</v>
      </c>
      <c r="D1" s="1124"/>
      <c r="E1" s="38" t="s">
        <v>236</v>
      </c>
      <c r="F1" s="1893"/>
      <c r="G1" s="1790"/>
      <c r="H1" s="1126" t="s">
        <v>237</v>
      </c>
      <c r="I1" s="1633" t="s">
        <v>2062</v>
      </c>
      <c r="J1" s="1633"/>
      <c r="K1" s="1633"/>
      <c r="L1" s="1904"/>
      <c r="M1" s="1812"/>
    </row>
    <row r="2" spans="1:13" ht="50.1" customHeight="1">
      <c r="A2" s="39" t="s">
        <v>240</v>
      </c>
      <c r="B2" s="1637" t="s">
        <v>449</v>
      </c>
      <c r="C2" s="1637"/>
      <c r="D2" s="1136">
        <v>20170802</v>
      </c>
      <c r="E2" s="1832"/>
      <c r="F2" s="1833"/>
      <c r="G2" s="40"/>
      <c r="H2" s="40" t="s">
        <v>425</v>
      </c>
      <c r="I2" s="1921" t="s">
        <v>2063</v>
      </c>
      <c r="J2" s="1922"/>
      <c r="K2" s="1922"/>
      <c r="L2" s="1922"/>
      <c r="M2" s="1923"/>
    </row>
    <row r="3" spans="1:13" ht="57.95" customHeight="1">
      <c r="A3" s="39" t="s">
        <v>247</v>
      </c>
      <c r="B3" s="1637" t="s">
        <v>2064</v>
      </c>
      <c r="C3" s="1637"/>
      <c r="D3" s="41" t="s">
        <v>249</v>
      </c>
      <c r="E3" s="40"/>
      <c r="F3" s="40" t="s">
        <v>1706</v>
      </c>
      <c r="G3" s="269"/>
      <c r="H3" s="271"/>
      <c r="I3" s="531" t="s">
        <v>243</v>
      </c>
      <c r="J3" s="1866" t="s">
        <v>421</v>
      </c>
      <c r="K3" s="1675"/>
      <c r="L3" s="1131" t="s">
        <v>245</v>
      </c>
      <c r="M3" s="1132" t="s">
        <v>2065</v>
      </c>
    </row>
    <row r="4" spans="1:13" ht="72" customHeight="1">
      <c r="A4" s="1127" t="s">
        <v>260</v>
      </c>
      <c r="B4" s="1764" t="s">
        <v>2066</v>
      </c>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42856</v>
      </c>
      <c r="B7" s="412">
        <v>65.5</v>
      </c>
      <c r="C7" s="412">
        <f>B7*280</f>
        <v>18340</v>
      </c>
      <c r="D7" s="412">
        <f>B7</f>
        <v>65.5</v>
      </c>
      <c r="E7" s="412">
        <f>C7</f>
        <v>18340</v>
      </c>
      <c r="F7" s="412"/>
      <c r="G7" s="412">
        <f>E7</f>
        <v>18340</v>
      </c>
      <c r="H7" s="412"/>
      <c r="I7" s="412"/>
      <c r="J7" s="412"/>
      <c r="K7" s="412"/>
      <c r="L7" s="412">
        <f>E7-J7</f>
        <v>18340</v>
      </c>
      <c r="M7" s="682"/>
    </row>
    <row r="8" spans="1:13" ht="27.95" customHeight="1">
      <c r="A8" s="324">
        <v>42887</v>
      </c>
      <c r="B8" s="412">
        <v>72</v>
      </c>
      <c r="C8" s="412">
        <f>B8*280</f>
        <v>20160</v>
      </c>
      <c r="D8" s="412">
        <f t="shared" ref="D8:E10" si="0">D7+B8</f>
        <v>137.5</v>
      </c>
      <c r="E8" s="412">
        <f t="shared" si="0"/>
        <v>38500</v>
      </c>
      <c r="F8" s="412"/>
      <c r="G8" s="412">
        <f>E8</f>
        <v>38500</v>
      </c>
      <c r="H8" s="412"/>
      <c r="I8" s="412"/>
      <c r="J8" s="412"/>
      <c r="K8" s="412"/>
      <c r="L8" s="412">
        <f>E8-J8</f>
        <v>38500</v>
      </c>
      <c r="M8" s="682"/>
    </row>
    <row r="9" spans="1:13" ht="27.95" customHeight="1">
      <c r="A9" s="324">
        <v>42917</v>
      </c>
      <c r="B9" s="412">
        <v>149</v>
      </c>
      <c r="C9" s="412">
        <f>B9*280</f>
        <v>41720</v>
      </c>
      <c r="D9" s="412">
        <f t="shared" si="0"/>
        <v>286.5</v>
      </c>
      <c r="E9" s="412">
        <f t="shared" si="0"/>
        <v>80220</v>
      </c>
      <c r="F9" s="412"/>
      <c r="G9" s="412">
        <f>E9</f>
        <v>80220</v>
      </c>
      <c r="H9" s="412">
        <f>C8</f>
        <v>20160</v>
      </c>
      <c r="I9" s="412"/>
      <c r="J9" s="412"/>
      <c r="K9" s="412"/>
      <c r="L9" s="412">
        <f>E9-J9</f>
        <v>80220</v>
      </c>
      <c r="M9" s="682"/>
    </row>
    <row r="10" spans="1:13" ht="27.95" customHeight="1">
      <c r="A10" s="324">
        <v>42948</v>
      </c>
      <c r="B10" s="412">
        <v>214</v>
      </c>
      <c r="C10" s="412">
        <f>B10*280</f>
        <v>59920</v>
      </c>
      <c r="D10" s="412">
        <f t="shared" si="0"/>
        <v>500.5</v>
      </c>
      <c r="E10" s="412">
        <f t="shared" si="0"/>
        <v>140140</v>
      </c>
      <c r="F10" s="412"/>
      <c r="G10" s="412">
        <f>E10</f>
        <v>140140</v>
      </c>
      <c r="H10" s="412">
        <f>C9</f>
        <v>41720</v>
      </c>
      <c r="I10" s="412"/>
      <c r="J10" s="412"/>
      <c r="K10" s="412"/>
      <c r="L10" s="412"/>
      <c r="M10" s="682"/>
    </row>
    <row r="11" spans="1:13" ht="27.95" customHeight="1">
      <c r="A11" s="324"/>
      <c r="B11" s="412"/>
      <c r="C11" s="412"/>
      <c r="D11" s="412"/>
      <c r="E11" s="412"/>
      <c r="F11" s="412"/>
      <c r="G11" s="412"/>
      <c r="H11" s="412">
        <f>C10</f>
        <v>59920</v>
      </c>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t="s">
        <v>2067</v>
      </c>
      <c r="J1" s="1633"/>
      <c r="K1" s="1633"/>
      <c r="L1" s="1904"/>
      <c r="M1" s="1812"/>
    </row>
    <row r="2" spans="1:13" ht="50.1" customHeight="1">
      <c r="A2" s="39" t="s">
        <v>240</v>
      </c>
      <c r="B2" s="1637" t="s">
        <v>2068</v>
      </c>
      <c r="C2" s="1637"/>
      <c r="D2" s="41" t="s">
        <v>242</v>
      </c>
      <c r="E2" s="1832"/>
      <c r="F2" s="1833"/>
      <c r="G2" s="40"/>
      <c r="H2" s="40" t="s">
        <v>425</v>
      </c>
      <c r="I2" s="1921"/>
      <c r="J2" s="1922"/>
      <c r="K2" s="1922"/>
      <c r="L2" s="1922"/>
      <c r="M2" s="1923"/>
    </row>
    <row r="3" spans="1:13" ht="57.95" customHeight="1">
      <c r="A3" s="39" t="s">
        <v>247</v>
      </c>
      <c r="B3" s="1637" t="s">
        <v>2069</v>
      </c>
      <c r="C3" s="1637"/>
      <c r="D3" s="41" t="s">
        <v>249</v>
      </c>
      <c r="E3" s="40"/>
      <c r="F3" s="40" t="s">
        <v>1706</v>
      </c>
      <c r="G3" s="103" t="s">
        <v>2070</v>
      </c>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42917</v>
      </c>
      <c r="B7" s="412">
        <v>109</v>
      </c>
      <c r="C7" s="412">
        <f>B7*280</f>
        <v>30520</v>
      </c>
      <c r="D7" s="412">
        <f>B7</f>
        <v>109</v>
      </c>
      <c r="E7" s="412">
        <f>C7</f>
        <v>30520</v>
      </c>
      <c r="F7" s="412"/>
      <c r="G7" s="412">
        <f>E7</f>
        <v>30520</v>
      </c>
      <c r="H7" s="412"/>
      <c r="I7" s="412"/>
      <c r="J7" s="412"/>
      <c r="K7" s="412"/>
      <c r="L7" s="412">
        <f>E7-J7</f>
        <v>30520</v>
      </c>
      <c r="M7" s="682"/>
    </row>
    <row r="8" spans="1:13" ht="27.95" customHeight="1">
      <c r="A8" s="324">
        <v>42948</v>
      </c>
      <c r="B8" s="412">
        <v>34</v>
      </c>
      <c r="C8" s="412">
        <f>B8*280</f>
        <v>9520</v>
      </c>
      <c r="D8" s="412">
        <f>B8+D7</f>
        <v>143</v>
      </c>
      <c r="E8" s="412">
        <f>C8+E7</f>
        <v>40040</v>
      </c>
      <c r="F8" s="412"/>
      <c r="G8" s="412">
        <f>E8</f>
        <v>40040</v>
      </c>
      <c r="H8" s="412"/>
      <c r="I8" s="412"/>
      <c r="J8" s="412"/>
      <c r="K8" s="412">
        <f>K7+H8-I8</f>
        <v>0</v>
      </c>
      <c r="L8" s="412">
        <f>E8-J8</f>
        <v>40040</v>
      </c>
      <c r="M8" s="682"/>
    </row>
    <row r="9" spans="1:13" ht="27.95" customHeight="1">
      <c r="A9" s="324"/>
      <c r="B9" s="412"/>
      <c r="C9" s="412"/>
      <c r="D9" s="412"/>
      <c r="E9" s="412"/>
      <c r="F9" s="412"/>
      <c r="G9" s="412"/>
      <c r="H9" s="412"/>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4"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t="s">
        <v>2067</v>
      </c>
      <c r="J1" s="1633"/>
      <c r="K1" s="1633"/>
      <c r="L1" s="1904"/>
      <c r="M1" s="1812"/>
    </row>
    <row r="2" spans="1:13" ht="50.1" customHeight="1">
      <c r="A2" s="39" t="s">
        <v>240</v>
      </c>
      <c r="B2" s="1637" t="s">
        <v>2071</v>
      </c>
      <c r="C2" s="1637"/>
      <c r="D2" s="41" t="s">
        <v>242</v>
      </c>
      <c r="E2" s="1832"/>
      <c r="F2" s="1833"/>
      <c r="G2" s="40"/>
      <c r="H2" s="40" t="s">
        <v>425</v>
      </c>
      <c r="I2" s="1921"/>
      <c r="J2" s="1922"/>
      <c r="K2" s="1922"/>
      <c r="L2" s="1922"/>
      <c r="M2" s="1923"/>
    </row>
    <row r="3" spans="1:13" ht="57.95" customHeight="1">
      <c r="A3" s="39" t="s">
        <v>247</v>
      </c>
      <c r="B3" s="1637" t="s">
        <v>2072</v>
      </c>
      <c r="C3" s="1637"/>
      <c r="D3" s="41" t="s">
        <v>249</v>
      </c>
      <c r="E3" s="40"/>
      <c r="F3" s="40" t="s">
        <v>1706</v>
      </c>
      <c r="G3" s="103" t="s">
        <v>2070</v>
      </c>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42917</v>
      </c>
      <c r="B7" s="412">
        <v>69</v>
      </c>
      <c r="C7" s="412">
        <f>B7*280</f>
        <v>19320</v>
      </c>
      <c r="D7" s="412">
        <f>B7</f>
        <v>69</v>
      </c>
      <c r="E7" s="412">
        <f>C7</f>
        <v>19320</v>
      </c>
      <c r="F7" s="412"/>
      <c r="G7" s="412">
        <f>E7</f>
        <v>19320</v>
      </c>
      <c r="H7" s="412"/>
      <c r="I7" s="412"/>
      <c r="J7" s="412"/>
      <c r="K7" s="412"/>
      <c r="L7" s="412">
        <f>E7-J7</f>
        <v>19320</v>
      </c>
      <c r="M7" s="682"/>
    </row>
    <row r="8" spans="1:13" ht="27.95" customHeight="1">
      <c r="A8" s="324">
        <v>42948</v>
      </c>
      <c r="B8" s="412"/>
      <c r="C8" s="412"/>
      <c r="D8" s="412">
        <f>D7+B8</f>
        <v>69</v>
      </c>
      <c r="E8" s="412">
        <f>E7+C8</f>
        <v>19320</v>
      </c>
      <c r="F8" s="412"/>
      <c r="G8" s="412">
        <f>E8</f>
        <v>19320</v>
      </c>
      <c r="H8" s="412"/>
      <c r="I8" s="412"/>
      <c r="J8" s="412"/>
      <c r="K8" s="412">
        <f>K7+H8-I8</f>
        <v>0</v>
      </c>
      <c r="L8" s="412">
        <f>E8-J8</f>
        <v>19320</v>
      </c>
      <c r="M8" s="682"/>
    </row>
    <row r="9" spans="1:13" ht="27.95" customHeight="1">
      <c r="A9" s="324"/>
      <c r="B9" s="412"/>
      <c r="C9" s="412"/>
      <c r="D9" s="412"/>
      <c r="E9" s="412"/>
      <c r="F9" s="412"/>
      <c r="G9" s="412"/>
      <c r="H9" s="412">
        <f>C8</f>
        <v>0</v>
      </c>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4"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t="s">
        <v>2067</v>
      </c>
      <c r="J1" s="1633"/>
      <c r="K1" s="1633"/>
      <c r="L1" s="1904"/>
      <c r="M1" s="1812"/>
    </row>
    <row r="2" spans="1:13" ht="50.1" customHeight="1">
      <c r="A2" s="39" t="s">
        <v>240</v>
      </c>
      <c r="B2" s="1637" t="s">
        <v>2073</v>
      </c>
      <c r="C2" s="1637"/>
      <c r="D2" s="41" t="s">
        <v>242</v>
      </c>
      <c r="E2" s="1832"/>
      <c r="F2" s="1833"/>
      <c r="G2" s="40"/>
      <c r="H2" s="40" t="s">
        <v>425</v>
      </c>
      <c r="I2" s="1921"/>
      <c r="J2" s="1922"/>
      <c r="K2" s="1922"/>
      <c r="L2" s="1922"/>
      <c r="M2" s="1923"/>
    </row>
    <row r="3" spans="1:13" ht="57.95" customHeight="1">
      <c r="A3" s="39" t="s">
        <v>247</v>
      </c>
      <c r="B3" s="1637" t="s">
        <v>2074</v>
      </c>
      <c r="C3" s="1637"/>
      <c r="D3" s="41" t="s">
        <v>249</v>
      </c>
      <c r="E3" s="40"/>
      <c r="F3" s="40" t="s">
        <v>1706</v>
      </c>
      <c r="G3" s="103" t="s">
        <v>2070</v>
      </c>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42917</v>
      </c>
      <c r="B7" s="412">
        <v>71</v>
      </c>
      <c r="C7" s="412">
        <f>B7*280</f>
        <v>19880</v>
      </c>
      <c r="D7" s="412">
        <f>B7</f>
        <v>71</v>
      </c>
      <c r="E7" s="412">
        <f>C7</f>
        <v>19880</v>
      </c>
      <c r="F7" s="412"/>
      <c r="G7" s="412">
        <f>E7</f>
        <v>19880</v>
      </c>
      <c r="H7" s="412"/>
      <c r="I7" s="412"/>
      <c r="J7" s="412"/>
      <c r="K7" s="412"/>
      <c r="L7" s="412">
        <f>E7-J7</f>
        <v>19880</v>
      </c>
      <c r="M7" s="682"/>
    </row>
    <row r="8" spans="1:13" ht="27.95" customHeight="1">
      <c r="A8" s="324">
        <v>42948</v>
      </c>
      <c r="B8" s="412">
        <v>320.5</v>
      </c>
      <c r="C8" s="412">
        <f>B8*280</f>
        <v>89740</v>
      </c>
      <c r="D8" s="412">
        <f>D7+B8</f>
        <v>391.5</v>
      </c>
      <c r="E8" s="412">
        <f>E7+C8</f>
        <v>109620</v>
      </c>
      <c r="F8" s="412"/>
      <c r="G8" s="412">
        <f>E8</f>
        <v>109620</v>
      </c>
      <c r="H8" s="412"/>
      <c r="I8" s="412"/>
      <c r="J8" s="412"/>
      <c r="K8" s="412">
        <f>K7+H8-I8</f>
        <v>0</v>
      </c>
      <c r="L8" s="412">
        <f>E8-J8</f>
        <v>109620</v>
      </c>
      <c r="M8" s="682"/>
    </row>
    <row r="9" spans="1:13" ht="27.95" customHeight="1">
      <c r="A9" s="324"/>
      <c r="B9" s="412"/>
      <c r="C9" s="412"/>
      <c r="D9" s="412"/>
      <c r="E9" s="412"/>
      <c r="F9" s="412"/>
      <c r="G9" s="412"/>
      <c r="H9" s="412"/>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t="s">
        <v>2067</v>
      </c>
      <c r="J1" s="1633"/>
      <c r="K1" s="1633"/>
      <c r="L1" s="1904"/>
      <c r="M1" s="1812"/>
    </row>
    <row r="2" spans="1:13" ht="50.1" customHeight="1">
      <c r="A2" s="39" t="s">
        <v>240</v>
      </c>
      <c r="B2" s="1637" t="s">
        <v>2075</v>
      </c>
      <c r="C2" s="1637"/>
      <c r="D2" s="41" t="s">
        <v>242</v>
      </c>
      <c r="E2" s="1832"/>
      <c r="F2" s="1833"/>
      <c r="G2" s="40"/>
      <c r="H2" s="40" t="s">
        <v>425</v>
      </c>
      <c r="I2" s="1921"/>
      <c r="J2" s="1922"/>
      <c r="K2" s="1922"/>
      <c r="L2" s="1922"/>
      <c r="M2" s="1923"/>
    </row>
    <row r="3" spans="1:13" ht="57.95" customHeight="1">
      <c r="A3" s="39" t="s">
        <v>247</v>
      </c>
      <c r="B3" s="1637" t="s">
        <v>2076</v>
      </c>
      <c r="C3" s="1637"/>
      <c r="D3" s="41" t="s">
        <v>249</v>
      </c>
      <c r="E3" s="40"/>
      <c r="F3" s="40" t="s">
        <v>1706</v>
      </c>
      <c r="G3" s="103" t="s">
        <v>2070</v>
      </c>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42917</v>
      </c>
      <c r="B7" s="412">
        <v>136</v>
      </c>
      <c r="C7" s="412">
        <f>B7*280</f>
        <v>38080</v>
      </c>
      <c r="D7" s="412">
        <f>B7</f>
        <v>136</v>
      </c>
      <c r="E7" s="412">
        <f>C7</f>
        <v>38080</v>
      </c>
      <c r="F7" s="412"/>
      <c r="G7" s="412">
        <f>E7</f>
        <v>38080</v>
      </c>
      <c r="H7" s="412"/>
      <c r="I7" s="412"/>
      <c r="J7" s="412"/>
      <c r="K7" s="412"/>
      <c r="L7" s="412">
        <f>E7-J7</f>
        <v>38080</v>
      </c>
      <c r="M7" s="682"/>
    </row>
    <row r="8" spans="1:13" ht="27.95" customHeight="1">
      <c r="A8" s="324">
        <v>42948</v>
      </c>
      <c r="B8" s="412">
        <v>31</v>
      </c>
      <c r="C8" s="412">
        <f>B8*280</f>
        <v>8680</v>
      </c>
      <c r="D8" s="412">
        <f>D7+B8</f>
        <v>167</v>
      </c>
      <c r="E8" s="412">
        <f>E7+C8</f>
        <v>46760</v>
      </c>
      <c r="F8" s="412"/>
      <c r="G8" s="412">
        <f>E8</f>
        <v>46760</v>
      </c>
      <c r="H8" s="412"/>
      <c r="I8" s="412"/>
      <c r="J8" s="412"/>
      <c r="K8" s="412">
        <f>K7+H8-I8</f>
        <v>0</v>
      </c>
      <c r="L8" s="412">
        <f>E8-J8</f>
        <v>46760</v>
      </c>
      <c r="M8" s="682"/>
    </row>
    <row r="9" spans="1:13" ht="27.95" customHeight="1">
      <c r="A9" s="324"/>
      <c r="B9" s="412"/>
      <c r="C9" s="412"/>
      <c r="D9" s="412"/>
      <c r="E9" s="412"/>
      <c r="F9" s="412"/>
      <c r="G9" s="412"/>
      <c r="H9" s="412"/>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t="s">
        <v>2067</v>
      </c>
      <c r="J1" s="1633"/>
      <c r="K1" s="1633"/>
      <c r="L1" s="1904"/>
      <c r="M1" s="1812"/>
    </row>
    <row r="2" spans="1:13" ht="50.1" customHeight="1">
      <c r="A2" s="39" t="s">
        <v>240</v>
      </c>
      <c r="B2" s="1637" t="s">
        <v>529</v>
      </c>
      <c r="C2" s="1637"/>
      <c r="D2" s="41" t="s">
        <v>242</v>
      </c>
      <c r="E2" s="1832"/>
      <c r="F2" s="1833"/>
      <c r="G2" s="40"/>
      <c r="H2" s="40" t="s">
        <v>425</v>
      </c>
      <c r="I2" s="1921"/>
      <c r="J2" s="1922"/>
      <c r="K2" s="1922"/>
      <c r="L2" s="1922"/>
      <c r="M2" s="1923"/>
    </row>
    <row r="3" spans="1:13" ht="57.95" customHeight="1">
      <c r="A3" s="39" t="s">
        <v>247</v>
      </c>
      <c r="B3" s="1637" t="s">
        <v>2077</v>
      </c>
      <c r="C3" s="1637"/>
      <c r="D3" s="41" t="s">
        <v>249</v>
      </c>
      <c r="E3" s="40"/>
      <c r="F3" s="40" t="s">
        <v>1706</v>
      </c>
      <c r="G3" s="103" t="s">
        <v>2070</v>
      </c>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42917</v>
      </c>
      <c r="B7" s="412">
        <v>76</v>
      </c>
      <c r="C7" s="412">
        <f>B7*280</f>
        <v>21280</v>
      </c>
      <c r="D7" s="412">
        <f>B7</f>
        <v>76</v>
      </c>
      <c r="E7" s="412">
        <f>C7</f>
        <v>21280</v>
      </c>
      <c r="F7" s="412"/>
      <c r="G7" s="412">
        <f>E7</f>
        <v>21280</v>
      </c>
      <c r="H7" s="412"/>
      <c r="I7" s="412"/>
      <c r="J7" s="412"/>
      <c r="K7" s="412"/>
      <c r="L7" s="412">
        <f>E7-J7</f>
        <v>21280</v>
      </c>
      <c r="M7" s="682"/>
    </row>
    <row r="8" spans="1:13" ht="27.95" customHeight="1">
      <c r="A8" s="324">
        <v>42948</v>
      </c>
      <c r="B8" s="412">
        <v>44</v>
      </c>
      <c r="C8" s="412">
        <f>B8*280</f>
        <v>12320</v>
      </c>
      <c r="D8" s="412">
        <f>D7+B8</f>
        <v>120</v>
      </c>
      <c r="E8" s="412">
        <f>E7+C8</f>
        <v>33600</v>
      </c>
      <c r="F8" s="412"/>
      <c r="G8" s="412">
        <f>E8</f>
        <v>33600</v>
      </c>
      <c r="H8" s="412"/>
      <c r="I8" s="412"/>
      <c r="J8" s="412"/>
      <c r="K8" s="412">
        <f>K7+H8-I8</f>
        <v>0</v>
      </c>
      <c r="L8" s="412">
        <f>E8-J8</f>
        <v>33600</v>
      </c>
      <c r="M8" s="682"/>
    </row>
    <row r="9" spans="1:13" ht="27.95" customHeight="1">
      <c r="A9" s="324"/>
      <c r="B9" s="412"/>
      <c r="C9" s="412"/>
      <c r="D9" s="412"/>
      <c r="E9" s="412"/>
      <c r="F9" s="412"/>
      <c r="G9" s="412"/>
      <c r="H9" s="412"/>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2"/>
  <sheetViews>
    <sheetView topLeftCell="A7" zoomScaleSheetLayoutView="100" workbookViewId="0">
      <selection activeCell="E12" sqref="E12"/>
    </sheetView>
  </sheetViews>
  <sheetFormatPr defaultColWidth="9" defaultRowHeight="14.25"/>
  <cols>
    <col min="1" max="1" width="26.5" customWidth="1"/>
    <col min="2" max="3" width="16.5" customWidth="1"/>
    <col min="4" max="5" width="14.25" customWidth="1"/>
    <col min="6" max="6" width="15.75" customWidth="1"/>
    <col min="7" max="7" width="14.875" customWidth="1"/>
    <col min="8" max="8" width="16.75" customWidth="1"/>
    <col min="9" max="9" width="13.5" customWidth="1"/>
    <col min="10" max="10" width="15.375" customWidth="1"/>
    <col min="11" max="11" width="14.75" customWidth="1"/>
    <col min="12" max="12" width="14.625" customWidth="1"/>
    <col min="13" max="13" width="33.25" customWidth="1"/>
  </cols>
  <sheetData>
    <row r="1" spans="1:13" ht="60" customHeight="1">
      <c r="A1" s="1032" t="s">
        <v>348</v>
      </c>
      <c r="B1" s="1033" t="s">
        <v>414</v>
      </c>
      <c r="C1" s="1405" t="s">
        <v>415</v>
      </c>
      <c r="D1" s="1175"/>
      <c r="E1" s="1034" t="s">
        <v>236</v>
      </c>
      <c r="F1" s="1406"/>
      <c r="G1" s="656" t="s">
        <v>351</v>
      </c>
      <c r="H1" s="1407" t="s">
        <v>416</v>
      </c>
      <c r="I1" s="1652" t="s">
        <v>237</v>
      </c>
      <c r="J1" s="1656" t="s">
        <v>417</v>
      </c>
      <c r="K1" s="1657"/>
      <c r="L1" s="1658"/>
      <c r="M1" s="1654" t="s">
        <v>418</v>
      </c>
    </row>
    <row r="2" spans="1:13" ht="60" customHeight="1">
      <c r="A2" s="39" t="s">
        <v>240</v>
      </c>
      <c r="B2" s="1637" t="s">
        <v>419</v>
      </c>
      <c r="C2" s="1637"/>
      <c r="D2" s="41" t="s">
        <v>242</v>
      </c>
      <c r="E2" s="1666" t="s">
        <v>420</v>
      </c>
      <c r="F2" s="1667"/>
      <c r="G2" s="41" t="s">
        <v>243</v>
      </c>
      <c r="H2" s="1408" t="s">
        <v>421</v>
      </c>
      <c r="I2" s="1653"/>
      <c r="J2" s="1659"/>
      <c r="K2" s="1660"/>
      <c r="L2" s="1661"/>
      <c r="M2" s="1655"/>
    </row>
    <row r="3" spans="1:13" ht="60" customHeight="1">
      <c r="A3" s="39" t="s">
        <v>247</v>
      </c>
      <c r="B3" s="1637" t="s">
        <v>422</v>
      </c>
      <c r="C3" s="1637"/>
      <c r="D3" s="41" t="s">
        <v>249</v>
      </c>
      <c r="E3" s="186" t="s">
        <v>423</v>
      </c>
      <c r="F3" s="41" t="s">
        <v>251</v>
      </c>
      <c r="G3" s="41" t="s">
        <v>424</v>
      </c>
      <c r="H3" s="41" t="s">
        <v>252</v>
      </c>
      <c r="I3" t="s">
        <v>425</v>
      </c>
      <c r="J3" s="1668" t="s">
        <v>426</v>
      </c>
      <c r="K3" s="1669"/>
      <c r="L3" s="1669"/>
      <c r="M3" s="1669"/>
    </row>
    <row r="4" spans="1:13" ht="60" customHeight="1">
      <c r="A4" s="39" t="s">
        <v>257</v>
      </c>
      <c r="B4" s="1637"/>
      <c r="C4" s="1637"/>
      <c r="D4" s="1637"/>
      <c r="E4" s="43" t="s">
        <v>258</v>
      </c>
      <c r="F4" s="1638"/>
      <c r="G4" s="1638"/>
      <c r="H4" s="1638"/>
      <c r="I4" s="1637"/>
      <c r="J4" s="1637"/>
      <c r="K4" s="15"/>
      <c r="L4" s="40" t="s">
        <v>360</v>
      </c>
      <c r="M4" s="105" t="s">
        <v>427</v>
      </c>
    </row>
    <row r="5" spans="1:13" ht="75.95" customHeight="1">
      <c r="A5" s="1036" t="s">
        <v>428</v>
      </c>
      <c r="B5" s="1665" t="s">
        <v>429</v>
      </c>
      <c r="C5" s="1665"/>
      <c r="D5" s="1665"/>
      <c r="E5" s="1633" t="s">
        <v>430</v>
      </c>
      <c r="F5" s="1633"/>
      <c r="G5" s="1633"/>
      <c r="H5" s="1633"/>
      <c r="I5" s="90"/>
      <c r="J5" s="91" t="s">
        <v>253</v>
      </c>
      <c r="K5" s="40"/>
      <c r="L5" s="15" t="s">
        <v>255</v>
      </c>
      <c r="M5" s="105" t="s">
        <v>431</v>
      </c>
    </row>
    <row r="6" spans="1:13" ht="62.1" customHeight="1">
      <c r="A6" s="19" t="s">
        <v>266</v>
      </c>
      <c r="B6" s="20" t="s">
        <v>267</v>
      </c>
      <c r="C6" s="20" t="s">
        <v>268</v>
      </c>
      <c r="D6" s="20" t="s">
        <v>269</v>
      </c>
      <c r="E6" s="20" t="s">
        <v>270</v>
      </c>
      <c r="F6" s="20" t="s">
        <v>271</v>
      </c>
      <c r="G6" s="383" t="s">
        <v>272</v>
      </c>
      <c r="H6" s="22" t="s">
        <v>273</v>
      </c>
      <c r="I6" s="20" t="s">
        <v>274</v>
      </c>
      <c r="J6" s="70" t="s">
        <v>275</v>
      </c>
      <c r="K6" s="70" t="s">
        <v>276</v>
      </c>
      <c r="L6" s="20" t="s">
        <v>277</v>
      </c>
      <c r="M6" s="71" t="s">
        <v>278</v>
      </c>
    </row>
    <row r="7" spans="1:13" s="913" customFormat="1" ht="42" customHeight="1">
      <c r="A7" s="1475" t="s">
        <v>438</v>
      </c>
      <c r="B7" s="1476">
        <v>4614.5</v>
      </c>
      <c r="C7" s="1477">
        <v>1415803.19</v>
      </c>
      <c r="D7" s="1476">
        <f>B7</f>
        <v>4614.5</v>
      </c>
      <c r="E7" s="1476">
        <f>C7</f>
        <v>1415803.19</v>
      </c>
      <c r="F7" s="1476"/>
      <c r="G7" s="1477">
        <f>E7*0.15</f>
        <v>212370.4785</v>
      </c>
      <c r="H7" s="1478"/>
      <c r="I7" s="1480"/>
      <c r="J7" s="1480">
        <f>I7</f>
        <v>0</v>
      </c>
      <c r="K7" s="1477"/>
      <c r="L7" s="1481">
        <f>E7-J7</f>
        <v>1415803.19</v>
      </c>
      <c r="M7" s="1482"/>
    </row>
    <row r="8" spans="1:13" s="913" customFormat="1" ht="42" customHeight="1">
      <c r="A8" s="1475" t="s">
        <v>439</v>
      </c>
      <c r="B8" s="1476">
        <v>1229</v>
      </c>
      <c r="C8" s="1477">
        <v>380035.02</v>
      </c>
      <c r="D8" s="1476">
        <f>D7+B8</f>
        <v>5843.5</v>
      </c>
      <c r="E8" s="1476">
        <f>E7+C8</f>
        <v>1795838.21</v>
      </c>
      <c r="F8" s="1476"/>
      <c r="G8" s="1477">
        <f>E8*0.15</f>
        <v>269375.73149999999</v>
      </c>
      <c r="H8" s="1478">
        <f>C7*0.85</f>
        <v>1203432.7115</v>
      </c>
      <c r="I8" s="1480">
        <v>700000</v>
      </c>
      <c r="J8" s="1480">
        <f>I8+J7</f>
        <v>700000</v>
      </c>
      <c r="K8" s="1477">
        <f>K7+H8-I8</f>
        <v>503432.71149999998</v>
      </c>
      <c r="L8" s="1481">
        <f>E8-J8</f>
        <v>1095838.21</v>
      </c>
      <c r="M8" s="1482" t="s">
        <v>440</v>
      </c>
    </row>
    <row r="9" spans="1:13" s="913" customFormat="1" ht="42" customHeight="1">
      <c r="A9" s="1475" t="s">
        <v>441</v>
      </c>
      <c r="B9" s="1476">
        <v>613</v>
      </c>
      <c r="C9" s="1477">
        <v>179264.01</v>
      </c>
      <c r="D9" s="1476">
        <f>D8+B9</f>
        <v>6456.5</v>
      </c>
      <c r="E9" s="1476">
        <f>E8+C9</f>
        <v>1975102.22</v>
      </c>
      <c r="F9" s="1476"/>
      <c r="G9" s="1477">
        <f>E9*0.15</f>
        <v>296265.33299999998</v>
      </c>
      <c r="H9" s="1478">
        <f>C8*0.85</f>
        <v>323029.76699999999</v>
      </c>
      <c r="I9" s="1480"/>
      <c r="J9" s="1480">
        <f>I9+J8</f>
        <v>700000</v>
      </c>
      <c r="K9" s="1477">
        <f>K8+H9-I9</f>
        <v>826462.47849999997</v>
      </c>
      <c r="L9" s="1481">
        <f>E9-J9</f>
        <v>1275102.22</v>
      </c>
      <c r="M9" s="1482" t="s">
        <v>442</v>
      </c>
    </row>
    <row r="10" spans="1:13" s="913" customFormat="1" ht="42" customHeight="1">
      <c r="A10" s="1475">
        <v>42979</v>
      </c>
      <c r="B10" s="1476">
        <v>613</v>
      </c>
      <c r="C10" s="1476">
        <v>179264.01</v>
      </c>
      <c r="D10" s="1476">
        <v>6456.5</v>
      </c>
      <c r="E10" s="1476">
        <v>1975102.22</v>
      </c>
      <c r="F10" s="1476"/>
      <c r="G10" s="1479">
        <v>296265.33299999998</v>
      </c>
      <c r="H10" s="1478">
        <v>323029.76699999999</v>
      </c>
      <c r="I10" s="1480"/>
      <c r="J10" s="1480">
        <v>700000</v>
      </c>
      <c r="K10" s="1477">
        <v>826462.47849999997</v>
      </c>
      <c r="L10" s="1481">
        <v>1275102.22</v>
      </c>
      <c r="M10" s="1482" t="s">
        <v>442</v>
      </c>
    </row>
    <row r="11" spans="1:13" s="913" customFormat="1" ht="42" customHeight="1">
      <c r="A11" s="1475"/>
      <c r="B11" s="1476"/>
      <c r="C11" s="1476"/>
      <c r="D11" s="1476"/>
      <c r="E11" s="1476"/>
      <c r="F11" s="1476"/>
      <c r="G11" s="1479"/>
      <c r="H11" s="1478"/>
      <c r="I11" s="1480"/>
      <c r="J11" s="1480"/>
      <c r="K11" s="1477"/>
      <c r="L11" s="1481"/>
      <c r="M11" s="1482"/>
    </row>
    <row r="12" spans="1:13" s="913" customFormat="1" ht="42" customHeight="1">
      <c r="A12" s="1475"/>
      <c r="B12" s="1476"/>
      <c r="C12" s="1476"/>
      <c r="D12" s="1476"/>
      <c r="E12" s="1476"/>
      <c r="F12" s="1476"/>
      <c r="G12" s="1479"/>
      <c r="H12" s="1478"/>
      <c r="I12" s="1480"/>
      <c r="J12" s="1480"/>
      <c r="K12" s="1477"/>
      <c r="L12" s="1481"/>
      <c r="M12" s="1483"/>
    </row>
  </sheetData>
  <mergeCells count="12">
    <mergeCell ref="J3:M3"/>
    <mergeCell ref="B4:D4"/>
    <mergeCell ref="F4:H4"/>
    <mergeCell ref="I4:J4"/>
    <mergeCell ref="B5:D5"/>
    <mergeCell ref="E5:H5"/>
    <mergeCell ref="I1:I2"/>
    <mergeCell ref="M1:M2"/>
    <mergeCell ref="J1:L2"/>
    <mergeCell ref="B2:C2"/>
    <mergeCell ref="E2:F2"/>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c r="J1" s="1633"/>
      <c r="K1" s="1633"/>
      <c r="L1" s="1904"/>
      <c r="M1" s="1812"/>
    </row>
    <row r="2" spans="1:13" ht="50.1" customHeight="1">
      <c r="A2" s="39" t="s">
        <v>240</v>
      </c>
      <c r="B2" s="1637" t="s">
        <v>1494</v>
      </c>
      <c r="C2" s="1637"/>
      <c r="D2" s="41" t="s">
        <v>242</v>
      </c>
      <c r="E2" s="1832"/>
      <c r="F2" s="1833"/>
      <c r="G2" s="40"/>
      <c r="H2" s="40" t="s">
        <v>425</v>
      </c>
      <c r="I2" s="1921"/>
      <c r="J2" s="1922"/>
      <c r="K2" s="1922"/>
      <c r="L2" s="1922"/>
      <c r="M2" s="1923"/>
    </row>
    <row r="3" spans="1:13" ht="57.95" customHeight="1">
      <c r="A3" s="39" t="s">
        <v>247</v>
      </c>
      <c r="B3" s="1637" t="s">
        <v>2078</v>
      </c>
      <c r="C3" s="1637"/>
      <c r="D3" s="41" t="s">
        <v>249</v>
      </c>
      <c r="E3" s="40"/>
      <c r="F3" s="40" t="s">
        <v>1706</v>
      </c>
      <c r="G3" s="103"/>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42948</v>
      </c>
      <c r="B7" s="412">
        <v>562</v>
      </c>
      <c r="C7" s="412">
        <f>B7*280</f>
        <v>157360</v>
      </c>
      <c r="D7" s="412">
        <f>B7</f>
        <v>562</v>
      </c>
      <c r="E7" s="412">
        <f>C7</f>
        <v>157360</v>
      </c>
      <c r="F7" s="412"/>
      <c r="G7" s="412">
        <f>E7</f>
        <v>157360</v>
      </c>
      <c r="H7" s="412"/>
      <c r="I7" s="412"/>
      <c r="J7" s="412"/>
      <c r="K7" s="412"/>
      <c r="L7" s="412">
        <f>E7-J7</f>
        <v>157360</v>
      </c>
      <c r="M7" s="682"/>
    </row>
    <row r="8" spans="1:13" ht="27.95" customHeight="1">
      <c r="A8" s="324">
        <v>42979</v>
      </c>
      <c r="B8" s="412"/>
      <c r="C8" s="412"/>
      <c r="D8" s="412">
        <f>D7+B8</f>
        <v>562</v>
      </c>
      <c r="E8" s="412">
        <f>E7+C8</f>
        <v>157360</v>
      </c>
      <c r="F8" s="412"/>
      <c r="G8" s="412"/>
      <c r="H8" s="412"/>
      <c r="I8" s="412"/>
      <c r="J8" s="412"/>
      <c r="K8" s="412">
        <f>K7+H8-I8</f>
        <v>0</v>
      </c>
      <c r="L8" s="412">
        <f>E8-J8</f>
        <v>157360</v>
      </c>
      <c r="M8" s="682"/>
    </row>
    <row r="9" spans="1:13" ht="27.95" customHeight="1">
      <c r="A9" s="324"/>
      <c r="B9" s="412"/>
      <c r="C9" s="412"/>
      <c r="D9" s="412"/>
      <c r="E9" s="412"/>
      <c r="F9" s="412"/>
      <c r="G9" s="412"/>
      <c r="H9" s="412">
        <f>C8</f>
        <v>0</v>
      </c>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opLeftCell="A7" zoomScaleSheetLayoutView="100" workbookViewId="0">
      <selection activeCell="A9" sqref="A9"/>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c r="C1" s="1124" t="s">
        <v>1388</v>
      </c>
      <c r="D1" s="1124"/>
      <c r="E1" s="38" t="s">
        <v>236</v>
      </c>
      <c r="F1" s="1893"/>
      <c r="G1" s="1790"/>
      <c r="H1" s="1126" t="s">
        <v>237</v>
      </c>
      <c r="I1" s="1633"/>
      <c r="J1" s="1633"/>
      <c r="K1" s="1633"/>
      <c r="L1" s="1904"/>
      <c r="M1" s="1812"/>
    </row>
    <row r="2" spans="1:13" ht="50.1" customHeight="1">
      <c r="A2" s="39" t="s">
        <v>240</v>
      </c>
      <c r="B2" s="1637" t="s">
        <v>2079</v>
      </c>
      <c r="C2" s="1637"/>
      <c r="D2" s="41" t="s">
        <v>242</v>
      </c>
      <c r="E2" s="1832"/>
      <c r="F2" s="1833"/>
      <c r="G2" s="40"/>
      <c r="H2" s="40" t="s">
        <v>425</v>
      </c>
      <c r="I2" s="1921"/>
      <c r="J2" s="1922"/>
      <c r="K2" s="1922"/>
      <c r="L2" s="1922"/>
      <c r="M2" s="1923"/>
    </row>
    <row r="3" spans="1:13" ht="57.95" customHeight="1">
      <c r="A3" s="39" t="s">
        <v>247</v>
      </c>
      <c r="B3" s="1637" t="s">
        <v>2080</v>
      </c>
      <c r="C3" s="1637"/>
      <c r="D3" s="41" t="s">
        <v>249</v>
      </c>
      <c r="E3" s="40"/>
      <c r="F3" s="40" t="s">
        <v>1706</v>
      </c>
      <c r="G3" s="103"/>
      <c r="H3" s="271"/>
      <c r="I3" s="531" t="s">
        <v>243</v>
      </c>
      <c r="J3" s="1866"/>
      <c r="K3" s="1675"/>
      <c r="L3" s="1131" t="s">
        <v>245</v>
      </c>
      <c r="M3" s="1132"/>
    </row>
    <row r="4" spans="1:13" ht="72" customHeight="1">
      <c r="A4" s="1127" t="s">
        <v>260</v>
      </c>
      <c r="B4" s="1764"/>
      <c r="C4" s="1764"/>
      <c r="D4" s="1764"/>
      <c r="E4" s="1764"/>
      <c r="F4" s="1764"/>
      <c r="G4" s="1896"/>
      <c r="H4" s="1906"/>
      <c r="I4" s="1907"/>
      <c r="J4" s="91" t="s">
        <v>253</v>
      </c>
      <c r="K4" s="1133"/>
      <c r="L4" s="15" t="s">
        <v>1469</v>
      </c>
      <c r="M4" s="92"/>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42948</v>
      </c>
      <c r="B7" s="412">
        <v>40</v>
      </c>
      <c r="C7" s="412">
        <f>B7*280</f>
        <v>11200</v>
      </c>
      <c r="D7" s="412">
        <f>B7</f>
        <v>40</v>
      </c>
      <c r="E7" s="412">
        <f>C7</f>
        <v>11200</v>
      </c>
      <c r="F7" s="412"/>
      <c r="G7" s="412">
        <f>E7</f>
        <v>11200</v>
      </c>
      <c r="H7" s="412"/>
      <c r="I7" s="412"/>
      <c r="J7" s="412"/>
      <c r="K7" s="412"/>
      <c r="L7" s="412">
        <f>E7-J7</f>
        <v>11200</v>
      </c>
      <c r="M7" s="682"/>
    </row>
    <row r="8" spans="1:13" ht="27.95" customHeight="1">
      <c r="A8" s="324">
        <v>42979</v>
      </c>
      <c r="B8" s="412"/>
      <c r="C8" s="412"/>
      <c r="D8" s="412">
        <f>D7+B8</f>
        <v>40</v>
      </c>
      <c r="E8" s="412">
        <f>E7+C8</f>
        <v>11200</v>
      </c>
      <c r="F8" s="412"/>
      <c r="G8" s="412"/>
      <c r="H8" s="412"/>
      <c r="I8" s="412"/>
      <c r="J8" s="412"/>
      <c r="K8" s="412">
        <f>K7+H8-I8</f>
        <v>0</v>
      </c>
      <c r="L8" s="412">
        <f>E8-J8</f>
        <v>11200</v>
      </c>
      <c r="M8" s="682"/>
    </row>
    <row r="9" spans="1:13" ht="27.95" customHeight="1">
      <c r="A9" s="324"/>
      <c r="B9" s="412"/>
      <c r="C9" s="412"/>
      <c r="D9" s="412"/>
      <c r="E9" s="412"/>
      <c r="F9" s="412"/>
      <c r="G9" s="412"/>
      <c r="H9" s="412">
        <f>C8</f>
        <v>0</v>
      </c>
      <c r="I9" s="412"/>
      <c r="J9" s="412"/>
      <c r="K9" s="412">
        <f>K8+H9-I9</f>
        <v>0</v>
      </c>
      <c r="L9" s="412">
        <f>E9-J9</f>
        <v>0</v>
      </c>
      <c r="M9" s="682"/>
    </row>
    <row r="10" spans="1:13" ht="27.95" customHeight="1">
      <c r="A10" s="324"/>
      <c r="B10" s="412"/>
      <c r="C10" s="412"/>
      <c r="D10" s="412"/>
      <c r="E10" s="412"/>
      <c r="F10" s="412"/>
      <c r="G10" s="412"/>
      <c r="H10" s="412"/>
      <c r="I10" s="412"/>
      <c r="J10" s="412"/>
      <c r="K10" s="412"/>
      <c r="L10" s="412"/>
      <c r="M10" s="682"/>
    </row>
    <row r="11" spans="1:13" ht="27.95" customHeight="1">
      <c r="A11" s="324"/>
      <c r="B11" s="412"/>
      <c r="C11" s="412"/>
      <c r="D11" s="412"/>
      <c r="E11" s="412"/>
      <c r="F11" s="412"/>
      <c r="G11" s="412"/>
      <c r="H11" s="412"/>
      <c r="I11" s="412"/>
      <c r="J11" s="412"/>
      <c r="K11" s="412"/>
      <c r="L11" s="412"/>
      <c r="M11" s="682"/>
    </row>
    <row r="12" spans="1:13" ht="27.95" customHeight="1">
      <c r="A12" s="324"/>
      <c r="B12" s="412"/>
      <c r="C12" s="412"/>
      <c r="D12" s="412"/>
      <c r="E12" s="412"/>
      <c r="F12" s="412"/>
      <c r="G12" s="412"/>
      <c r="H12" s="412"/>
      <c r="I12" s="412"/>
      <c r="J12" s="412"/>
      <c r="K12" s="412"/>
      <c r="L12" s="412"/>
      <c r="M12" s="682"/>
    </row>
    <row r="13" spans="1:13" ht="27.95" customHeight="1">
      <c r="A13" s="324"/>
      <c r="B13" s="412"/>
      <c r="C13" s="412"/>
      <c r="D13" s="412"/>
      <c r="E13" s="412"/>
      <c r="F13" s="412"/>
      <c r="G13" s="412"/>
      <c r="H13" s="412"/>
      <c r="I13" s="412"/>
      <c r="J13" s="412"/>
      <c r="K13" s="412"/>
      <c r="L13" s="412"/>
      <c r="M13"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worksheet>
</file>

<file path=xl/worksheets/sheet9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8"/>
  <sheetViews>
    <sheetView topLeftCell="A7" zoomScaleSheetLayoutView="100" workbookViewId="0">
      <selection activeCell="A12" sqref="A12"/>
    </sheetView>
  </sheetViews>
  <sheetFormatPr defaultColWidth="9" defaultRowHeight="14.25"/>
  <cols>
    <col min="1" max="1" width="13.75" customWidth="1"/>
    <col min="2" max="2" width="14.25" customWidth="1"/>
    <col min="3" max="3" width="14.5" customWidth="1"/>
    <col min="4" max="4" width="14" customWidth="1"/>
    <col min="5" max="5" width="14.75" customWidth="1"/>
    <col min="6" max="6" width="14.625" customWidth="1"/>
    <col min="7" max="7" width="12.375" customWidth="1"/>
    <col min="8" max="8" width="15.25" customWidth="1"/>
    <col min="9" max="9" width="14.5" customWidth="1"/>
    <col min="10" max="10" width="14.75" customWidth="1"/>
    <col min="11" max="11" width="26.375" customWidth="1"/>
    <col min="12" max="12" width="13.875" customWidth="1"/>
    <col min="13" max="13" width="27.375" customWidth="1"/>
  </cols>
  <sheetData>
    <row r="1" spans="1:13" ht="63" customHeight="1">
      <c r="A1" s="34" t="s">
        <v>556</v>
      </c>
      <c r="B1" s="176" t="s">
        <v>2081</v>
      </c>
      <c r="C1" s="1123" t="s">
        <v>2082</v>
      </c>
      <c r="D1" s="1124" t="s">
        <v>2083</v>
      </c>
      <c r="E1" s="38" t="s">
        <v>236</v>
      </c>
      <c r="F1" s="1893" t="s">
        <v>2081</v>
      </c>
      <c r="G1" s="1790"/>
      <c r="H1" s="1126" t="s">
        <v>237</v>
      </c>
      <c r="I1" s="1633" t="s">
        <v>2084</v>
      </c>
      <c r="J1" s="1633"/>
      <c r="K1" s="1633"/>
      <c r="L1" s="1904" t="s">
        <v>1608</v>
      </c>
      <c r="M1" s="1812"/>
    </row>
    <row r="2" spans="1:13" ht="50.1" customHeight="1">
      <c r="A2" s="39" t="s">
        <v>240</v>
      </c>
      <c r="B2" s="1637" t="s">
        <v>2085</v>
      </c>
      <c r="C2" s="1637"/>
      <c r="D2" s="41" t="s">
        <v>242</v>
      </c>
      <c r="E2" s="1832"/>
      <c r="F2" s="1833"/>
      <c r="G2" s="40"/>
      <c r="H2" s="40" t="s">
        <v>425</v>
      </c>
      <c r="I2" s="1921" t="s">
        <v>2086</v>
      </c>
      <c r="J2" s="1922"/>
      <c r="K2" s="1922"/>
      <c r="L2" s="1922"/>
      <c r="M2" s="1923"/>
    </row>
    <row r="3" spans="1:13" ht="57.95" customHeight="1">
      <c r="A3" s="39" t="s">
        <v>247</v>
      </c>
      <c r="B3" s="1637" t="s">
        <v>2087</v>
      </c>
      <c r="C3" s="1637"/>
      <c r="D3" s="41" t="s">
        <v>249</v>
      </c>
      <c r="E3" s="40"/>
      <c r="F3" s="40" t="s">
        <v>1706</v>
      </c>
      <c r="G3" s="269"/>
      <c r="H3" s="271"/>
      <c r="I3" s="531" t="s">
        <v>243</v>
      </c>
      <c r="J3" s="1866" t="s">
        <v>421</v>
      </c>
      <c r="K3" s="1675"/>
      <c r="L3" s="1131" t="s">
        <v>245</v>
      </c>
      <c r="M3" s="1132" t="s">
        <v>402</v>
      </c>
    </row>
    <row r="4" spans="1:13" ht="72" customHeight="1">
      <c r="A4" s="1127" t="s">
        <v>260</v>
      </c>
      <c r="B4" s="1764" t="s">
        <v>2088</v>
      </c>
      <c r="C4" s="1764"/>
      <c r="D4" s="1764"/>
      <c r="E4" s="1764"/>
      <c r="F4" s="1764"/>
      <c r="G4" s="1896"/>
      <c r="H4" s="1906"/>
      <c r="I4" s="1907"/>
      <c r="J4" s="91" t="s">
        <v>253</v>
      </c>
      <c r="K4" s="1133" t="s">
        <v>2089</v>
      </c>
      <c r="L4" s="15" t="s">
        <v>1469</v>
      </c>
      <c r="M4" s="92" t="s">
        <v>2090</v>
      </c>
    </row>
    <row r="5" spans="1:13" ht="69.95" customHeight="1">
      <c r="A5" s="39" t="s">
        <v>258</v>
      </c>
      <c r="B5" s="1890"/>
      <c r="C5" s="1891"/>
      <c r="D5" s="1908"/>
      <c r="E5" s="1909"/>
      <c r="F5" s="1909"/>
      <c r="G5" s="1786"/>
      <c r="H5" s="1786"/>
      <c r="I5" s="1786"/>
      <c r="J5" s="1786"/>
      <c r="L5" s="178"/>
      <c r="M5" s="1134"/>
    </row>
    <row r="6" spans="1:13" ht="30.75">
      <c r="A6" s="381" t="s">
        <v>266</v>
      </c>
      <c r="B6" s="382" t="s">
        <v>1474</v>
      </c>
      <c r="C6" s="382" t="s">
        <v>268</v>
      </c>
      <c r="D6" s="382" t="s">
        <v>1475</v>
      </c>
      <c r="E6" s="382" t="s">
        <v>270</v>
      </c>
      <c r="F6" s="382" t="s">
        <v>1476</v>
      </c>
      <c r="G6" s="1128" t="s">
        <v>272</v>
      </c>
      <c r="H6" s="384" t="s">
        <v>273</v>
      </c>
      <c r="I6" s="390" t="s">
        <v>274</v>
      </c>
      <c r="J6" s="1135" t="s">
        <v>275</v>
      </c>
      <c r="K6" s="391" t="s">
        <v>276</v>
      </c>
      <c r="L6" s="382" t="s">
        <v>277</v>
      </c>
      <c r="M6" s="392" t="s">
        <v>278</v>
      </c>
    </row>
    <row r="7" spans="1:13" ht="27.95" customHeight="1">
      <c r="A7" s="324">
        <v>42795</v>
      </c>
      <c r="B7" s="412">
        <v>5016</v>
      </c>
      <c r="C7" s="412">
        <v>1461090</v>
      </c>
      <c r="D7" s="412">
        <f>B7</f>
        <v>5016</v>
      </c>
      <c r="E7" s="412">
        <f>C7</f>
        <v>1461090</v>
      </c>
      <c r="F7" s="412"/>
      <c r="G7" s="412">
        <f>C7</f>
        <v>1461090</v>
      </c>
      <c r="H7" s="412"/>
      <c r="I7" s="412"/>
      <c r="J7" s="412"/>
      <c r="K7" s="412"/>
      <c r="L7" s="412">
        <f>E7-J7</f>
        <v>1461090</v>
      </c>
      <c r="M7" s="682"/>
    </row>
    <row r="8" spans="1:13" ht="27.95" customHeight="1">
      <c r="A8" s="324">
        <v>42826</v>
      </c>
      <c r="B8" s="412">
        <v>5342.5</v>
      </c>
      <c r="C8" s="412">
        <v>1584592.5</v>
      </c>
      <c r="D8" s="412">
        <f t="shared" ref="D8:E11" si="0">D7+B8</f>
        <v>10358.5</v>
      </c>
      <c r="E8" s="412">
        <f t="shared" si="0"/>
        <v>3045682.5</v>
      </c>
      <c r="F8" s="412"/>
      <c r="G8" s="412">
        <f>C8+E7*0.2</f>
        <v>1876810.5</v>
      </c>
      <c r="H8" s="412"/>
      <c r="I8" s="412"/>
      <c r="J8" s="412"/>
      <c r="K8" s="412">
        <f>K7+H8-I8</f>
        <v>0</v>
      </c>
      <c r="L8" s="412">
        <f>E8-J8</f>
        <v>3045682.5</v>
      </c>
      <c r="M8" s="682"/>
    </row>
    <row r="9" spans="1:13" ht="27.95" customHeight="1">
      <c r="A9" s="324">
        <v>42856</v>
      </c>
      <c r="B9" s="412">
        <v>1453.5</v>
      </c>
      <c r="C9" s="412">
        <v>440010</v>
      </c>
      <c r="D9" s="412">
        <f t="shared" si="0"/>
        <v>11812</v>
      </c>
      <c r="E9" s="412">
        <f t="shared" si="0"/>
        <v>3485692.5</v>
      </c>
      <c r="F9" s="412"/>
      <c r="G9" s="412">
        <f>C9+E8*0.2</f>
        <v>1049146.5</v>
      </c>
      <c r="H9" s="412">
        <f>C7*0.8</f>
        <v>1168872</v>
      </c>
      <c r="I9" s="412"/>
      <c r="J9" s="412"/>
      <c r="K9" s="412">
        <f>K8+H9-I9</f>
        <v>1168872</v>
      </c>
      <c r="L9" s="412">
        <f>E9-J9</f>
        <v>3485692.5</v>
      </c>
      <c r="M9" s="682" t="s">
        <v>2091</v>
      </c>
    </row>
    <row r="10" spans="1:13" ht="27.95" customHeight="1">
      <c r="A10" s="324">
        <v>42887</v>
      </c>
      <c r="B10" s="412">
        <v>0</v>
      </c>
      <c r="C10" s="412">
        <v>0</v>
      </c>
      <c r="D10" s="412">
        <f t="shared" si="0"/>
        <v>11812</v>
      </c>
      <c r="E10" s="412">
        <f t="shared" si="0"/>
        <v>3485692.5</v>
      </c>
      <c r="F10" s="412"/>
      <c r="G10" s="412">
        <f>C10+E9*0.2</f>
        <v>697138.5</v>
      </c>
      <c r="H10" s="412">
        <f>C8*0.8</f>
        <v>1267674</v>
      </c>
      <c r="I10" s="412">
        <v>1168872</v>
      </c>
      <c r="J10" s="412">
        <f>I10</f>
        <v>1168872</v>
      </c>
      <c r="K10" s="412">
        <f>K9+H10-I10</f>
        <v>1267674</v>
      </c>
      <c r="L10" s="412">
        <f>E10-J10</f>
        <v>2316820.5</v>
      </c>
      <c r="M10" s="682"/>
    </row>
    <row r="11" spans="1:13" ht="27.95" customHeight="1">
      <c r="A11" s="324">
        <v>42948</v>
      </c>
      <c r="B11" s="412">
        <v>0</v>
      </c>
      <c r="C11" s="412"/>
      <c r="D11" s="412">
        <f t="shared" si="0"/>
        <v>11812</v>
      </c>
      <c r="E11" s="412">
        <f t="shared" si="0"/>
        <v>3485692.5</v>
      </c>
      <c r="F11" s="412"/>
      <c r="G11" s="412">
        <f>C11+E10*0.2</f>
        <v>697138.5</v>
      </c>
      <c r="H11" s="412">
        <f>C9*0.8</f>
        <v>352008</v>
      </c>
      <c r="I11" s="412">
        <v>1267674</v>
      </c>
      <c r="J11" s="412">
        <f>I11+J10</f>
        <v>2436546</v>
      </c>
      <c r="K11" s="412">
        <f>K10+H11-I11</f>
        <v>352008</v>
      </c>
      <c r="L11" s="412">
        <f>E11-J11</f>
        <v>1049146.5</v>
      </c>
      <c r="M11" s="682" t="s">
        <v>2092</v>
      </c>
    </row>
    <row r="12" spans="1:13" ht="27.95" customHeight="1">
      <c r="A12" s="324"/>
      <c r="B12" s="412"/>
      <c r="C12" s="412">
        <v>0</v>
      </c>
      <c r="D12" s="412"/>
      <c r="E12" s="412"/>
      <c r="F12" s="412"/>
      <c r="G12" s="412"/>
      <c r="H12" s="412">
        <f>C10*0.8</f>
        <v>0</v>
      </c>
      <c r="I12" s="412"/>
      <c r="J12" s="412"/>
      <c r="K12" s="412">
        <f>K11+H12-I12</f>
        <v>352008</v>
      </c>
      <c r="L12" s="412"/>
      <c r="M12" s="682"/>
    </row>
    <row r="13" spans="1:13" ht="27.95" customHeight="1">
      <c r="A13" s="324"/>
      <c r="B13" s="412"/>
      <c r="C13" s="412"/>
      <c r="D13" s="412"/>
      <c r="E13" s="412"/>
      <c r="F13" s="412"/>
      <c r="G13" s="412"/>
      <c r="H13" s="412"/>
      <c r="I13" s="412"/>
      <c r="J13" s="412"/>
      <c r="K13" s="412"/>
      <c r="L13" s="412"/>
      <c r="M13" s="682"/>
    </row>
    <row r="14" spans="1:13" ht="27.95" customHeight="1">
      <c r="A14" s="324"/>
      <c r="B14" s="412"/>
      <c r="C14" s="412"/>
      <c r="D14" s="412"/>
      <c r="E14" s="412"/>
      <c r="F14" s="412"/>
      <c r="G14" s="412"/>
      <c r="H14" s="412"/>
      <c r="I14" s="412"/>
      <c r="J14" s="412"/>
      <c r="K14" s="412"/>
      <c r="L14" s="412"/>
      <c r="M14" s="682"/>
    </row>
    <row r="15" spans="1:13" ht="27.95" customHeight="1">
      <c r="A15" s="324"/>
      <c r="B15" s="412"/>
      <c r="C15" s="412"/>
      <c r="D15" s="412"/>
      <c r="E15" s="412"/>
      <c r="F15" s="412"/>
      <c r="G15" s="412"/>
      <c r="H15" s="412"/>
      <c r="I15" s="412"/>
      <c r="J15" s="412"/>
      <c r="K15" s="412"/>
      <c r="L15" s="412"/>
      <c r="M15" s="682"/>
    </row>
    <row r="16" spans="1:13" ht="27.95" customHeight="1">
      <c r="A16" s="324"/>
      <c r="B16" s="412"/>
      <c r="C16" s="412"/>
      <c r="D16" s="412"/>
      <c r="E16" s="412"/>
      <c r="F16" s="412"/>
      <c r="G16" s="412"/>
      <c r="H16" s="412"/>
      <c r="I16" s="412"/>
      <c r="J16" s="412"/>
      <c r="K16" s="412"/>
      <c r="L16" s="412"/>
      <c r="M16" s="682"/>
    </row>
    <row r="17" spans="1:13" ht="27.95" customHeight="1">
      <c r="A17" s="324"/>
      <c r="B17" s="412"/>
      <c r="C17" s="412"/>
      <c r="D17" s="412"/>
      <c r="E17" s="412"/>
      <c r="F17" s="412"/>
      <c r="G17" s="412"/>
      <c r="H17" s="412"/>
      <c r="I17" s="412"/>
      <c r="J17" s="412"/>
      <c r="K17" s="412"/>
      <c r="L17" s="412"/>
      <c r="M17" s="682"/>
    </row>
    <row r="18" spans="1:13" ht="27.95" customHeight="1">
      <c r="A18" s="324"/>
      <c r="B18" s="412"/>
      <c r="C18" s="412"/>
      <c r="D18" s="412"/>
      <c r="E18" s="412"/>
      <c r="F18" s="412"/>
      <c r="G18" s="412"/>
      <c r="H18" s="412"/>
      <c r="I18" s="412"/>
      <c r="J18" s="412"/>
      <c r="K18" s="412"/>
      <c r="L18" s="412"/>
      <c r="M18" s="682"/>
    </row>
  </sheetData>
  <mergeCells count="13">
    <mergeCell ref="B3:C3"/>
    <mergeCell ref="J3:K3"/>
    <mergeCell ref="B4:F4"/>
    <mergeCell ref="G4:I4"/>
    <mergeCell ref="B5:C5"/>
    <mergeCell ref="D5:F5"/>
    <mergeCell ref="G5:J5"/>
    <mergeCell ref="F1:G1"/>
    <mergeCell ref="I1:K1"/>
    <mergeCell ref="L1:M1"/>
    <mergeCell ref="B2:C2"/>
    <mergeCell ref="E2:F2"/>
    <mergeCell ref="I2:M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9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69"/>
  <sheetViews>
    <sheetView topLeftCell="A56" zoomScaleSheetLayoutView="100" workbookViewId="0">
      <selection activeCell="B64" sqref="B64:M64"/>
    </sheetView>
  </sheetViews>
  <sheetFormatPr defaultColWidth="9" defaultRowHeight="14.25"/>
  <cols>
    <col min="1" max="1" width="17.25" customWidth="1"/>
    <col min="2" max="2" width="13.125" customWidth="1"/>
    <col min="3" max="3" width="13.75" customWidth="1"/>
    <col min="4" max="4" width="13.125" customWidth="1"/>
    <col min="5" max="5" width="14.125" bestFit="1" customWidth="1"/>
    <col min="6" max="6" width="12.875" bestFit="1" customWidth="1"/>
    <col min="7" max="7" width="14.5" bestFit="1" customWidth="1"/>
    <col min="8" max="10" width="14.125" bestFit="1" customWidth="1"/>
    <col min="11" max="11" width="14.875" customWidth="1"/>
    <col min="12" max="12" width="15.375" bestFit="1" customWidth="1"/>
    <col min="13" max="13" width="28.75" customWidth="1"/>
  </cols>
  <sheetData>
    <row r="1" spans="1:13" ht="117.95" customHeight="1">
      <c r="A1" s="1944" t="s">
        <v>556</v>
      </c>
      <c r="B1" s="1946"/>
      <c r="C1" s="1950" t="s">
        <v>2093</v>
      </c>
      <c r="D1" s="1951"/>
      <c r="E1" s="1948" t="s">
        <v>236</v>
      </c>
      <c r="F1" s="1948"/>
      <c r="G1" s="1954" t="s">
        <v>2094</v>
      </c>
      <c r="H1" s="1955"/>
      <c r="I1" s="656" t="s">
        <v>2095</v>
      </c>
      <c r="J1" s="1777" t="s">
        <v>2096</v>
      </c>
      <c r="K1" s="1777"/>
      <c r="L1" s="1777" t="s">
        <v>2097</v>
      </c>
      <c r="M1" s="1801"/>
    </row>
    <row r="2" spans="1:13" ht="80.099999999999994" customHeight="1">
      <c r="A2" s="1945"/>
      <c r="B2" s="1947"/>
      <c r="C2" s="1952"/>
      <c r="D2" s="1953"/>
      <c r="E2" s="1949"/>
      <c r="F2" s="1949"/>
      <c r="G2" s="1956"/>
      <c r="H2" s="1957"/>
      <c r="I2" s="656" t="s">
        <v>2098</v>
      </c>
      <c r="J2" s="1939" t="s">
        <v>2099</v>
      </c>
      <c r="K2" s="1940"/>
      <c r="L2" s="1940"/>
      <c r="M2" s="1941"/>
    </row>
    <row r="3" spans="1:13" ht="45" customHeight="1">
      <c r="A3" s="39" t="s">
        <v>240</v>
      </c>
      <c r="B3" s="1637" t="s">
        <v>2100</v>
      </c>
      <c r="C3" s="1637"/>
      <c r="D3" s="41" t="s">
        <v>242</v>
      </c>
      <c r="E3" s="1637" t="s">
        <v>2100</v>
      </c>
      <c r="F3" s="1637"/>
      <c r="G3" s="1637"/>
      <c r="H3" s="1637"/>
      <c r="I3" s="41" t="s">
        <v>243</v>
      </c>
      <c r="J3" s="148" t="s">
        <v>2101</v>
      </c>
      <c r="K3" s="1061"/>
      <c r="L3" s="90" t="s">
        <v>2102</v>
      </c>
      <c r="M3" s="104" t="s">
        <v>2103</v>
      </c>
    </row>
    <row r="4" spans="1:13" ht="45" customHeight="1">
      <c r="A4" s="39" t="s">
        <v>247</v>
      </c>
      <c r="B4" s="1637" t="s">
        <v>2104</v>
      </c>
      <c r="C4" s="1637"/>
      <c r="D4" s="41" t="s">
        <v>249</v>
      </c>
      <c r="E4" s="1059" t="s">
        <v>2105</v>
      </c>
      <c r="F4" s="41" t="s">
        <v>251</v>
      </c>
      <c r="G4" s="41"/>
      <c r="H4" s="41" t="s">
        <v>252</v>
      </c>
      <c r="I4" s="41"/>
      <c r="J4" s="41" t="s">
        <v>565</v>
      </c>
      <c r="K4" s="40"/>
      <c r="L4" s="90" t="s">
        <v>2106</v>
      </c>
      <c r="M4" s="105"/>
    </row>
    <row r="5" spans="1:13" ht="42.95" customHeight="1">
      <c r="A5" s="1075" t="s">
        <v>258</v>
      </c>
      <c r="B5" s="1637"/>
      <c r="C5" s="1637"/>
      <c r="D5" s="1637"/>
      <c r="E5" s="1637"/>
      <c r="F5" s="1958"/>
      <c r="G5" s="1958"/>
      <c r="H5" s="1958"/>
      <c r="I5" s="1746"/>
      <c r="J5" s="1746"/>
      <c r="K5" s="1746"/>
      <c r="L5" s="90"/>
      <c r="M5" s="105"/>
    </row>
    <row r="6" spans="1:13" ht="62.1" customHeight="1">
      <c r="A6" s="39" t="s">
        <v>2107</v>
      </c>
      <c r="B6" s="1665" t="s">
        <v>2108</v>
      </c>
      <c r="C6" s="1665"/>
      <c r="D6" s="1665"/>
      <c r="E6" s="1665" t="s">
        <v>2109</v>
      </c>
      <c r="F6" s="1665"/>
      <c r="G6" s="1665"/>
      <c r="H6" s="1664" t="s">
        <v>2110</v>
      </c>
      <c r="I6" s="1664"/>
      <c r="J6" s="1664"/>
      <c r="K6" s="1664"/>
      <c r="L6" s="1664"/>
      <c r="M6" s="1943"/>
    </row>
    <row r="7" spans="1:13" ht="42.75">
      <c r="A7" s="19" t="s">
        <v>266</v>
      </c>
      <c r="B7" s="20" t="s">
        <v>267</v>
      </c>
      <c r="C7" s="20" t="s">
        <v>268</v>
      </c>
      <c r="D7" s="20" t="s">
        <v>269</v>
      </c>
      <c r="E7" s="20" t="s">
        <v>270</v>
      </c>
      <c r="F7" s="20" t="s">
        <v>271</v>
      </c>
      <c r="G7" s="21" t="s">
        <v>272</v>
      </c>
      <c r="H7" s="22" t="s">
        <v>273</v>
      </c>
      <c r="I7" s="20" t="s">
        <v>274</v>
      </c>
      <c r="J7" s="70" t="s">
        <v>275</v>
      </c>
      <c r="K7" s="70" t="s">
        <v>276</v>
      </c>
      <c r="L7" s="20" t="s">
        <v>277</v>
      </c>
      <c r="M7" s="71" t="s">
        <v>278</v>
      </c>
    </row>
    <row r="8" spans="1:13" ht="30" customHeight="1">
      <c r="A8" s="448">
        <v>41579</v>
      </c>
      <c r="B8" s="46">
        <v>177.5</v>
      </c>
      <c r="C8" s="46">
        <v>46005</v>
      </c>
      <c r="D8" s="46">
        <f>B8</f>
        <v>177.5</v>
      </c>
      <c r="E8" s="46">
        <f>C8</f>
        <v>46005</v>
      </c>
      <c r="F8" s="140">
        <f t="shared" ref="F8:F32" si="0">80000-D8</f>
        <v>79822.5</v>
      </c>
      <c r="G8" s="46">
        <f t="shared" ref="G8:G37" si="1">E8*0.2</f>
        <v>9201</v>
      </c>
      <c r="H8" s="141"/>
      <c r="I8" s="47"/>
      <c r="J8" s="47"/>
      <c r="K8" s="140"/>
      <c r="L8" s="140">
        <f t="shared" ref="L8:L62" si="2">E8-J8</f>
        <v>46005</v>
      </c>
      <c r="M8" s="989"/>
    </row>
    <row r="9" spans="1:13" ht="30" customHeight="1">
      <c r="A9" s="448" t="s">
        <v>2111</v>
      </c>
      <c r="B9" s="46">
        <v>263.5</v>
      </c>
      <c r="C9" s="46">
        <v>68843</v>
      </c>
      <c r="D9" s="46">
        <f t="shared" ref="D9:D62" si="3">D8+B9</f>
        <v>441</v>
      </c>
      <c r="E9" s="46">
        <f t="shared" ref="E9:E62" si="4">E8+C9</f>
        <v>114848</v>
      </c>
      <c r="F9" s="140">
        <f t="shared" si="0"/>
        <v>79559</v>
      </c>
      <c r="G9" s="46">
        <f t="shared" si="1"/>
        <v>22969.600000000002</v>
      </c>
      <c r="H9" s="141">
        <f t="shared" ref="H9:H37" si="5">C8*0.8</f>
        <v>36804</v>
      </c>
      <c r="I9" s="47"/>
      <c r="J9" s="47"/>
      <c r="K9" s="140">
        <f t="shared" ref="K9:K63" si="6">K8+H9-I9</f>
        <v>36804</v>
      </c>
      <c r="L9" s="140">
        <f t="shared" si="2"/>
        <v>114848</v>
      </c>
      <c r="M9" s="989"/>
    </row>
    <row r="10" spans="1:13" ht="30" customHeight="1">
      <c r="A10" s="448" t="s">
        <v>2112</v>
      </c>
      <c r="B10" s="46">
        <v>213.5</v>
      </c>
      <c r="C10" s="46">
        <v>55419</v>
      </c>
      <c r="D10" s="46">
        <f t="shared" si="3"/>
        <v>654.5</v>
      </c>
      <c r="E10" s="46">
        <f t="shared" si="4"/>
        <v>170267</v>
      </c>
      <c r="F10" s="140">
        <f t="shared" si="0"/>
        <v>79345.5</v>
      </c>
      <c r="G10" s="46">
        <f t="shared" si="1"/>
        <v>34053.4</v>
      </c>
      <c r="H10" s="141">
        <f t="shared" si="5"/>
        <v>55074.400000000001</v>
      </c>
      <c r="I10" s="47"/>
      <c r="J10" s="47"/>
      <c r="K10" s="140">
        <f t="shared" si="6"/>
        <v>91878.399999999994</v>
      </c>
      <c r="L10" s="140">
        <f t="shared" si="2"/>
        <v>170267</v>
      </c>
      <c r="M10" s="989"/>
    </row>
    <row r="11" spans="1:13" ht="30" customHeight="1">
      <c r="A11" s="448" t="s">
        <v>2113</v>
      </c>
      <c r="B11" s="46">
        <v>714.5</v>
      </c>
      <c r="C11" s="46">
        <v>182273</v>
      </c>
      <c r="D11" s="46">
        <f t="shared" si="3"/>
        <v>1369</v>
      </c>
      <c r="E11" s="46">
        <f t="shared" si="4"/>
        <v>352540</v>
      </c>
      <c r="F11" s="140">
        <f t="shared" si="0"/>
        <v>78631</v>
      </c>
      <c r="G11" s="46">
        <f t="shared" si="1"/>
        <v>70508</v>
      </c>
      <c r="H11" s="141">
        <f t="shared" si="5"/>
        <v>44335.200000000004</v>
      </c>
      <c r="I11" s="47"/>
      <c r="J11" s="47"/>
      <c r="K11" s="140">
        <f t="shared" si="6"/>
        <v>136213.6</v>
      </c>
      <c r="L11" s="140">
        <f t="shared" si="2"/>
        <v>352540</v>
      </c>
      <c r="M11" s="989"/>
    </row>
    <row r="12" spans="1:13" ht="30" customHeight="1">
      <c r="A12" s="448" t="s">
        <v>2114</v>
      </c>
      <c r="B12" s="46">
        <v>349</v>
      </c>
      <c r="C12" s="46">
        <v>88734</v>
      </c>
      <c r="D12" s="46">
        <f t="shared" si="3"/>
        <v>1718</v>
      </c>
      <c r="E12" s="46">
        <f t="shared" si="4"/>
        <v>441274</v>
      </c>
      <c r="F12" s="140">
        <f t="shared" si="0"/>
        <v>78282</v>
      </c>
      <c r="G12" s="46">
        <f t="shared" si="1"/>
        <v>88254.8</v>
      </c>
      <c r="H12" s="141">
        <f t="shared" si="5"/>
        <v>145818.4</v>
      </c>
      <c r="I12" s="47"/>
      <c r="J12" s="47"/>
      <c r="K12" s="140">
        <f t="shared" si="6"/>
        <v>282032</v>
      </c>
      <c r="L12" s="140">
        <f t="shared" si="2"/>
        <v>441274</v>
      </c>
      <c r="M12" s="989"/>
    </row>
    <row r="13" spans="1:13" ht="30" customHeight="1">
      <c r="A13" s="1095" t="s">
        <v>2115</v>
      </c>
      <c r="B13" s="128">
        <v>1179</v>
      </c>
      <c r="C13" s="128">
        <v>347503</v>
      </c>
      <c r="D13" s="46">
        <f t="shared" si="3"/>
        <v>2897</v>
      </c>
      <c r="E13" s="46">
        <f t="shared" si="4"/>
        <v>788777</v>
      </c>
      <c r="F13" s="140">
        <f t="shared" si="0"/>
        <v>77103</v>
      </c>
      <c r="G13" s="46">
        <f t="shared" si="1"/>
        <v>157755.40000000002</v>
      </c>
      <c r="H13" s="141">
        <f t="shared" si="5"/>
        <v>70987.199999999997</v>
      </c>
      <c r="I13" s="163">
        <v>282032</v>
      </c>
      <c r="J13" s="163">
        <f t="shared" ref="J13:J62" si="7">J12+I13</f>
        <v>282032</v>
      </c>
      <c r="K13" s="140">
        <f t="shared" si="6"/>
        <v>70987.200000000012</v>
      </c>
      <c r="L13" s="140">
        <f t="shared" si="2"/>
        <v>506745</v>
      </c>
      <c r="M13" s="1113" t="s">
        <v>2116</v>
      </c>
    </row>
    <row r="14" spans="1:13" ht="36.950000000000003" customHeight="1">
      <c r="A14" s="1095" t="s">
        <v>2117</v>
      </c>
      <c r="B14" s="128">
        <v>1322.37</v>
      </c>
      <c r="C14" s="128">
        <v>374644.3</v>
      </c>
      <c r="D14" s="46">
        <f t="shared" si="3"/>
        <v>4219.37</v>
      </c>
      <c r="E14" s="46">
        <f t="shared" si="4"/>
        <v>1163421.3</v>
      </c>
      <c r="F14" s="140">
        <f t="shared" si="0"/>
        <v>75780.63</v>
      </c>
      <c r="G14" s="46">
        <f t="shared" si="1"/>
        <v>232684.26</v>
      </c>
      <c r="H14" s="141">
        <f t="shared" si="5"/>
        <v>278002.40000000002</v>
      </c>
      <c r="I14" s="163">
        <v>70987.199999999997</v>
      </c>
      <c r="J14" s="163">
        <f t="shared" si="7"/>
        <v>353019.2</v>
      </c>
      <c r="K14" s="140">
        <f t="shared" si="6"/>
        <v>278002.40000000002</v>
      </c>
      <c r="L14" s="140">
        <f t="shared" si="2"/>
        <v>810402.10000000009</v>
      </c>
      <c r="M14" s="1114" t="s">
        <v>2118</v>
      </c>
    </row>
    <row r="15" spans="1:13" ht="36.950000000000003" customHeight="1">
      <c r="A15" s="1095" t="s">
        <v>1068</v>
      </c>
      <c r="B15" s="128"/>
      <c r="C15" s="128">
        <v>144488.57999999999</v>
      </c>
      <c r="D15" s="46">
        <f t="shared" si="3"/>
        <v>4219.37</v>
      </c>
      <c r="E15" s="46">
        <f t="shared" si="4"/>
        <v>1307909.8800000001</v>
      </c>
      <c r="F15" s="140">
        <f t="shared" si="0"/>
        <v>75780.63</v>
      </c>
      <c r="G15" s="46">
        <f t="shared" si="1"/>
        <v>261581.97600000002</v>
      </c>
      <c r="H15" s="141">
        <f t="shared" si="5"/>
        <v>299715.44</v>
      </c>
      <c r="I15" s="163">
        <v>0</v>
      </c>
      <c r="J15" s="163">
        <f t="shared" si="7"/>
        <v>353019.2</v>
      </c>
      <c r="K15" s="140">
        <f t="shared" si="6"/>
        <v>577717.84000000008</v>
      </c>
      <c r="L15" s="140">
        <f t="shared" si="2"/>
        <v>954890.68000000017</v>
      </c>
      <c r="M15" s="1114"/>
    </row>
    <row r="16" spans="1:13" ht="36.950000000000003" customHeight="1">
      <c r="A16" s="1096" t="s">
        <v>2119</v>
      </c>
      <c r="B16" s="340">
        <v>7626.3</v>
      </c>
      <c r="C16" s="340">
        <v>2390731.1</v>
      </c>
      <c r="D16" s="180">
        <f t="shared" si="3"/>
        <v>11845.67</v>
      </c>
      <c r="E16" s="180">
        <f t="shared" si="4"/>
        <v>3698640.9800000004</v>
      </c>
      <c r="F16" s="200">
        <f t="shared" si="0"/>
        <v>68154.33</v>
      </c>
      <c r="G16" s="180">
        <f t="shared" si="1"/>
        <v>739728.19600000011</v>
      </c>
      <c r="H16" s="201">
        <f t="shared" si="5"/>
        <v>115590.864</v>
      </c>
      <c r="I16" s="457">
        <v>278002.40000000002</v>
      </c>
      <c r="J16" s="457">
        <f t="shared" si="7"/>
        <v>631021.60000000009</v>
      </c>
      <c r="K16" s="200">
        <f t="shared" si="6"/>
        <v>415306.30400000012</v>
      </c>
      <c r="L16" s="200">
        <f t="shared" si="2"/>
        <v>3067619.3800000004</v>
      </c>
      <c r="M16" s="1084" t="s">
        <v>2120</v>
      </c>
    </row>
    <row r="17" spans="1:13" ht="36.950000000000003" customHeight="1">
      <c r="A17" s="1096" t="s">
        <v>2121</v>
      </c>
      <c r="B17" s="340">
        <v>6469</v>
      </c>
      <c r="C17" s="340">
        <v>2003080</v>
      </c>
      <c r="D17" s="180">
        <f t="shared" si="3"/>
        <v>18314.669999999998</v>
      </c>
      <c r="E17" s="180">
        <f t="shared" si="4"/>
        <v>5701720.9800000004</v>
      </c>
      <c r="F17" s="200">
        <f t="shared" si="0"/>
        <v>61685.33</v>
      </c>
      <c r="G17" s="180">
        <f t="shared" si="1"/>
        <v>1140344.1960000002</v>
      </c>
      <c r="H17" s="201">
        <f t="shared" si="5"/>
        <v>1912584.8800000001</v>
      </c>
      <c r="I17" s="457">
        <v>299715.42</v>
      </c>
      <c r="J17" s="457">
        <f t="shared" si="7"/>
        <v>930737.02</v>
      </c>
      <c r="K17" s="200">
        <f t="shared" si="6"/>
        <v>2028175.7640000004</v>
      </c>
      <c r="L17" s="200">
        <f t="shared" si="2"/>
        <v>4770983.9600000009</v>
      </c>
      <c r="M17" s="993" t="s">
        <v>2122</v>
      </c>
    </row>
    <row r="18" spans="1:13" ht="36.950000000000003" customHeight="1">
      <c r="A18" s="1097" t="s">
        <v>2123</v>
      </c>
      <c r="B18" s="340">
        <v>9342.5720000000001</v>
      </c>
      <c r="C18" s="340">
        <v>2880859.57</v>
      </c>
      <c r="D18" s="180">
        <f t="shared" si="3"/>
        <v>27657.241999999998</v>
      </c>
      <c r="E18" s="180">
        <f t="shared" si="4"/>
        <v>8582580.5500000007</v>
      </c>
      <c r="F18" s="200">
        <f t="shared" si="0"/>
        <v>52342.758000000002</v>
      </c>
      <c r="G18" s="180">
        <f t="shared" si="1"/>
        <v>1716516.1100000003</v>
      </c>
      <c r="H18" s="201">
        <f t="shared" si="5"/>
        <v>1602464</v>
      </c>
      <c r="I18" s="457">
        <v>3630639.75</v>
      </c>
      <c r="J18" s="457">
        <f t="shared" si="7"/>
        <v>4561376.7699999996</v>
      </c>
      <c r="K18" s="200">
        <f t="shared" si="6"/>
        <v>1.4000000432133675E-2</v>
      </c>
      <c r="L18" s="200">
        <f t="shared" si="2"/>
        <v>4021203.7800000012</v>
      </c>
      <c r="M18" s="993" t="s">
        <v>2124</v>
      </c>
    </row>
    <row r="19" spans="1:13" ht="36.950000000000003" customHeight="1">
      <c r="A19" s="1096" t="s">
        <v>1112</v>
      </c>
      <c r="B19" s="340"/>
      <c r="C19" s="1098">
        <v>845759.27</v>
      </c>
      <c r="D19" s="180">
        <f t="shared" si="3"/>
        <v>27657.241999999998</v>
      </c>
      <c r="E19" s="180">
        <f t="shared" si="4"/>
        <v>9428339.8200000003</v>
      </c>
      <c r="F19" s="200">
        <f t="shared" si="0"/>
        <v>52342.758000000002</v>
      </c>
      <c r="G19" s="180">
        <f t="shared" si="1"/>
        <v>1885667.9640000002</v>
      </c>
      <c r="H19" s="201">
        <f t="shared" si="5"/>
        <v>2304687.656</v>
      </c>
      <c r="I19" s="457"/>
      <c r="J19" s="457">
        <f t="shared" si="7"/>
        <v>4561376.7699999996</v>
      </c>
      <c r="K19" s="200">
        <f t="shared" si="6"/>
        <v>2304687.6700000004</v>
      </c>
      <c r="L19" s="200">
        <f t="shared" si="2"/>
        <v>4866963.0500000007</v>
      </c>
      <c r="M19" s="993"/>
    </row>
    <row r="20" spans="1:13" ht="36.950000000000003" customHeight="1">
      <c r="A20" s="1096" t="s">
        <v>2125</v>
      </c>
      <c r="B20" s="340">
        <v>10458.5</v>
      </c>
      <c r="C20" s="340">
        <v>3215750</v>
      </c>
      <c r="D20" s="180">
        <f t="shared" si="3"/>
        <v>38115.741999999998</v>
      </c>
      <c r="E20" s="180">
        <f t="shared" si="4"/>
        <v>12644089.82</v>
      </c>
      <c r="F20" s="200">
        <f t="shared" si="0"/>
        <v>41884.258000000002</v>
      </c>
      <c r="G20" s="180">
        <f t="shared" si="1"/>
        <v>2528817.9640000002</v>
      </c>
      <c r="H20" s="201">
        <f t="shared" si="5"/>
        <v>676607.41600000008</v>
      </c>
      <c r="I20" s="457">
        <v>2304687.65</v>
      </c>
      <c r="J20" s="457">
        <f t="shared" si="7"/>
        <v>6866064.4199999999</v>
      </c>
      <c r="K20" s="200">
        <f t="shared" si="6"/>
        <v>676607.43600000069</v>
      </c>
      <c r="L20" s="200">
        <f t="shared" si="2"/>
        <v>5778025.4000000004</v>
      </c>
      <c r="M20" s="993" t="s">
        <v>2126</v>
      </c>
    </row>
    <row r="21" spans="1:13" ht="36.950000000000003" customHeight="1">
      <c r="A21" s="1097" t="s">
        <v>2127</v>
      </c>
      <c r="B21" s="1098">
        <v>11487</v>
      </c>
      <c r="C21" s="1098">
        <v>3544511</v>
      </c>
      <c r="D21" s="180">
        <f t="shared" si="3"/>
        <v>49602.741999999998</v>
      </c>
      <c r="E21" s="180">
        <f t="shared" si="4"/>
        <v>16188600.82</v>
      </c>
      <c r="F21" s="200">
        <f t="shared" si="0"/>
        <v>30397.258000000002</v>
      </c>
      <c r="G21" s="180">
        <f t="shared" si="1"/>
        <v>3237720.1640000003</v>
      </c>
      <c r="H21" s="201">
        <f t="shared" si="5"/>
        <v>2572600</v>
      </c>
      <c r="I21" s="457">
        <v>3249207.44</v>
      </c>
      <c r="J21" s="457">
        <f t="shared" si="7"/>
        <v>10115271.859999999</v>
      </c>
      <c r="K21" s="200">
        <f t="shared" si="6"/>
        <v>-3.9999992586672306E-3</v>
      </c>
      <c r="L21" s="200">
        <f t="shared" si="2"/>
        <v>6073328.9600000009</v>
      </c>
      <c r="M21" s="993" t="s">
        <v>2128</v>
      </c>
    </row>
    <row r="22" spans="1:13" ht="36" customHeight="1">
      <c r="A22" s="1096" t="s">
        <v>2129</v>
      </c>
      <c r="B22" s="340">
        <v>5041</v>
      </c>
      <c r="C22" s="340">
        <v>1591831.5</v>
      </c>
      <c r="D22" s="180">
        <f t="shared" si="3"/>
        <v>54643.741999999998</v>
      </c>
      <c r="E22" s="180">
        <f t="shared" si="4"/>
        <v>17780432.32</v>
      </c>
      <c r="F22" s="200">
        <f t="shared" si="0"/>
        <v>25356.258000000002</v>
      </c>
      <c r="G22" s="180">
        <f t="shared" si="1"/>
        <v>3556086.4640000002</v>
      </c>
      <c r="H22" s="201">
        <f t="shared" si="5"/>
        <v>2835608.8000000003</v>
      </c>
      <c r="I22" s="457">
        <v>2835608.8</v>
      </c>
      <c r="J22" s="457">
        <f t="shared" si="7"/>
        <v>12950880.66</v>
      </c>
      <c r="K22" s="200">
        <f t="shared" si="6"/>
        <v>-3.9999987930059433E-3</v>
      </c>
      <c r="L22" s="200">
        <f t="shared" si="2"/>
        <v>4829551.66</v>
      </c>
      <c r="M22" s="993" t="s">
        <v>2130</v>
      </c>
    </row>
    <row r="23" spans="1:13" ht="36" customHeight="1">
      <c r="A23" s="1096" t="s">
        <v>785</v>
      </c>
      <c r="B23" s="340"/>
      <c r="C23" s="1099">
        <f>1143077.4</f>
        <v>1143077.3999999999</v>
      </c>
      <c r="D23" s="180">
        <f t="shared" si="3"/>
        <v>54643.741999999998</v>
      </c>
      <c r="E23" s="180">
        <f t="shared" si="4"/>
        <v>18923509.719999999</v>
      </c>
      <c r="F23" s="200">
        <f t="shared" si="0"/>
        <v>25356.258000000002</v>
      </c>
      <c r="G23" s="180">
        <f t="shared" si="1"/>
        <v>3784701.9440000001</v>
      </c>
      <c r="H23" s="201">
        <f t="shared" si="5"/>
        <v>1273465.2000000002</v>
      </c>
      <c r="I23" s="457"/>
      <c r="J23" s="457">
        <f t="shared" si="7"/>
        <v>12950880.66</v>
      </c>
      <c r="K23" s="200">
        <f t="shared" si="6"/>
        <v>1273465.1960000014</v>
      </c>
      <c r="L23" s="200">
        <f t="shared" si="2"/>
        <v>5972629.0599999987</v>
      </c>
      <c r="M23" s="993"/>
    </row>
    <row r="24" spans="1:13" ht="36" customHeight="1">
      <c r="A24" s="1096" t="s">
        <v>786</v>
      </c>
      <c r="B24" s="340"/>
      <c r="C24" s="1100">
        <v>398205</v>
      </c>
      <c r="D24" s="180">
        <f t="shared" si="3"/>
        <v>54643.741999999998</v>
      </c>
      <c r="E24" s="180">
        <f t="shared" si="4"/>
        <v>19321714.719999999</v>
      </c>
      <c r="F24" s="200">
        <f t="shared" si="0"/>
        <v>25356.258000000002</v>
      </c>
      <c r="G24" s="180">
        <f t="shared" si="1"/>
        <v>3864342.9440000001</v>
      </c>
      <c r="H24" s="201">
        <f t="shared" si="5"/>
        <v>914461.91999999993</v>
      </c>
      <c r="I24" s="457"/>
      <c r="J24" s="457">
        <f t="shared" si="7"/>
        <v>12950880.66</v>
      </c>
      <c r="K24" s="200">
        <f t="shared" si="6"/>
        <v>2187927.1160000013</v>
      </c>
      <c r="L24" s="200">
        <f t="shared" si="2"/>
        <v>6370834.0599999987</v>
      </c>
      <c r="M24" s="993"/>
    </row>
    <row r="25" spans="1:13" ht="36" customHeight="1">
      <c r="A25" s="1096" t="s">
        <v>2131</v>
      </c>
      <c r="B25" s="340"/>
      <c r="C25" s="1100">
        <v>230471</v>
      </c>
      <c r="D25" s="180">
        <f t="shared" si="3"/>
        <v>54643.741999999998</v>
      </c>
      <c r="E25" s="180">
        <f t="shared" si="4"/>
        <v>19552185.719999999</v>
      </c>
      <c r="F25" s="200">
        <f t="shared" si="0"/>
        <v>25356.258000000002</v>
      </c>
      <c r="G25" s="180">
        <f t="shared" si="1"/>
        <v>3910437.1439999999</v>
      </c>
      <c r="H25" s="201">
        <f t="shared" si="5"/>
        <v>318564</v>
      </c>
      <c r="I25" s="1115">
        <v>-900</v>
      </c>
      <c r="J25" s="457">
        <f t="shared" si="7"/>
        <v>12949980.66</v>
      </c>
      <c r="K25" s="200">
        <f t="shared" si="6"/>
        <v>2507391.1160000013</v>
      </c>
      <c r="L25" s="200">
        <f t="shared" si="2"/>
        <v>6602205.0599999987</v>
      </c>
      <c r="M25" s="993" t="s">
        <v>2132</v>
      </c>
    </row>
    <row r="26" spans="1:13" ht="36" customHeight="1">
      <c r="A26" s="1096" t="s">
        <v>2133</v>
      </c>
      <c r="B26" s="340">
        <v>4269.5</v>
      </c>
      <c r="C26" s="1099">
        <v>1362255</v>
      </c>
      <c r="D26" s="180">
        <f t="shared" si="3"/>
        <v>58913.241999999998</v>
      </c>
      <c r="E26" s="180">
        <f t="shared" si="4"/>
        <v>20914440.719999999</v>
      </c>
      <c r="F26" s="200">
        <f t="shared" si="0"/>
        <v>21086.758000000002</v>
      </c>
      <c r="G26" s="180">
        <f t="shared" si="1"/>
        <v>4182888.1439999999</v>
      </c>
      <c r="H26" s="201">
        <f t="shared" si="5"/>
        <v>184376.80000000002</v>
      </c>
      <c r="I26" s="457">
        <v>1273465.2</v>
      </c>
      <c r="J26" s="457">
        <f t="shared" si="7"/>
        <v>14223445.859999999</v>
      </c>
      <c r="K26" s="200">
        <f t="shared" si="6"/>
        <v>1418302.7160000012</v>
      </c>
      <c r="L26" s="200">
        <f t="shared" si="2"/>
        <v>6690994.8599999994</v>
      </c>
      <c r="M26" s="993" t="s">
        <v>2134</v>
      </c>
    </row>
    <row r="27" spans="1:13" ht="36" customHeight="1">
      <c r="A27" s="1096" t="s">
        <v>2135</v>
      </c>
      <c r="B27" s="340">
        <v>4092</v>
      </c>
      <c r="C27" s="1101">
        <v>1333371</v>
      </c>
      <c r="D27" s="180">
        <f t="shared" si="3"/>
        <v>63005.241999999998</v>
      </c>
      <c r="E27" s="180">
        <f t="shared" si="4"/>
        <v>22247811.719999999</v>
      </c>
      <c r="F27" s="200">
        <f t="shared" si="0"/>
        <v>16994.758000000002</v>
      </c>
      <c r="G27" s="180">
        <f t="shared" si="1"/>
        <v>4449562.3439999996</v>
      </c>
      <c r="H27" s="201">
        <f t="shared" si="5"/>
        <v>1089804</v>
      </c>
      <c r="I27" s="457"/>
      <c r="J27" s="457">
        <f t="shared" si="7"/>
        <v>14223445.859999999</v>
      </c>
      <c r="K27" s="200">
        <f t="shared" si="6"/>
        <v>2508106.7160000009</v>
      </c>
      <c r="L27" s="200">
        <f t="shared" si="2"/>
        <v>8024365.8599999994</v>
      </c>
      <c r="M27" s="993"/>
    </row>
    <row r="28" spans="1:13" ht="36" customHeight="1">
      <c r="A28" s="1096" t="s">
        <v>2136</v>
      </c>
      <c r="B28" s="340">
        <v>4160</v>
      </c>
      <c r="C28" s="340">
        <v>1325472</v>
      </c>
      <c r="D28" s="180">
        <f t="shared" si="3"/>
        <v>67165.241999999998</v>
      </c>
      <c r="E28" s="180">
        <f t="shared" si="4"/>
        <v>23573283.719999999</v>
      </c>
      <c r="F28" s="200">
        <f t="shared" si="0"/>
        <v>12834.758000000002</v>
      </c>
      <c r="G28" s="180">
        <f t="shared" si="1"/>
        <v>4714656.7439999999</v>
      </c>
      <c r="H28" s="201">
        <f t="shared" si="5"/>
        <v>1066696.8</v>
      </c>
      <c r="I28" s="457">
        <v>3070962.72</v>
      </c>
      <c r="J28" s="457">
        <f t="shared" si="7"/>
        <v>17294408.579999998</v>
      </c>
      <c r="K28" s="200">
        <f t="shared" si="6"/>
        <v>503840.79600000056</v>
      </c>
      <c r="L28" s="200">
        <f t="shared" si="2"/>
        <v>6278875.1400000006</v>
      </c>
      <c r="M28" s="993" t="s">
        <v>2137</v>
      </c>
    </row>
    <row r="29" spans="1:13" ht="33.950000000000003" customHeight="1">
      <c r="A29" s="1102" t="s">
        <v>2138</v>
      </c>
      <c r="B29" s="1039">
        <v>3028.5</v>
      </c>
      <c r="C29" s="1039">
        <v>972767</v>
      </c>
      <c r="D29" s="180">
        <f t="shared" si="3"/>
        <v>70193.741999999998</v>
      </c>
      <c r="E29" s="180">
        <f t="shared" si="4"/>
        <v>24546050.719999999</v>
      </c>
      <c r="F29" s="200">
        <f t="shared" si="0"/>
        <v>9806.2580000000016</v>
      </c>
      <c r="G29" s="180">
        <f t="shared" si="1"/>
        <v>4909210.1440000003</v>
      </c>
      <c r="H29" s="232">
        <f t="shared" si="5"/>
        <v>1060377.6000000001</v>
      </c>
      <c r="I29" s="1116">
        <v>1060377.6000000001</v>
      </c>
      <c r="J29" s="457">
        <f t="shared" si="7"/>
        <v>18354786.18</v>
      </c>
      <c r="K29" s="200">
        <f t="shared" si="6"/>
        <v>503840.79600000056</v>
      </c>
      <c r="L29" s="200">
        <f t="shared" si="2"/>
        <v>6191264.5399999991</v>
      </c>
      <c r="M29" s="1117" t="s">
        <v>2139</v>
      </c>
    </row>
    <row r="30" spans="1:13" s="285" customFormat="1" ht="30" customHeight="1">
      <c r="A30" s="324" t="s">
        <v>2140</v>
      </c>
      <c r="B30" s="180">
        <v>674</v>
      </c>
      <c r="C30" s="180">
        <v>217397.5</v>
      </c>
      <c r="D30" s="180">
        <f t="shared" si="3"/>
        <v>70867.741999999998</v>
      </c>
      <c r="E30" s="180">
        <f t="shared" si="4"/>
        <v>24763448.219999999</v>
      </c>
      <c r="F30" s="200">
        <f t="shared" si="0"/>
        <v>9132.2580000000016</v>
      </c>
      <c r="G30" s="180">
        <f t="shared" si="1"/>
        <v>4952689.6440000003</v>
      </c>
      <c r="H30" s="232">
        <f t="shared" si="5"/>
        <v>778213.60000000009</v>
      </c>
      <c r="I30" s="299">
        <v>778213.6</v>
      </c>
      <c r="J30" s="457">
        <f t="shared" si="7"/>
        <v>19132999.780000001</v>
      </c>
      <c r="K30" s="200">
        <f t="shared" si="6"/>
        <v>503840.79600000067</v>
      </c>
      <c r="L30" s="200">
        <f t="shared" si="2"/>
        <v>5630448.4399999976</v>
      </c>
      <c r="M30" s="1085" t="s">
        <v>2141</v>
      </c>
    </row>
    <row r="31" spans="1:13" s="1093" customFormat="1" ht="30" customHeight="1">
      <c r="A31" s="324" t="s">
        <v>2142</v>
      </c>
      <c r="B31" s="180">
        <v>3781.5</v>
      </c>
      <c r="C31" s="180">
        <v>1183009</v>
      </c>
      <c r="D31" s="180">
        <f t="shared" si="3"/>
        <v>74649.241999999998</v>
      </c>
      <c r="E31" s="180">
        <f t="shared" si="4"/>
        <v>25946457.219999999</v>
      </c>
      <c r="F31" s="200">
        <f t="shared" si="0"/>
        <v>5350.7580000000016</v>
      </c>
      <c r="G31" s="180">
        <f t="shared" si="1"/>
        <v>5189291.4440000001</v>
      </c>
      <c r="H31" s="232">
        <f t="shared" si="5"/>
        <v>173918</v>
      </c>
      <c r="I31" s="299">
        <v>173918</v>
      </c>
      <c r="J31" s="457">
        <f t="shared" si="7"/>
        <v>19306917.780000001</v>
      </c>
      <c r="K31" s="200">
        <f t="shared" si="6"/>
        <v>503840.79600000067</v>
      </c>
      <c r="L31" s="200">
        <f t="shared" si="2"/>
        <v>6639539.4399999976</v>
      </c>
      <c r="M31" s="1085" t="s">
        <v>2143</v>
      </c>
    </row>
    <row r="32" spans="1:13" s="1093" customFormat="1" ht="30" customHeight="1">
      <c r="A32" s="324" t="s">
        <v>2144</v>
      </c>
      <c r="B32" s="180">
        <v>4480.5</v>
      </c>
      <c r="C32" s="1103">
        <v>1474320</v>
      </c>
      <c r="D32" s="180">
        <f t="shared" si="3"/>
        <v>79129.741999999998</v>
      </c>
      <c r="E32" s="180">
        <f t="shared" si="4"/>
        <v>27420777.219999999</v>
      </c>
      <c r="F32" s="200">
        <f t="shared" si="0"/>
        <v>870.25800000000163</v>
      </c>
      <c r="G32" s="180">
        <f t="shared" si="1"/>
        <v>5484155.4440000001</v>
      </c>
      <c r="H32" s="201">
        <f t="shared" si="5"/>
        <v>946407.20000000007</v>
      </c>
      <c r="I32" s="181">
        <v>400000</v>
      </c>
      <c r="J32" s="457">
        <f t="shared" si="7"/>
        <v>19706917.780000001</v>
      </c>
      <c r="K32" s="200">
        <f t="shared" si="6"/>
        <v>1050247.9960000007</v>
      </c>
      <c r="L32" s="200">
        <f t="shared" si="2"/>
        <v>7713859.4399999976</v>
      </c>
      <c r="M32" s="1085" t="s">
        <v>2145</v>
      </c>
    </row>
    <row r="33" spans="1:13" s="1093" customFormat="1" ht="30" customHeight="1">
      <c r="A33" s="324" t="s">
        <v>2146</v>
      </c>
      <c r="B33" s="180">
        <v>2238.5</v>
      </c>
      <c r="C33" s="1103">
        <v>724427.5</v>
      </c>
      <c r="D33" s="180">
        <f t="shared" si="3"/>
        <v>81368.241999999998</v>
      </c>
      <c r="E33" s="180">
        <f t="shared" si="4"/>
        <v>28145204.719999999</v>
      </c>
      <c r="F33" s="200"/>
      <c r="G33" s="180">
        <f t="shared" si="1"/>
        <v>5629040.9440000001</v>
      </c>
      <c r="H33" s="201">
        <f t="shared" si="5"/>
        <v>1179456</v>
      </c>
      <c r="I33" s="181">
        <v>2044427.2</v>
      </c>
      <c r="J33" s="457">
        <f t="shared" si="7"/>
        <v>21751344.98</v>
      </c>
      <c r="K33" s="200">
        <f t="shared" si="6"/>
        <v>185276.79600000079</v>
      </c>
      <c r="L33" s="200">
        <f t="shared" si="2"/>
        <v>6393859.7399999984</v>
      </c>
      <c r="M33" s="1085" t="s">
        <v>2147</v>
      </c>
    </row>
    <row r="34" spans="1:13" s="1093" customFormat="1" ht="30" customHeight="1">
      <c r="A34" s="324" t="s">
        <v>2148</v>
      </c>
      <c r="B34" s="180">
        <v>1379</v>
      </c>
      <c r="C34" s="1104">
        <v>443157.5</v>
      </c>
      <c r="D34" s="180">
        <f t="shared" si="3"/>
        <v>82747.241999999998</v>
      </c>
      <c r="E34" s="180">
        <f t="shared" si="4"/>
        <v>28588362.219999999</v>
      </c>
      <c r="F34" s="200"/>
      <c r="G34" s="180">
        <f t="shared" si="1"/>
        <v>5717672.4440000001</v>
      </c>
      <c r="H34" s="201">
        <f t="shared" si="5"/>
        <v>579542</v>
      </c>
      <c r="I34" s="181">
        <v>763918.8</v>
      </c>
      <c r="J34" s="457">
        <f t="shared" si="7"/>
        <v>22515263.780000001</v>
      </c>
      <c r="K34" s="923">
        <f t="shared" si="6"/>
        <v>899.99600000074133</v>
      </c>
      <c r="L34" s="200">
        <f t="shared" si="2"/>
        <v>6073098.4399999976</v>
      </c>
      <c r="M34" s="1085" t="s">
        <v>2149</v>
      </c>
    </row>
    <row r="35" spans="1:13" s="1093" customFormat="1" ht="30" customHeight="1">
      <c r="A35" s="324" t="s">
        <v>2150</v>
      </c>
      <c r="B35" s="180">
        <v>841</v>
      </c>
      <c r="C35" s="180">
        <v>272480</v>
      </c>
      <c r="D35" s="180">
        <f t="shared" si="3"/>
        <v>83588.241999999998</v>
      </c>
      <c r="E35" s="180">
        <f t="shared" si="4"/>
        <v>28860842.219999999</v>
      </c>
      <c r="F35" s="200"/>
      <c r="G35" s="180">
        <f t="shared" si="1"/>
        <v>5772168.4440000001</v>
      </c>
      <c r="H35" s="232">
        <f t="shared" si="5"/>
        <v>354526</v>
      </c>
      <c r="I35" s="299">
        <v>354526</v>
      </c>
      <c r="J35" s="457">
        <f t="shared" si="7"/>
        <v>22869789.780000001</v>
      </c>
      <c r="K35" s="923">
        <f t="shared" si="6"/>
        <v>899.99600000074133</v>
      </c>
      <c r="L35" s="200">
        <f t="shared" si="2"/>
        <v>5991052.4399999976</v>
      </c>
      <c r="M35" s="1085" t="s">
        <v>2151</v>
      </c>
    </row>
    <row r="36" spans="1:13" s="1093" customFormat="1" ht="30" customHeight="1">
      <c r="A36" s="403" t="s">
        <v>789</v>
      </c>
      <c r="B36" s="180"/>
      <c r="C36" s="1104">
        <v>105046.08</v>
      </c>
      <c r="D36" s="180">
        <f t="shared" si="3"/>
        <v>83588.241999999998</v>
      </c>
      <c r="E36" s="180">
        <f t="shared" si="4"/>
        <v>28965888.299999997</v>
      </c>
      <c r="F36" s="200"/>
      <c r="G36" s="180">
        <f t="shared" si="1"/>
        <v>5793177.6600000001</v>
      </c>
      <c r="H36" s="201">
        <f t="shared" si="5"/>
        <v>217984</v>
      </c>
      <c r="I36" s="181">
        <v>217984</v>
      </c>
      <c r="J36" s="457">
        <f t="shared" si="7"/>
        <v>23087773.780000001</v>
      </c>
      <c r="K36" s="200">
        <f t="shared" si="6"/>
        <v>899.99600000074133</v>
      </c>
      <c r="L36" s="200">
        <f t="shared" si="2"/>
        <v>5878114.5199999958</v>
      </c>
      <c r="M36" s="1085"/>
    </row>
    <row r="37" spans="1:13" s="1093" customFormat="1" ht="30" customHeight="1">
      <c r="A37" s="1105" t="s">
        <v>2152</v>
      </c>
      <c r="B37" s="1106">
        <v>528.5</v>
      </c>
      <c r="C37" s="1106">
        <v>169770</v>
      </c>
      <c r="D37" s="1106">
        <f t="shared" si="3"/>
        <v>84116.741999999998</v>
      </c>
      <c r="E37" s="1106">
        <f t="shared" si="4"/>
        <v>29135658.299999997</v>
      </c>
      <c r="F37" s="200"/>
      <c r="G37" s="180">
        <f t="shared" si="1"/>
        <v>5827131.6600000001</v>
      </c>
      <c r="H37" s="201">
        <f t="shared" si="5"/>
        <v>84036.864000000001</v>
      </c>
      <c r="I37" s="181"/>
      <c r="J37" s="457">
        <f t="shared" si="7"/>
        <v>23087773.780000001</v>
      </c>
      <c r="K37" s="200">
        <f t="shared" si="6"/>
        <v>84936.860000000743</v>
      </c>
      <c r="L37" s="200">
        <f t="shared" si="2"/>
        <v>6047884.5199999958</v>
      </c>
      <c r="M37" s="1085" t="s">
        <v>2153</v>
      </c>
    </row>
    <row r="38" spans="1:13" s="1094" customFormat="1" ht="30" customHeight="1">
      <c r="A38" s="1105" t="s">
        <v>2154</v>
      </c>
      <c r="B38" s="1106">
        <v>681</v>
      </c>
      <c r="C38" s="1106">
        <v>236457.5</v>
      </c>
      <c r="D38" s="1106">
        <f t="shared" si="3"/>
        <v>84797.741999999998</v>
      </c>
      <c r="E38" s="1106">
        <f t="shared" si="4"/>
        <v>29372115.799999997</v>
      </c>
      <c r="F38" s="331"/>
      <c r="G38" s="1106">
        <f>G37*0.2*3/4</f>
        <v>874069.74900000007</v>
      </c>
      <c r="H38" s="333">
        <f>C37*0.8+E37*0.2*1/4</f>
        <v>1592598.915</v>
      </c>
      <c r="I38" s="304"/>
      <c r="J38" s="457">
        <f t="shared" si="7"/>
        <v>23087773.780000001</v>
      </c>
      <c r="K38" s="200">
        <f t="shared" si="6"/>
        <v>1677535.7750000008</v>
      </c>
      <c r="L38" s="200">
        <f t="shared" si="2"/>
        <v>6284342.0199999958</v>
      </c>
      <c r="M38" s="1118"/>
    </row>
    <row r="39" spans="1:13" s="1093" customFormat="1" ht="30" customHeight="1">
      <c r="A39" s="1107" t="s">
        <v>2155</v>
      </c>
      <c r="B39" s="440">
        <v>176.5</v>
      </c>
      <c r="C39" s="440">
        <v>56480</v>
      </c>
      <c r="D39" s="180">
        <f t="shared" si="3"/>
        <v>84974.241999999998</v>
      </c>
      <c r="E39" s="180">
        <f t="shared" si="4"/>
        <v>29428595.799999997</v>
      </c>
      <c r="F39" s="200"/>
      <c r="G39" s="1106">
        <f>G37*0.2*1/4*2</f>
        <v>582713.16600000008</v>
      </c>
      <c r="H39" s="333">
        <f>C38++E37*0.2*1/4</f>
        <v>1693240.415</v>
      </c>
      <c r="I39" s="181"/>
      <c r="J39" s="457">
        <f t="shared" si="7"/>
        <v>23087773.780000001</v>
      </c>
      <c r="K39" s="200">
        <f t="shared" si="6"/>
        <v>3370776.1900000009</v>
      </c>
      <c r="L39" s="200">
        <f t="shared" si="2"/>
        <v>6340822.0199999958</v>
      </c>
      <c r="M39" s="1085"/>
    </row>
    <row r="40" spans="1:13" s="1093" customFormat="1" ht="30" customHeight="1">
      <c r="A40" s="1105" t="s">
        <v>2156</v>
      </c>
      <c r="B40" s="180">
        <v>903.5</v>
      </c>
      <c r="C40" s="180">
        <v>267155</v>
      </c>
      <c r="D40" s="180">
        <f t="shared" si="3"/>
        <v>85877.741999999998</v>
      </c>
      <c r="E40" s="180">
        <f t="shared" si="4"/>
        <v>29695750.799999997</v>
      </c>
      <c r="F40" s="200"/>
      <c r="G40" s="1106">
        <f>E37*0.2*1/4</f>
        <v>1456782.915</v>
      </c>
      <c r="H40" s="333">
        <f>C39</f>
        <v>56480</v>
      </c>
      <c r="I40" s="181"/>
      <c r="J40" s="457">
        <f t="shared" si="7"/>
        <v>23087773.780000001</v>
      </c>
      <c r="K40" s="200">
        <f t="shared" si="6"/>
        <v>3427256.1900000009</v>
      </c>
      <c r="L40" s="200">
        <f t="shared" si="2"/>
        <v>6607977.0199999958</v>
      </c>
      <c r="M40" s="1085" t="s">
        <v>2157</v>
      </c>
    </row>
    <row r="41" spans="1:13" s="1093" customFormat="1" ht="30" customHeight="1">
      <c r="A41" s="1105" t="s">
        <v>1572</v>
      </c>
      <c r="B41" s="180"/>
      <c r="C41" s="180">
        <v>-8843.69</v>
      </c>
      <c r="D41" s="180">
        <f t="shared" si="3"/>
        <v>85877.741999999998</v>
      </c>
      <c r="E41" s="180">
        <f t="shared" si="4"/>
        <v>29686907.109999996</v>
      </c>
      <c r="F41" s="200" t="s">
        <v>179</v>
      </c>
      <c r="G41" s="1106">
        <f>G40</f>
        <v>1456782.915</v>
      </c>
      <c r="H41" s="333">
        <f>C40</f>
        <v>267155</v>
      </c>
      <c r="I41" s="181">
        <v>1954315.69</v>
      </c>
      <c r="J41" s="457">
        <f t="shared" si="7"/>
        <v>25042089.470000003</v>
      </c>
      <c r="K41" s="200">
        <f t="shared" si="6"/>
        <v>1740095.5000000009</v>
      </c>
      <c r="L41" s="200">
        <f t="shared" si="2"/>
        <v>4644817.6399999931</v>
      </c>
      <c r="M41" s="1085"/>
    </row>
    <row r="42" spans="1:13" s="1093" customFormat="1" ht="30" customHeight="1">
      <c r="A42" s="1105" t="s">
        <v>2158</v>
      </c>
      <c r="B42" s="180">
        <v>954</v>
      </c>
      <c r="C42" s="180">
        <v>279510</v>
      </c>
      <c r="D42" s="180">
        <f t="shared" si="3"/>
        <v>86831.741999999998</v>
      </c>
      <c r="E42" s="180">
        <f t="shared" si="4"/>
        <v>29966417.109999996</v>
      </c>
      <c r="F42" s="200"/>
      <c r="G42" s="180"/>
      <c r="H42" s="333">
        <f>C41+E37*0.2*1/4</f>
        <v>1447939.2250000001</v>
      </c>
      <c r="I42" s="181">
        <v>1701353.42</v>
      </c>
      <c r="J42" s="1119">
        <f t="shared" si="7"/>
        <v>26743442.890000001</v>
      </c>
      <c r="K42" s="200">
        <f t="shared" si="6"/>
        <v>1486681.3050000011</v>
      </c>
      <c r="L42" s="200">
        <f t="shared" si="2"/>
        <v>3222974.2199999951</v>
      </c>
      <c r="M42" s="1085" t="s">
        <v>2159</v>
      </c>
    </row>
    <row r="43" spans="1:13" s="1093" customFormat="1" ht="30" customHeight="1">
      <c r="A43" s="1108" t="s">
        <v>2160</v>
      </c>
      <c r="B43" s="251">
        <v>365.5</v>
      </c>
      <c r="C43" s="251">
        <v>107642.5</v>
      </c>
      <c r="D43" s="251">
        <f t="shared" si="3"/>
        <v>87197.241999999998</v>
      </c>
      <c r="E43" s="251">
        <f t="shared" si="4"/>
        <v>30074059.609999996</v>
      </c>
      <c r="F43" s="211"/>
      <c r="G43" s="251"/>
      <c r="H43" s="933">
        <f>G41+C42</f>
        <v>1736292.915</v>
      </c>
      <c r="I43" s="252">
        <v>1722552.11</v>
      </c>
      <c r="J43" s="457">
        <f t="shared" si="7"/>
        <v>28465995</v>
      </c>
      <c r="K43" s="211">
        <f t="shared" si="6"/>
        <v>1500422.110000001</v>
      </c>
      <c r="L43" s="200">
        <f t="shared" si="2"/>
        <v>1608064.6099999957</v>
      </c>
      <c r="M43" s="1086" t="s">
        <v>2161</v>
      </c>
    </row>
    <row r="44" spans="1:13" ht="30" customHeight="1">
      <c r="A44" s="1108" t="s">
        <v>2162</v>
      </c>
      <c r="B44" s="180">
        <v>54</v>
      </c>
      <c r="C44" s="180">
        <v>16050</v>
      </c>
      <c r="D44" s="251">
        <f t="shared" si="3"/>
        <v>87251.241999999998</v>
      </c>
      <c r="E44" s="251">
        <f t="shared" si="4"/>
        <v>30090109.609999996</v>
      </c>
      <c r="F44" s="200"/>
      <c r="G44" s="180"/>
      <c r="H44" s="933">
        <f t="shared" ref="H44:H63" si="8">C43</f>
        <v>107642.5</v>
      </c>
      <c r="I44" s="181">
        <v>1550684.61</v>
      </c>
      <c r="J44" s="457">
        <f t="shared" si="7"/>
        <v>30016679.609999999</v>
      </c>
      <c r="K44" s="211">
        <f t="shared" si="6"/>
        <v>57380.000000000931</v>
      </c>
      <c r="L44" s="200">
        <f t="shared" si="2"/>
        <v>73429.999999996275</v>
      </c>
      <c r="M44" s="1120" t="s">
        <v>2163</v>
      </c>
    </row>
    <row r="45" spans="1:13" ht="30" customHeight="1">
      <c r="A45" s="405" t="s">
        <v>2164</v>
      </c>
      <c r="B45" s="180">
        <v>166.5</v>
      </c>
      <c r="C45" s="180">
        <v>45915</v>
      </c>
      <c r="D45" s="251">
        <f t="shared" si="3"/>
        <v>87417.741999999998</v>
      </c>
      <c r="E45" s="251">
        <f t="shared" si="4"/>
        <v>30136024.609999996</v>
      </c>
      <c r="F45" s="200"/>
      <c r="G45" s="180"/>
      <c r="H45" s="933">
        <f t="shared" si="8"/>
        <v>16050</v>
      </c>
      <c r="I45" s="181"/>
      <c r="J45" s="457">
        <f t="shared" si="7"/>
        <v>30016679.609999999</v>
      </c>
      <c r="K45" s="211">
        <f t="shared" si="6"/>
        <v>73430.000000000931</v>
      </c>
      <c r="L45" s="200">
        <f t="shared" si="2"/>
        <v>119344.99999999627</v>
      </c>
      <c r="M45" s="1085" t="s">
        <v>2165</v>
      </c>
    </row>
    <row r="46" spans="1:13" ht="30" customHeight="1">
      <c r="A46" s="405" t="s">
        <v>1574</v>
      </c>
      <c r="B46" s="180"/>
      <c r="C46" s="180">
        <v>-4536.46</v>
      </c>
      <c r="D46" s="251">
        <f t="shared" si="3"/>
        <v>87417.741999999998</v>
      </c>
      <c r="E46" s="251">
        <f t="shared" si="4"/>
        <v>30131488.149999995</v>
      </c>
      <c r="F46" s="200"/>
      <c r="G46" s="180"/>
      <c r="H46" s="933">
        <f t="shared" si="8"/>
        <v>45915</v>
      </c>
      <c r="I46" s="181"/>
      <c r="J46" s="457">
        <f t="shared" si="7"/>
        <v>30016679.609999999</v>
      </c>
      <c r="K46" s="211">
        <f t="shared" si="6"/>
        <v>119345.00000000093</v>
      </c>
      <c r="L46" s="200">
        <f t="shared" si="2"/>
        <v>114808.53999999538</v>
      </c>
      <c r="M46" s="1085"/>
    </row>
    <row r="47" spans="1:13" ht="30" customHeight="1">
      <c r="A47" s="405" t="s">
        <v>2166</v>
      </c>
      <c r="B47" s="180">
        <v>475</v>
      </c>
      <c r="C47" s="180">
        <v>133505</v>
      </c>
      <c r="D47" s="251">
        <f t="shared" si="3"/>
        <v>87892.741999999998</v>
      </c>
      <c r="E47" s="251">
        <f t="shared" si="4"/>
        <v>30264993.149999995</v>
      </c>
      <c r="F47" s="200"/>
      <c r="G47" s="180"/>
      <c r="H47" s="933">
        <f t="shared" si="8"/>
        <v>-4536.46</v>
      </c>
      <c r="I47" s="181">
        <f>16050+41378.54</f>
        <v>57428.54</v>
      </c>
      <c r="J47" s="457">
        <f t="shared" si="7"/>
        <v>30074108.149999999</v>
      </c>
      <c r="K47" s="211">
        <f t="shared" si="6"/>
        <v>57380.000000000924</v>
      </c>
      <c r="L47" s="200">
        <f t="shared" si="2"/>
        <v>190884.99999999627</v>
      </c>
      <c r="M47" s="1085"/>
    </row>
    <row r="48" spans="1:13" ht="30" customHeight="1">
      <c r="A48" s="405" t="s">
        <v>2167</v>
      </c>
      <c r="B48" s="180">
        <v>483.5</v>
      </c>
      <c r="C48" s="180">
        <v>137073</v>
      </c>
      <c r="D48" s="251">
        <f t="shared" si="3"/>
        <v>88376.241999999998</v>
      </c>
      <c r="E48" s="251">
        <f t="shared" si="4"/>
        <v>30402066.149999995</v>
      </c>
      <c r="F48" s="200"/>
      <c r="G48" s="180"/>
      <c r="H48" s="933">
        <f t="shared" si="8"/>
        <v>133505</v>
      </c>
      <c r="I48" s="181">
        <v>133505</v>
      </c>
      <c r="J48" s="457">
        <f t="shared" si="7"/>
        <v>30207613.149999999</v>
      </c>
      <c r="K48" s="211">
        <f t="shared" si="6"/>
        <v>57380.000000000931</v>
      </c>
      <c r="L48" s="200">
        <f t="shared" si="2"/>
        <v>194452.99999999627</v>
      </c>
      <c r="M48" s="1085" t="s">
        <v>2168</v>
      </c>
    </row>
    <row r="49" spans="1:13" ht="30" customHeight="1">
      <c r="A49" s="405" t="s">
        <v>2169</v>
      </c>
      <c r="B49" s="180">
        <v>284.5</v>
      </c>
      <c r="C49" s="180">
        <v>73178</v>
      </c>
      <c r="D49" s="251">
        <f t="shared" si="3"/>
        <v>88660.741999999998</v>
      </c>
      <c r="E49" s="251">
        <f t="shared" si="4"/>
        <v>30475244.149999995</v>
      </c>
      <c r="F49" s="200"/>
      <c r="G49" s="180"/>
      <c r="H49" s="933">
        <f t="shared" si="8"/>
        <v>137073</v>
      </c>
      <c r="I49" s="181"/>
      <c r="J49" s="457">
        <f t="shared" si="7"/>
        <v>30207613.149999999</v>
      </c>
      <c r="K49" s="211">
        <f t="shared" si="6"/>
        <v>194453.00000000093</v>
      </c>
      <c r="L49" s="200">
        <f t="shared" si="2"/>
        <v>267630.99999999627</v>
      </c>
      <c r="M49" s="1121" t="s">
        <v>2170</v>
      </c>
    </row>
    <row r="50" spans="1:13" ht="30" customHeight="1">
      <c r="A50" s="405" t="s">
        <v>2171</v>
      </c>
      <c r="B50" s="180">
        <v>252.5</v>
      </c>
      <c r="C50" s="1109">
        <v>70797.5</v>
      </c>
      <c r="D50" s="251">
        <f t="shared" si="3"/>
        <v>88913.241999999998</v>
      </c>
      <c r="E50" s="251">
        <f t="shared" si="4"/>
        <v>30546041.649999995</v>
      </c>
      <c r="F50" s="200"/>
      <c r="G50" s="180"/>
      <c r="H50" s="933">
        <f t="shared" si="8"/>
        <v>73178</v>
      </c>
      <c r="I50" s="181">
        <v>137073</v>
      </c>
      <c r="J50" s="457">
        <f t="shared" si="7"/>
        <v>30344686.149999999</v>
      </c>
      <c r="K50" s="211">
        <f t="shared" si="6"/>
        <v>130558.00000000093</v>
      </c>
      <c r="L50" s="200">
        <f t="shared" si="2"/>
        <v>201355.49999999627</v>
      </c>
      <c r="M50" s="1085" t="s">
        <v>2172</v>
      </c>
    </row>
    <row r="51" spans="1:13" ht="30" customHeight="1">
      <c r="A51" s="405" t="s">
        <v>2173</v>
      </c>
      <c r="B51" s="180">
        <v>1607.5</v>
      </c>
      <c r="C51" s="180">
        <v>409287.5</v>
      </c>
      <c r="D51" s="251">
        <f t="shared" si="3"/>
        <v>90520.741999999998</v>
      </c>
      <c r="E51" s="251">
        <f t="shared" si="4"/>
        <v>30955329.149999995</v>
      </c>
      <c r="F51" s="200"/>
      <c r="G51" s="180"/>
      <c r="H51" s="933">
        <f t="shared" si="8"/>
        <v>70797.5</v>
      </c>
      <c r="I51" s="181">
        <v>73178</v>
      </c>
      <c r="J51" s="457">
        <f t="shared" si="7"/>
        <v>30417864.149999999</v>
      </c>
      <c r="K51" s="211">
        <f t="shared" si="6"/>
        <v>128177.50000000093</v>
      </c>
      <c r="L51" s="200">
        <f t="shared" si="2"/>
        <v>537464.99999999627</v>
      </c>
      <c r="M51" s="1085" t="s">
        <v>2174</v>
      </c>
    </row>
    <row r="52" spans="1:13" ht="30" customHeight="1">
      <c r="A52" s="1110" t="s">
        <v>2175</v>
      </c>
      <c r="B52" s="1109">
        <v>1582.5</v>
      </c>
      <c r="C52" s="1109">
        <v>407149.5</v>
      </c>
      <c r="D52" s="1111">
        <f t="shared" si="3"/>
        <v>92103.241999999998</v>
      </c>
      <c r="E52" s="1111">
        <f t="shared" si="4"/>
        <v>31362478.649999995</v>
      </c>
      <c r="F52" s="200"/>
      <c r="G52" s="180"/>
      <c r="H52" s="933">
        <f t="shared" si="8"/>
        <v>409287.5</v>
      </c>
      <c r="I52" s="181"/>
      <c r="J52" s="457">
        <f t="shared" si="7"/>
        <v>30417864.149999999</v>
      </c>
      <c r="K52" s="211">
        <f t="shared" si="6"/>
        <v>537465.00000000093</v>
      </c>
      <c r="L52" s="200">
        <f t="shared" si="2"/>
        <v>944614.49999999627</v>
      </c>
      <c r="M52" s="1085" t="s">
        <v>2176</v>
      </c>
    </row>
    <row r="53" spans="1:13" ht="30" customHeight="1">
      <c r="A53" s="405" t="s">
        <v>2177</v>
      </c>
      <c r="B53" s="180">
        <v>2820.5</v>
      </c>
      <c r="C53" s="180">
        <v>728791</v>
      </c>
      <c r="D53" s="251">
        <f t="shared" si="3"/>
        <v>94923.741999999998</v>
      </c>
      <c r="E53" s="251">
        <f t="shared" si="4"/>
        <v>32091269.649999995</v>
      </c>
      <c r="F53" s="200"/>
      <c r="G53" s="180"/>
      <c r="H53" s="933">
        <f t="shared" si="8"/>
        <v>407149.5</v>
      </c>
      <c r="I53" s="181">
        <v>409287.5</v>
      </c>
      <c r="J53" s="457">
        <f t="shared" si="7"/>
        <v>30827151.649999999</v>
      </c>
      <c r="K53" s="211">
        <f t="shared" si="6"/>
        <v>535327.00000000093</v>
      </c>
      <c r="L53" s="200">
        <f t="shared" si="2"/>
        <v>1264117.9999999963</v>
      </c>
      <c r="M53" s="1085" t="s">
        <v>2178</v>
      </c>
    </row>
    <row r="54" spans="1:13" ht="30" customHeight="1">
      <c r="A54" s="405" t="s">
        <v>2179</v>
      </c>
      <c r="B54" s="180">
        <v>648.5</v>
      </c>
      <c r="C54" s="180">
        <v>167238</v>
      </c>
      <c r="D54" s="251">
        <f t="shared" si="3"/>
        <v>95572.241999999998</v>
      </c>
      <c r="E54" s="251">
        <f t="shared" si="4"/>
        <v>32258507.649999995</v>
      </c>
      <c r="F54" s="200"/>
      <c r="G54" s="180"/>
      <c r="H54" s="933">
        <f t="shared" si="8"/>
        <v>728791</v>
      </c>
      <c r="I54" s="181">
        <v>407149.5</v>
      </c>
      <c r="J54" s="457">
        <f t="shared" si="7"/>
        <v>31234301.149999999</v>
      </c>
      <c r="K54" s="211">
        <f t="shared" si="6"/>
        <v>856968.50000000093</v>
      </c>
      <c r="L54" s="200">
        <f t="shared" si="2"/>
        <v>1024206.4999999963</v>
      </c>
      <c r="M54" s="1085"/>
    </row>
    <row r="55" spans="1:13" ht="30" customHeight="1">
      <c r="A55" s="405" t="s">
        <v>2180</v>
      </c>
      <c r="B55" s="180">
        <v>216</v>
      </c>
      <c r="C55" s="180">
        <v>54010</v>
      </c>
      <c r="D55" s="251">
        <f t="shared" si="3"/>
        <v>95788.241999999998</v>
      </c>
      <c r="E55" s="251">
        <f t="shared" si="4"/>
        <v>32312517.649999995</v>
      </c>
      <c r="F55" s="200"/>
      <c r="G55" s="180"/>
      <c r="H55" s="933">
        <f t="shared" si="8"/>
        <v>167238</v>
      </c>
      <c r="I55" s="181"/>
      <c r="J55" s="457">
        <f t="shared" si="7"/>
        <v>31234301.149999999</v>
      </c>
      <c r="K55" s="211">
        <f t="shared" si="6"/>
        <v>1024206.5000000009</v>
      </c>
      <c r="L55" s="200">
        <f t="shared" si="2"/>
        <v>1078216.4999999963</v>
      </c>
      <c r="M55" s="1085"/>
    </row>
    <row r="56" spans="1:13" ht="30" customHeight="1">
      <c r="A56" s="405" t="s">
        <v>2181</v>
      </c>
      <c r="B56" s="180">
        <v>1097.5</v>
      </c>
      <c r="C56" s="180">
        <v>282285</v>
      </c>
      <c r="D56" s="251">
        <f t="shared" si="3"/>
        <v>96885.741999999998</v>
      </c>
      <c r="E56" s="251">
        <f t="shared" si="4"/>
        <v>32594802.649999995</v>
      </c>
      <c r="F56" s="200"/>
      <c r="G56" s="180"/>
      <c r="H56" s="933">
        <f t="shared" si="8"/>
        <v>54010</v>
      </c>
      <c r="I56" s="181"/>
      <c r="J56" s="457">
        <f t="shared" si="7"/>
        <v>31234301.149999999</v>
      </c>
      <c r="K56" s="211">
        <f t="shared" si="6"/>
        <v>1078216.5000000009</v>
      </c>
      <c r="L56" s="200">
        <f t="shared" si="2"/>
        <v>1360501.4999999963</v>
      </c>
      <c r="M56" s="1085"/>
    </row>
    <row r="57" spans="1:13" ht="30" customHeight="1">
      <c r="A57" s="405" t="s">
        <v>433</v>
      </c>
      <c r="B57" s="180"/>
      <c r="C57" s="180">
        <f>57060+400</f>
        <v>57460</v>
      </c>
      <c r="D57" s="251">
        <f t="shared" si="3"/>
        <v>96885.741999999998</v>
      </c>
      <c r="E57" s="251">
        <f t="shared" si="4"/>
        <v>32652262.649999995</v>
      </c>
      <c r="F57" s="200"/>
      <c r="G57" s="180"/>
      <c r="H57" s="933">
        <f t="shared" si="8"/>
        <v>282285</v>
      </c>
      <c r="I57" s="181"/>
      <c r="J57" s="457">
        <f t="shared" si="7"/>
        <v>31234301.149999999</v>
      </c>
      <c r="K57" s="211">
        <f t="shared" si="6"/>
        <v>1360501.5000000009</v>
      </c>
      <c r="L57" s="200">
        <f t="shared" si="2"/>
        <v>1417961.4999999963</v>
      </c>
      <c r="M57" s="1085"/>
    </row>
    <row r="58" spans="1:13" ht="30" customHeight="1">
      <c r="A58" s="405" t="s">
        <v>2182</v>
      </c>
      <c r="B58" s="180">
        <v>1268</v>
      </c>
      <c r="C58" s="180">
        <v>331044.5</v>
      </c>
      <c r="D58" s="251">
        <f t="shared" si="3"/>
        <v>98153.741999999998</v>
      </c>
      <c r="E58" s="251">
        <f t="shared" si="4"/>
        <v>32983307.149999995</v>
      </c>
      <c r="F58" s="200"/>
      <c r="G58" s="180"/>
      <c r="H58" s="933">
        <f t="shared" si="8"/>
        <v>57460</v>
      </c>
      <c r="I58" s="181"/>
      <c r="J58" s="457">
        <f t="shared" si="7"/>
        <v>31234301.149999999</v>
      </c>
      <c r="K58" s="211">
        <f t="shared" si="6"/>
        <v>1417961.5000000009</v>
      </c>
      <c r="L58" s="200">
        <f t="shared" si="2"/>
        <v>1749005.9999999963</v>
      </c>
      <c r="M58" s="1085"/>
    </row>
    <row r="59" spans="1:13" ht="30" customHeight="1">
      <c r="A59" s="405" t="s">
        <v>2183</v>
      </c>
      <c r="B59" s="180">
        <v>1027</v>
      </c>
      <c r="C59" s="180">
        <v>256046.5</v>
      </c>
      <c r="D59" s="251">
        <f t="shared" si="3"/>
        <v>99180.741999999998</v>
      </c>
      <c r="E59" s="251">
        <f t="shared" si="4"/>
        <v>33239353.649999995</v>
      </c>
      <c r="F59" s="200"/>
      <c r="G59" s="180"/>
      <c r="H59" s="933">
        <f t="shared" si="8"/>
        <v>331044.5</v>
      </c>
      <c r="I59" s="181"/>
      <c r="J59" s="457">
        <f t="shared" si="7"/>
        <v>31234301.149999999</v>
      </c>
      <c r="K59" s="211">
        <f t="shared" si="6"/>
        <v>1749006.0000000009</v>
      </c>
      <c r="L59" s="200">
        <f t="shared" si="2"/>
        <v>2005052.4999999963</v>
      </c>
      <c r="M59" s="1085"/>
    </row>
    <row r="60" spans="1:13" ht="30" customHeight="1">
      <c r="A60" s="405" t="s">
        <v>2184</v>
      </c>
      <c r="B60" s="180">
        <v>249.5</v>
      </c>
      <c r="C60" s="180">
        <v>60618</v>
      </c>
      <c r="D60" s="251">
        <f t="shared" si="3"/>
        <v>99430.241999999998</v>
      </c>
      <c r="E60" s="251">
        <f t="shared" si="4"/>
        <v>33299971.649999995</v>
      </c>
      <c r="F60" s="200"/>
      <c r="G60" s="180"/>
      <c r="H60" s="933">
        <f t="shared" si="8"/>
        <v>256046.5</v>
      </c>
      <c r="I60" s="181"/>
      <c r="J60" s="457">
        <f t="shared" si="7"/>
        <v>31234301.149999999</v>
      </c>
      <c r="K60" s="211">
        <f t="shared" si="6"/>
        <v>2005052.5000000009</v>
      </c>
      <c r="L60" s="200">
        <f t="shared" si="2"/>
        <v>2065670.4999999963</v>
      </c>
      <c r="M60" s="1085"/>
    </row>
    <row r="61" spans="1:13" ht="30" customHeight="1">
      <c r="A61" s="405" t="s">
        <v>627</v>
      </c>
      <c r="B61" s="180">
        <v>407.24700000000001</v>
      </c>
      <c r="C61" s="180">
        <v>101217.81600000001</v>
      </c>
      <c r="D61" s="251">
        <f t="shared" si="3"/>
        <v>99837.489000000001</v>
      </c>
      <c r="E61" s="251">
        <f t="shared" si="4"/>
        <v>33401189.465999994</v>
      </c>
      <c r="F61" s="200"/>
      <c r="G61" s="180"/>
      <c r="H61" s="933">
        <f t="shared" si="8"/>
        <v>60618</v>
      </c>
      <c r="I61" s="181">
        <v>1947272</v>
      </c>
      <c r="J61" s="457">
        <f t="shared" si="7"/>
        <v>33181573.149999999</v>
      </c>
      <c r="K61" s="211">
        <f t="shared" si="6"/>
        <v>118398.50000000093</v>
      </c>
      <c r="L61" s="200">
        <f t="shared" si="2"/>
        <v>219616.31599999592</v>
      </c>
      <c r="M61" s="1085" t="s">
        <v>2185</v>
      </c>
    </row>
    <row r="62" spans="1:13" ht="30" customHeight="1">
      <c r="A62" s="405" t="s">
        <v>629</v>
      </c>
      <c r="B62" s="180">
        <v>67</v>
      </c>
      <c r="C62" s="180">
        <f>16876+49604.94</f>
        <v>66480.94</v>
      </c>
      <c r="D62" s="251">
        <f t="shared" si="3"/>
        <v>99904.489000000001</v>
      </c>
      <c r="E62" s="251">
        <f t="shared" si="4"/>
        <v>33467670.405999996</v>
      </c>
      <c r="F62" s="200"/>
      <c r="G62" s="180"/>
      <c r="H62" s="933">
        <f t="shared" si="8"/>
        <v>101217.81600000001</v>
      </c>
      <c r="I62" s="181">
        <v>101217.82</v>
      </c>
      <c r="J62" s="457">
        <f t="shared" si="7"/>
        <v>33282790.969999999</v>
      </c>
      <c r="K62" s="211">
        <f t="shared" si="6"/>
        <v>118398.49600000092</v>
      </c>
      <c r="L62" s="200">
        <f t="shared" si="2"/>
        <v>184879.43599999696</v>
      </c>
      <c r="M62" s="1085"/>
    </row>
    <row r="63" spans="1:13" ht="30" customHeight="1">
      <c r="A63" s="405"/>
      <c r="B63" s="180"/>
      <c r="C63" s="180"/>
      <c r="D63" s="251"/>
      <c r="E63" s="251"/>
      <c r="F63" s="200"/>
      <c r="G63" s="180"/>
      <c r="H63" s="933">
        <f t="shared" si="8"/>
        <v>66480.94</v>
      </c>
      <c r="I63" s="181"/>
      <c r="J63" s="181"/>
      <c r="K63" s="211">
        <f t="shared" si="6"/>
        <v>184879.43600000092</v>
      </c>
      <c r="L63" s="200"/>
      <c r="M63" s="1085" t="s">
        <v>2186</v>
      </c>
    </row>
    <row r="64" spans="1:13" ht="30" customHeight="1">
      <c r="A64" s="405">
        <v>42979</v>
      </c>
      <c r="B64" s="180">
        <v>67</v>
      </c>
      <c r="C64" s="180">
        <v>66480.94</v>
      </c>
      <c r="D64" s="251">
        <v>99904.489000000001</v>
      </c>
      <c r="E64" s="251">
        <v>33467670.405999996</v>
      </c>
      <c r="F64" s="200"/>
      <c r="G64" s="180"/>
      <c r="H64" s="1112">
        <v>101217.81600000001</v>
      </c>
      <c r="I64" s="181">
        <v>101217.82</v>
      </c>
      <c r="J64" s="181">
        <v>33282790.969999999</v>
      </c>
      <c r="K64" s="211">
        <v>118398.49600000092</v>
      </c>
      <c r="L64" s="200">
        <v>184879.43599999696</v>
      </c>
      <c r="M64" s="1085"/>
    </row>
    <row r="65" spans="1:13" ht="30" customHeight="1">
      <c r="A65" s="405"/>
      <c r="B65" s="180"/>
      <c r="C65" s="180"/>
      <c r="D65" s="251"/>
      <c r="E65" s="251"/>
      <c r="F65" s="200"/>
      <c r="G65" s="180"/>
      <c r="H65" s="1112"/>
      <c r="I65" s="181"/>
      <c r="J65" s="181"/>
      <c r="K65" s="211"/>
      <c r="L65" s="200"/>
      <c r="M65" s="1085"/>
    </row>
    <row r="66" spans="1:13" ht="30" customHeight="1">
      <c r="A66" s="405"/>
      <c r="B66" s="180"/>
      <c r="C66" s="180"/>
      <c r="D66" s="180"/>
      <c r="E66" s="180"/>
      <c r="F66" s="200"/>
      <c r="G66" s="180"/>
      <c r="H66" s="1122"/>
      <c r="I66" s="181"/>
      <c r="J66" s="181"/>
      <c r="K66" s="200"/>
      <c r="L66" s="200"/>
      <c r="M66" s="1085"/>
    </row>
    <row r="69" spans="1:13">
      <c r="E69">
        <v>32385707.07</v>
      </c>
    </row>
  </sheetData>
  <mergeCells count="19">
    <mergeCell ref="B5:E5"/>
    <mergeCell ref="F5:H5"/>
    <mergeCell ref="I5:K5"/>
    <mergeCell ref="A1:A2"/>
    <mergeCell ref="B1:B2"/>
    <mergeCell ref="E1:E2"/>
    <mergeCell ref="F1:F2"/>
    <mergeCell ref="C1:D2"/>
    <mergeCell ref="G1:H2"/>
    <mergeCell ref="B6:D6"/>
    <mergeCell ref="E6:G6"/>
    <mergeCell ref="H6:K6"/>
    <mergeCell ref="J1:K1"/>
    <mergeCell ref="L1:M1"/>
    <mergeCell ref="J2:M2"/>
    <mergeCell ref="B3:C3"/>
    <mergeCell ref="E3:H3"/>
    <mergeCell ref="B4:C4"/>
    <mergeCell ref="L6:M6"/>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9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topLeftCell="A19" zoomScaleSheetLayoutView="100" workbookViewId="0">
      <selection activeCell="J33" sqref="J33"/>
    </sheetView>
  </sheetViews>
  <sheetFormatPr defaultColWidth="9" defaultRowHeight="14.25"/>
  <cols>
    <col min="1" max="1" width="17.375" customWidth="1"/>
    <col min="2" max="2" width="13.875" customWidth="1"/>
    <col min="3" max="3" width="16.125" customWidth="1"/>
    <col min="4" max="4" width="12.125" customWidth="1"/>
    <col min="5" max="5" width="14.25" customWidth="1"/>
    <col min="6" max="6" width="12.75" customWidth="1"/>
    <col min="7" max="7" width="16.75" customWidth="1"/>
    <col min="8" max="8" width="15.5" customWidth="1"/>
    <col min="9" max="9" width="12.75" customWidth="1"/>
    <col min="10" max="10" width="13.125" customWidth="1"/>
    <col min="11" max="11" width="14.5" customWidth="1"/>
    <col min="12" max="12" width="16" customWidth="1"/>
    <col min="13" max="13" width="27.5" customWidth="1"/>
  </cols>
  <sheetData>
    <row r="1" spans="1:13" ht="42.95" customHeight="1">
      <c r="A1" s="1959" t="s">
        <v>2187</v>
      </c>
      <c r="B1" s="1960"/>
      <c r="C1" s="1644" t="s">
        <v>2188</v>
      </c>
      <c r="D1" s="1644"/>
      <c r="E1" s="1057" t="s">
        <v>236</v>
      </c>
      <c r="F1" s="1091"/>
      <c r="G1" s="1961"/>
      <c r="H1" s="1961"/>
      <c r="I1" s="1055" t="s">
        <v>2095</v>
      </c>
      <c r="J1" s="1777" t="s">
        <v>2189</v>
      </c>
      <c r="K1" s="1777"/>
      <c r="L1" s="1777" t="s">
        <v>2190</v>
      </c>
      <c r="M1" s="1801"/>
    </row>
    <row r="2" spans="1:13" ht="36" customHeight="1">
      <c r="A2" s="39" t="s">
        <v>240</v>
      </c>
      <c r="B2" s="1637" t="s">
        <v>2191</v>
      </c>
      <c r="C2" s="1637"/>
      <c r="D2" s="41" t="s">
        <v>242</v>
      </c>
      <c r="E2" s="1746"/>
      <c r="F2" s="1746"/>
      <c r="G2" s="1746"/>
      <c r="H2" s="1746"/>
      <c r="I2" s="41" t="s">
        <v>243</v>
      </c>
      <c r="J2" s="148" t="s">
        <v>749</v>
      </c>
      <c r="K2" s="1061"/>
      <c r="L2" s="90" t="s">
        <v>2102</v>
      </c>
      <c r="M2" s="104"/>
    </row>
    <row r="3" spans="1:13" ht="44.1" customHeight="1">
      <c r="A3" s="39" t="s">
        <v>247</v>
      </c>
      <c r="B3" s="1637" t="s">
        <v>2192</v>
      </c>
      <c r="C3" s="1637"/>
      <c r="D3" s="41" t="s">
        <v>249</v>
      </c>
      <c r="E3" s="1059" t="s">
        <v>323</v>
      </c>
      <c r="F3" s="41" t="s">
        <v>251</v>
      </c>
      <c r="G3" s="41"/>
      <c r="H3" s="41" t="s">
        <v>252</v>
      </c>
      <c r="I3" s="41"/>
      <c r="J3" s="41" t="s">
        <v>565</v>
      </c>
      <c r="K3" s="40"/>
      <c r="L3" s="90" t="s">
        <v>2106</v>
      </c>
      <c r="M3" s="105" t="s">
        <v>2193</v>
      </c>
    </row>
    <row r="4" spans="1:13" ht="30.95" customHeight="1">
      <c r="A4" s="1075" t="s">
        <v>258</v>
      </c>
      <c r="B4" s="1637"/>
      <c r="C4" s="1637"/>
      <c r="D4" s="1637"/>
      <c r="E4" s="1637"/>
      <c r="F4" s="1958"/>
      <c r="G4" s="1958"/>
      <c r="H4" s="1958"/>
      <c r="I4" s="1746" t="s">
        <v>2194</v>
      </c>
      <c r="J4" s="1746"/>
      <c r="K4" s="1746"/>
      <c r="L4" s="90"/>
      <c r="M4" s="105"/>
    </row>
    <row r="5" spans="1:13" ht="45.95" customHeight="1">
      <c r="A5" s="39" t="s">
        <v>2107</v>
      </c>
      <c r="B5" s="1665" t="s">
        <v>2195</v>
      </c>
      <c r="C5" s="1665"/>
      <c r="D5" s="1665"/>
      <c r="E5" s="1665" t="s">
        <v>1450</v>
      </c>
      <c r="F5" s="1665"/>
      <c r="G5" s="1665"/>
      <c r="H5" s="1664"/>
      <c r="I5" s="1664"/>
      <c r="J5" s="1664"/>
      <c r="K5" s="1664"/>
      <c r="L5" s="1664"/>
      <c r="M5" s="1943"/>
    </row>
    <row r="6" spans="1:13" ht="42.75">
      <c r="A6" s="19" t="s">
        <v>266</v>
      </c>
      <c r="B6" s="20" t="s">
        <v>267</v>
      </c>
      <c r="C6" s="20" t="s">
        <v>268</v>
      </c>
      <c r="D6" s="20" t="s">
        <v>269</v>
      </c>
      <c r="E6" s="20" t="s">
        <v>270</v>
      </c>
      <c r="F6" s="20" t="s">
        <v>271</v>
      </c>
      <c r="G6" s="21" t="s">
        <v>272</v>
      </c>
      <c r="H6" s="22" t="s">
        <v>273</v>
      </c>
      <c r="I6" s="20" t="s">
        <v>274</v>
      </c>
      <c r="J6" s="70" t="s">
        <v>275</v>
      </c>
      <c r="K6" s="70" t="s">
        <v>276</v>
      </c>
      <c r="L6" s="20" t="s">
        <v>277</v>
      </c>
      <c r="M6" s="71" t="s">
        <v>278</v>
      </c>
    </row>
    <row r="7" spans="1:13" ht="36" customHeight="1">
      <c r="A7" s="1076" t="s">
        <v>2196</v>
      </c>
      <c r="B7" s="181">
        <v>1374</v>
      </c>
      <c r="C7" s="181">
        <v>452258.2</v>
      </c>
      <c r="D7" s="181">
        <f>B7</f>
        <v>1374</v>
      </c>
      <c r="E7" s="181">
        <f>C7</f>
        <v>452258.2</v>
      </c>
      <c r="F7" s="181"/>
      <c r="G7" s="181">
        <f>E7</f>
        <v>452258.2</v>
      </c>
      <c r="H7" s="831"/>
      <c r="I7" s="181"/>
      <c r="J7" s="181"/>
      <c r="K7" s="831"/>
      <c r="L7" s="181">
        <f t="shared" ref="L7:L20" si="0">E7-J7</f>
        <v>452258.2</v>
      </c>
      <c r="M7" s="266"/>
    </row>
    <row r="8" spans="1:13" ht="28.5">
      <c r="A8" s="324" t="s">
        <v>2197</v>
      </c>
      <c r="B8" s="181">
        <v>5663</v>
      </c>
      <c r="C8" s="181">
        <v>1884440.6</v>
      </c>
      <c r="D8" s="181">
        <f t="shared" ref="D8:D20" si="1">B8+D7</f>
        <v>7037</v>
      </c>
      <c r="E8" s="181">
        <f t="shared" ref="E8:E20" si="2">E7+C8</f>
        <v>2336698.8000000003</v>
      </c>
      <c r="F8" s="181"/>
      <c r="G8" s="181">
        <f>E7*0.15+C8*0.15</f>
        <v>350504.82</v>
      </c>
      <c r="H8" s="360">
        <f>C7*0.85</f>
        <v>384419.47</v>
      </c>
      <c r="I8" s="181"/>
      <c r="J8" s="181"/>
      <c r="K8" s="226">
        <f t="shared" ref="K8:K21" si="3">K7+H8-I8</f>
        <v>384419.47</v>
      </c>
      <c r="L8" s="181">
        <f t="shared" si="0"/>
        <v>2336698.8000000003</v>
      </c>
      <c r="M8" s="266"/>
    </row>
    <row r="9" spans="1:13" ht="36" customHeight="1">
      <c r="A9" s="324" t="s">
        <v>2198</v>
      </c>
      <c r="B9" s="181">
        <v>2698.5</v>
      </c>
      <c r="C9" s="181">
        <v>902043.9</v>
      </c>
      <c r="D9" s="181">
        <f t="shared" si="1"/>
        <v>9735.5</v>
      </c>
      <c r="E9" s="181">
        <f t="shared" si="2"/>
        <v>3238742.7</v>
      </c>
      <c r="F9" s="181"/>
      <c r="G9" s="181">
        <f>C7*0.15+C8*0.15+C9*0.15</f>
        <v>485811.40500000003</v>
      </c>
      <c r="H9" s="360">
        <f t="shared" ref="H9:H20" si="4">C8*0.85</f>
        <v>1601774.51</v>
      </c>
      <c r="I9" s="181">
        <f>1000000+500000+500000</f>
        <v>2000000</v>
      </c>
      <c r="J9" s="181">
        <f t="shared" ref="J9:J20" si="5">J8+I9</f>
        <v>2000000</v>
      </c>
      <c r="K9" s="226">
        <f t="shared" si="3"/>
        <v>-13806.020000000019</v>
      </c>
      <c r="L9" s="181">
        <f t="shared" si="0"/>
        <v>1238742.7000000002</v>
      </c>
      <c r="M9" s="266" t="s">
        <v>2199</v>
      </c>
    </row>
    <row r="10" spans="1:13" ht="28.5">
      <c r="A10" s="324" t="s">
        <v>2200</v>
      </c>
      <c r="B10" s="457">
        <v>6037</v>
      </c>
      <c r="C10" s="457">
        <v>2010388.6</v>
      </c>
      <c r="D10" s="181">
        <f t="shared" si="1"/>
        <v>15772.5</v>
      </c>
      <c r="E10" s="181">
        <f t="shared" si="2"/>
        <v>5249131.3000000007</v>
      </c>
      <c r="F10" s="457"/>
      <c r="G10" s="181">
        <f t="shared" ref="G10:G20" si="6">E10*0.15</f>
        <v>787369.69500000007</v>
      </c>
      <c r="H10" s="360">
        <f t="shared" si="4"/>
        <v>766737.31499999994</v>
      </c>
      <c r="I10" s="181"/>
      <c r="J10" s="181">
        <f t="shared" si="5"/>
        <v>2000000</v>
      </c>
      <c r="K10" s="226">
        <f t="shared" si="3"/>
        <v>752931.29499999993</v>
      </c>
      <c r="L10" s="181">
        <f t="shared" si="0"/>
        <v>3249131.3000000007</v>
      </c>
      <c r="M10" s="1092" t="s">
        <v>2201</v>
      </c>
    </row>
    <row r="11" spans="1:13" ht="36.950000000000003" customHeight="1">
      <c r="A11" s="324" t="s">
        <v>2202</v>
      </c>
      <c r="B11" s="457">
        <v>5699</v>
      </c>
      <c r="C11" s="457">
        <v>1899491.8</v>
      </c>
      <c r="D11" s="181">
        <f t="shared" si="1"/>
        <v>21471.5</v>
      </c>
      <c r="E11" s="181">
        <f t="shared" si="2"/>
        <v>7148623.1000000006</v>
      </c>
      <c r="F11" s="457"/>
      <c r="G11" s="181">
        <f t="shared" si="6"/>
        <v>1072293.4650000001</v>
      </c>
      <c r="H11" s="360">
        <f t="shared" si="4"/>
        <v>1708830.31</v>
      </c>
      <c r="I11" s="457"/>
      <c r="J11" s="181">
        <f t="shared" si="5"/>
        <v>2000000</v>
      </c>
      <c r="K11" s="226">
        <f t="shared" si="3"/>
        <v>2461761.605</v>
      </c>
      <c r="L11" s="181">
        <f t="shared" si="0"/>
        <v>5148623.1000000006</v>
      </c>
      <c r="M11" s="1092"/>
    </row>
    <row r="12" spans="1:13" ht="42" customHeight="1">
      <c r="A12" s="439" t="s">
        <v>2203</v>
      </c>
      <c r="B12" s="457">
        <v>603.5</v>
      </c>
      <c r="C12" s="457">
        <v>192123.6</v>
      </c>
      <c r="D12" s="181">
        <f t="shared" si="1"/>
        <v>22075</v>
      </c>
      <c r="E12" s="181">
        <f t="shared" si="2"/>
        <v>7340746.7000000002</v>
      </c>
      <c r="F12" s="457"/>
      <c r="G12" s="181">
        <f t="shared" si="6"/>
        <v>1101112.0049999999</v>
      </c>
      <c r="H12" s="360">
        <f t="shared" si="4"/>
        <v>1614568.03</v>
      </c>
      <c r="I12" s="457">
        <v>500000</v>
      </c>
      <c r="J12" s="181">
        <f t="shared" si="5"/>
        <v>2500000</v>
      </c>
      <c r="K12" s="226">
        <f t="shared" si="3"/>
        <v>3576329.6349999998</v>
      </c>
      <c r="L12" s="181">
        <f t="shared" si="0"/>
        <v>4840746.7</v>
      </c>
      <c r="M12" s="1092" t="s">
        <v>2204</v>
      </c>
    </row>
    <row r="13" spans="1:13" ht="28.5">
      <c r="A13" s="439" t="s">
        <v>2205</v>
      </c>
      <c r="B13" s="457">
        <f>1731</f>
        <v>1731</v>
      </c>
      <c r="C13" s="457">
        <f>598199.14</f>
        <v>598199.14</v>
      </c>
      <c r="D13" s="181">
        <f t="shared" si="1"/>
        <v>23806</v>
      </c>
      <c r="E13" s="181">
        <f t="shared" si="2"/>
        <v>7938945.8399999999</v>
      </c>
      <c r="F13" s="457"/>
      <c r="G13" s="181">
        <f t="shared" si="6"/>
        <v>1190841.8759999999</v>
      </c>
      <c r="H13" s="360">
        <f t="shared" si="4"/>
        <v>163305.06</v>
      </c>
      <c r="I13" s="457">
        <v>2000000</v>
      </c>
      <c r="J13" s="181">
        <f t="shared" si="5"/>
        <v>4500000</v>
      </c>
      <c r="K13" s="226">
        <f t="shared" si="3"/>
        <v>1739634.6949999998</v>
      </c>
      <c r="L13" s="181">
        <f t="shared" si="0"/>
        <v>3438945.84</v>
      </c>
      <c r="M13" s="1092" t="s">
        <v>2206</v>
      </c>
    </row>
    <row r="14" spans="1:13" ht="45" customHeight="1">
      <c r="A14" s="439" t="s">
        <v>2207</v>
      </c>
      <c r="B14" s="457">
        <v>3187</v>
      </c>
      <c r="C14" s="457">
        <v>1094842.78</v>
      </c>
      <c r="D14" s="181">
        <f t="shared" si="1"/>
        <v>26993</v>
      </c>
      <c r="E14" s="181">
        <f t="shared" si="2"/>
        <v>9033788.6199999992</v>
      </c>
      <c r="F14" s="457"/>
      <c r="G14" s="181">
        <f t="shared" si="6"/>
        <v>1355068.2929999998</v>
      </c>
      <c r="H14" s="360">
        <f t="shared" si="4"/>
        <v>508469.26899999997</v>
      </c>
      <c r="I14" s="457">
        <v>1800000</v>
      </c>
      <c r="J14" s="181">
        <f t="shared" si="5"/>
        <v>6300000</v>
      </c>
      <c r="K14" s="226">
        <f t="shared" si="3"/>
        <v>448103.96399999969</v>
      </c>
      <c r="L14" s="181">
        <f t="shared" si="0"/>
        <v>2733788.6199999992</v>
      </c>
      <c r="M14" s="1092" t="s">
        <v>2208</v>
      </c>
    </row>
    <row r="15" spans="1:13" ht="30.95" customHeight="1">
      <c r="A15" s="439" t="s">
        <v>2209</v>
      </c>
      <c r="B15" s="457">
        <v>3263</v>
      </c>
      <c r="C15" s="457">
        <v>1062314.72</v>
      </c>
      <c r="D15" s="181">
        <f t="shared" si="1"/>
        <v>30256</v>
      </c>
      <c r="E15" s="181">
        <f t="shared" si="2"/>
        <v>10096103.34</v>
      </c>
      <c r="F15" s="457"/>
      <c r="G15" s="181">
        <f t="shared" si="6"/>
        <v>1514415.5009999999</v>
      </c>
      <c r="H15" s="360">
        <f t="shared" si="4"/>
        <v>930616.36300000001</v>
      </c>
      <c r="I15" s="457"/>
      <c r="J15" s="181">
        <f t="shared" si="5"/>
        <v>6300000</v>
      </c>
      <c r="K15" s="226">
        <f t="shared" si="3"/>
        <v>1378720.3269999996</v>
      </c>
      <c r="L15" s="181">
        <f t="shared" si="0"/>
        <v>3796103.34</v>
      </c>
      <c r="M15" s="1092"/>
    </row>
    <row r="16" spans="1:13" ht="43.5" customHeight="1">
      <c r="A16" s="439" t="s">
        <v>2210</v>
      </c>
      <c r="B16" s="457">
        <v>313.5</v>
      </c>
      <c r="C16" s="457">
        <v>102219.82</v>
      </c>
      <c r="D16" s="181">
        <f t="shared" si="1"/>
        <v>30569.5</v>
      </c>
      <c r="E16" s="181">
        <f t="shared" si="2"/>
        <v>10198323.16</v>
      </c>
      <c r="F16" s="457"/>
      <c r="G16" s="181">
        <f t="shared" si="6"/>
        <v>1529748.4739999999</v>
      </c>
      <c r="H16" s="360">
        <f t="shared" si="4"/>
        <v>902967.51199999999</v>
      </c>
      <c r="I16" s="457"/>
      <c r="J16" s="181">
        <f t="shared" si="5"/>
        <v>6300000</v>
      </c>
      <c r="K16" s="226">
        <f t="shared" si="3"/>
        <v>2281687.8389999997</v>
      </c>
      <c r="L16" s="181">
        <f t="shared" si="0"/>
        <v>3898323.16</v>
      </c>
      <c r="M16" s="1092"/>
    </row>
    <row r="17" spans="1:13" ht="46.5" customHeight="1">
      <c r="A17" s="439" t="s">
        <v>2211</v>
      </c>
      <c r="B17" s="181">
        <v>1040</v>
      </c>
      <c r="C17" s="181">
        <v>328985.56</v>
      </c>
      <c r="D17" s="181">
        <f t="shared" si="1"/>
        <v>31609.5</v>
      </c>
      <c r="E17" s="181">
        <f t="shared" si="2"/>
        <v>10527308.720000001</v>
      </c>
      <c r="F17" s="181"/>
      <c r="G17" s="181">
        <f t="shared" si="6"/>
        <v>1579096.308</v>
      </c>
      <c r="H17" s="360">
        <f t="shared" si="4"/>
        <v>86886.847000000009</v>
      </c>
      <c r="I17" s="181"/>
      <c r="J17" s="181">
        <f t="shared" si="5"/>
        <v>6300000</v>
      </c>
      <c r="K17" s="226">
        <f t="shared" si="3"/>
        <v>2368574.6859999998</v>
      </c>
      <c r="L17" s="181">
        <f t="shared" si="0"/>
        <v>4227308.7200000007</v>
      </c>
      <c r="M17" s="181"/>
    </row>
    <row r="18" spans="1:13" ht="33" customHeight="1">
      <c r="A18" s="439" t="s">
        <v>2212</v>
      </c>
      <c r="B18" s="181">
        <v>235</v>
      </c>
      <c r="C18" s="181">
        <v>72077.86</v>
      </c>
      <c r="D18" s="252">
        <f t="shared" si="1"/>
        <v>31844.5</v>
      </c>
      <c r="E18" s="252">
        <f t="shared" si="2"/>
        <v>10599386.58</v>
      </c>
      <c r="F18" s="181"/>
      <c r="G18" s="181">
        <f t="shared" si="6"/>
        <v>1589907.987</v>
      </c>
      <c r="H18" s="360">
        <f t="shared" si="4"/>
        <v>279637.72599999997</v>
      </c>
      <c r="I18" s="181">
        <v>750000</v>
      </c>
      <c r="J18" s="181">
        <f t="shared" si="5"/>
        <v>7050000</v>
      </c>
      <c r="K18" s="226">
        <f t="shared" si="3"/>
        <v>1898212.4119999995</v>
      </c>
      <c r="L18" s="181">
        <f t="shared" si="0"/>
        <v>3549386.58</v>
      </c>
      <c r="M18" s="181" t="s">
        <v>2213</v>
      </c>
    </row>
    <row r="19" spans="1:13" ht="39" customHeight="1">
      <c r="A19" s="275" t="s">
        <v>2214</v>
      </c>
      <c r="B19" s="181">
        <v>200</v>
      </c>
      <c r="C19" s="437">
        <v>60406.6</v>
      </c>
      <c r="D19" s="252">
        <f t="shared" si="1"/>
        <v>32044.5</v>
      </c>
      <c r="E19" s="252">
        <f t="shared" si="2"/>
        <v>10659793.18</v>
      </c>
      <c r="F19" s="652"/>
      <c r="G19" s="181">
        <f t="shared" si="6"/>
        <v>1598968.977</v>
      </c>
      <c r="H19" s="360">
        <f t="shared" si="4"/>
        <v>61266.180999999997</v>
      </c>
      <c r="I19" s="181">
        <v>1000000</v>
      </c>
      <c r="J19" s="181">
        <f t="shared" si="5"/>
        <v>8050000</v>
      </c>
      <c r="K19" s="226">
        <f t="shared" si="3"/>
        <v>959478.59299999964</v>
      </c>
      <c r="L19" s="181">
        <f t="shared" si="0"/>
        <v>2609793.1799999997</v>
      </c>
      <c r="M19" s="181" t="s">
        <v>2215</v>
      </c>
    </row>
    <row r="20" spans="1:13" ht="39" customHeight="1">
      <c r="A20" s="275" t="s">
        <v>2216</v>
      </c>
      <c r="B20" s="181">
        <v>922.5</v>
      </c>
      <c r="C20" s="437">
        <v>312388.38</v>
      </c>
      <c r="D20" s="252">
        <f t="shared" si="1"/>
        <v>32967</v>
      </c>
      <c r="E20" s="252">
        <f t="shared" si="2"/>
        <v>10972181.560000001</v>
      </c>
      <c r="F20" s="823"/>
      <c r="G20" s="181">
        <f t="shared" si="6"/>
        <v>1645827.2339999999</v>
      </c>
      <c r="H20" s="360">
        <f t="shared" si="4"/>
        <v>51345.61</v>
      </c>
      <c r="I20" s="181">
        <v>1000000</v>
      </c>
      <c r="J20" s="181">
        <f t="shared" si="5"/>
        <v>9050000</v>
      </c>
      <c r="K20" s="226">
        <f t="shared" si="3"/>
        <v>10824.20299999963</v>
      </c>
      <c r="L20" s="181">
        <f t="shared" si="0"/>
        <v>1922181.5600000005</v>
      </c>
      <c r="M20" s="181" t="s">
        <v>2217</v>
      </c>
    </row>
    <row r="21" spans="1:13" ht="39" customHeight="1">
      <c r="A21" s="275" t="s">
        <v>1112</v>
      </c>
      <c r="B21" s="181"/>
      <c r="C21" s="437">
        <v>126704.8</v>
      </c>
      <c r="D21" s="252">
        <f t="shared" ref="D21:D27" si="7">B21+D20</f>
        <v>32967</v>
      </c>
      <c r="E21" s="252">
        <f t="shared" ref="E21:E27" si="8">E20+C21</f>
        <v>11098886.360000001</v>
      </c>
      <c r="F21" s="823"/>
      <c r="G21" s="181"/>
      <c r="H21" s="360">
        <f>C20*0.85+G20</f>
        <v>1911357.3569999998</v>
      </c>
      <c r="I21" s="181"/>
      <c r="J21" s="181">
        <f t="shared" ref="J21:J27" si="9">J20+I21</f>
        <v>9050000</v>
      </c>
      <c r="K21" s="226">
        <f t="shared" si="3"/>
        <v>1922181.5599999996</v>
      </c>
      <c r="L21" s="181">
        <f t="shared" ref="L21:L27" si="10">E21-J21</f>
        <v>2048886.3600000013</v>
      </c>
      <c r="M21" s="181"/>
    </row>
    <row r="22" spans="1:13" ht="39" customHeight="1">
      <c r="A22" s="275" t="s">
        <v>785</v>
      </c>
      <c r="B22" s="181"/>
      <c r="C22" s="437">
        <v>290816.78000000003</v>
      </c>
      <c r="D22" s="252">
        <f t="shared" si="7"/>
        <v>32967</v>
      </c>
      <c r="E22" s="252">
        <f t="shared" si="8"/>
        <v>11389703.140000001</v>
      </c>
      <c r="F22" s="823"/>
      <c r="G22" s="181"/>
      <c r="H22" s="360">
        <f t="shared" ref="H22:H27" si="11">C21</f>
        <v>126704.8</v>
      </c>
      <c r="I22" s="181"/>
      <c r="J22" s="181">
        <f t="shared" si="9"/>
        <v>9050000</v>
      </c>
      <c r="K22" s="226">
        <f t="shared" ref="K22:K27" si="12">K21+H22-I22</f>
        <v>2048886.3599999996</v>
      </c>
      <c r="L22" s="181">
        <f t="shared" si="10"/>
        <v>2339703.1400000006</v>
      </c>
      <c r="M22" s="181"/>
    </row>
    <row r="23" spans="1:13" ht="27" customHeight="1">
      <c r="A23" s="405" t="s">
        <v>786</v>
      </c>
      <c r="B23" s="181"/>
      <c r="C23" s="181">
        <v>-28710.44</v>
      </c>
      <c r="D23" s="252">
        <f t="shared" si="7"/>
        <v>32967</v>
      </c>
      <c r="E23" s="252">
        <f t="shared" si="8"/>
        <v>11360992.700000001</v>
      </c>
      <c r="F23" s="181"/>
      <c r="G23" s="181"/>
      <c r="H23" s="360">
        <f t="shared" si="11"/>
        <v>290816.78000000003</v>
      </c>
      <c r="I23" s="181"/>
      <c r="J23" s="181">
        <f t="shared" si="9"/>
        <v>9050000</v>
      </c>
      <c r="K23" s="226">
        <f t="shared" si="12"/>
        <v>2339703.1399999997</v>
      </c>
      <c r="L23" s="181">
        <f t="shared" si="10"/>
        <v>2310992.7000000011</v>
      </c>
      <c r="M23" s="487" t="s">
        <v>2218</v>
      </c>
    </row>
    <row r="24" spans="1:13" ht="27" customHeight="1">
      <c r="A24" s="405" t="s">
        <v>787</v>
      </c>
      <c r="B24" s="181"/>
      <c r="C24" s="181">
        <v>-133788.01</v>
      </c>
      <c r="D24" s="252">
        <f t="shared" si="7"/>
        <v>32967</v>
      </c>
      <c r="E24" s="252">
        <f t="shared" si="8"/>
        <v>11227204.690000001</v>
      </c>
      <c r="F24" s="181"/>
      <c r="G24" s="181"/>
      <c r="H24" s="360">
        <f t="shared" si="11"/>
        <v>-28710.44</v>
      </c>
      <c r="I24" s="181">
        <v>308498.56</v>
      </c>
      <c r="J24" s="181">
        <f t="shared" si="9"/>
        <v>9358498.5600000005</v>
      </c>
      <c r="K24" s="226">
        <f t="shared" si="12"/>
        <v>2002494.1399999997</v>
      </c>
      <c r="L24" s="181">
        <f t="shared" si="10"/>
        <v>1868706.1300000008</v>
      </c>
      <c r="M24" s="181" t="s">
        <v>2219</v>
      </c>
    </row>
    <row r="25" spans="1:13" ht="27" customHeight="1">
      <c r="A25" s="405" t="s">
        <v>789</v>
      </c>
      <c r="B25" s="181"/>
      <c r="C25" s="181">
        <v>-32277.279999999999</v>
      </c>
      <c r="D25" s="252">
        <f t="shared" si="7"/>
        <v>32967</v>
      </c>
      <c r="E25" s="252">
        <f t="shared" si="8"/>
        <v>11194927.410000002</v>
      </c>
      <c r="F25" s="181"/>
      <c r="G25" s="181"/>
      <c r="H25" s="360">
        <f t="shared" si="11"/>
        <v>-133788.01</v>
      </c>
      <c r="I25" s="181">
        <v>1542462.62</v>
      </c>
      <c r="J25" s="181">
        <f t="shared" si="9"/>
        <v>10900961.18</v>
      </c>
      <c r="K25" s="226">
        <f t="shared" si="12"/>
        <v>326243.50999999954</v>
      </c>
      <c r="L25" s="181">
        <f t="shared" si="10"/>
        <v>293966.23000000231</v>
      </c>
      <c r="M25" s="487" t="s">
        <v>2220</v>
      </c>
    </row>
    <row r="26" spans="1:13" ht="27" customHeight="1">
      <c r="A26" s="405" t="s">
        <v>1572</v>
      </c>
      <c r="B26" s="181"/>
      <c r="C26" s="181">
        <v>-19934.689999999999</v>
      </c>
      <c r="D26" s="252">
        <f t="shared" si="7"/>
        <v>32967</v>
      </c>
      <c r="E26" s="252">
        <f t="shared" si="8"/>
        <v>11174992.720000003</v>
      </c>
      <c r="F26" s="181"/>
      <c r="G26" s="181"/>
      <c r="H26" s="360">
        <f t="shared" si="11"/>
        <v>-32277.279999999999</v>
      </c>
      <c r="I26" s="181">
        <v>200000</v>
      </c>
      <c r="J26" s="181">
        <f t="shared" si="9"/>
        <v>11100961.18</v>
      </c>
      <c r="K26" s="226">
        <f t="shared" si="12"/>
        <v>93966.229999999516</v>
      </c>
      <c r="L26" s="181">
        <f t="shared" si="10"/>
        <v>74031.540000002831</v>
      </c>
      <c r="M26" s="487" t="s">
        <v>2221</v>
      </c>
    </row>
    <row r="27" spans="1:13" ht="27" customHeight="1">
      <c r="A27" s="405">
        <v>42736</v>
      </c>
      <c r="B27" s="181">
        <v>0</v>
      </c>
      <c r="C27" s="181">
        <v>0</v>
      </c>
      <c r="D27" s="252">
        <f t="shared" si="7"/>
        <v>32967</v>
      </c>
      <c r="E27" s="252">
        <f t="shared" si="8"/>
        <v>11174992.720000003</v>
      </c>
      <c r="F27" s="181"/>
      <c r="G27" s="181"/>
      <c r="H27" s="360">
        <f t="shared" si="11"/>
        <v>-19934.689999999999</v>
      </c>
      <c r="I27" s="181">
        <v>50000</v>
      </c>
      <c r="J27" s="181">
        <f t="shared" si="9"/>
        <v>11150961.18</v>
      </c>
      <c r="K27" s="226">
        <f t="shared" si="12"/>
        <v>24031.539999999513</v>
      </c>
      <c r="L27" s="181">
        <f t="shared" si="10"/>
        <v>24031.540000002831</v>
      </c>
      <c r="M27" s="487" t="s">
        <v>2222</v>
      </c>
    </row>
    <row r="28" spans="1:13" ht="42" customHeight="1">
      <c r="M28" t="s">
        <v>1012</v>
      </c>
    </row>
    <row r="29" spans="1:13" ht="42" customHeight="1"/>
  </sheetData>
  <mergeCells count="15">
    <mergeCell ref="L5:M5"/>
    <mergeCell ref="B3:C3"/>
    <mergeCell ref="B4:E4"/>
    <mergeCell ref="F4:H4"/>
    <mergeCell ref="I4:K4"/>
    <mergeCell ref="B5:D5"/>
    <mergeCell ref="E5:G5"/>
    <mergeCell ref="H5:K5"/>
    <mergeCell ref="A1:B1"/>
    <mergeCell ref="C1:D1"/>
    <mergeCell ref="G1:H1"/>
    <mergeCell ref="J1:K1"/>
    <mergeCell ref="L1:M1"/>
    <mergeCell ref="B2:C2"/>
    <mergeCell ref="E2:H2"/>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9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95"/>
  <sheetViews>
    <sheetView topLeftCell="A64" zoomScaleSheetLayoutView="100" workbookViewId="0">
      <selection activeCell="H74" sqref="H74"/>
    </sheetView>
  </sheetViews>
  <sheetFormatPr defaultColWidth="9" defaultRowHeight="14.25"/>
  <cols>
    <col min="1" max="1" width="15.5" customWidth="1"/>
    <col min="2" max="2" width="13.75" customWidth="1"/>
    <col min="3" max="3" width="14.5" customWidth="1"/>
    <col min="4" max="4" width="14.375" customWidth="1"/>
    <col min="5" max="5" width="14.625" customWidth="1"/>
    <col min="6" max="6" width="12" customWidth="1"/>
    <col min="7" max="7" width="15.875" customWidth="1"/>
    <col min="8" max="8" width="14" customWidth="1"/>
    <col min="9" max="9" width="18.125" customWidth="1"/>
    <col min="10" max="10" width="13.25" customWidth="1"/>
    <col min="11" max="11" width="16.75" customWidth="1"/>
    <col min="12" max="12" width="14.125" customWidth="1"/>
    <col min="13" max="13" width="26.625" customWidth="1"/>
  </cols>
  <sheetData>
    <row r="1" spans="1:13" ht="89.1" customHeight="1">
      <c r="A1" s="1977" t="s">
        <v>556</v>
      </c>
      <c r="B1" s="1978"/>
      <c r="C1" s="1963" t="s">
        <v>2223</v>
      </c>
      <c r="D1" s="1964"/>
      <c r="E1" s="1981" t="s">
        <v>236</v>
      </c>
      <c r="F1" s="1965"/>
      <c r="G1" s="1966"/>
      <c r="H1" s="1967"/>
      <c r="I1" s="1078" t="s">
        <v>2095</v>
      </c>
      <c r="J1" s="1664" t="s">
        <v>2224</v>
      </c>
      <c r="K1" s="1664"/>
      <c r="L1" s="1664"/>
      <c r="M1" s="1056"/>
    </row>
    <row r="2" spans="1:13" ht="33" customHeight="1">
      <c r="A2" s="1959"/>
      <c r="B2" s="1960"/>
      <c r="C2" s="1952"/>
      <c r="D2" s="1953"/>
      <c r="E2" s="1982"/>
      <c r="F2" s="1968"/>
      <c r="G2" s="1969"/>
      <c r="H2" s="1970"/>
      <c r="I2" s="1079" t="s">
        <v>425</v>
      </c>
      <c r="J2" s="1939" t="s">
        <v>2225</v>
      </c>
      <c r="K2" s="1940"/>
      <c r="L2" s="1940"/>
      <c r="M2" s="1940"/>
    </row>
    <row r="3" spans="1:13" ht="42" customHeight="1">
      <c r="A3" s="39" t="s">
        <v>240</v>
      </c>
      <c r="B3" s="1637" t="s">
        <v>2226</v>
      </c>
      <c r="C3" s="1637"/>
      <c r="D3" s="41" t="s">
        <v>242</v>
      </c>
      <c r="E3" s="1637" t="s">
        <v>2226</v>
      </c>
      <c r="F3" s="1637"/>
      <c r="G3" s="1637"/>
      <c r="H3" s="1637"/>
      <c r="I3" s="41" t="s">
        <v>243</v>
      </c>
      <c r="J3" s="1080" t="s">
        <v>749</v>
      </c>
      <c r="K3" s="1081"/>
      <c r="L3" s="1031" t="s">
        <v>2102</v>
      </c>
      <c r="M3" s="1082" t="s">
        <v>2227</v>
      </c>
    </row>
    <row r="4" spans="1:13" ht="33" customHeight="1">
      <c r="A4" s="39" t="s">
        <v>247</v>
      </c>
      <c r="B4" s="1637" t="s">
        <v>2228</v>
      </c>
      <c r="C4" s="1637"/>
      <c r="D4" s="41" t="s">
        <v>249</v>
      </c>
      <c r="E4" s="1059" t="s">
        <v>2229</v>
      </c>
      <c r="F4" s="41" t="s">
        <v>251</v>
      </c>
      <c r="G4" s="41"/>
      <c r="H4" s="41" t="s">
        <v>252</v>
      </c>
      <c r="I4" s="41"/>
      <c r="J4" s="41" t="s">
        <v>565</v>
      </c>
      <c r="K4" s="40"/>
      <c r="L4" s="90" t="s">
        <v>2106</v>
      </c>
      <c r="M4" s="105"/>
    </row>
    <row r="5" spans="1:13" ht="71.099999999999994" customHeight="1">
      <c r="A5" s="1075" t="s">
        <v>258</v>
      </c>
      <c r="B5" s="1637"/>
      <c r="C5" s="1637"/>
      <c r="D5" s="1637"/>
      <c r="E5" s="1637"/>
      <c r="F5" s="1962"/>
      <c r="G5" s="1962"/>
      <c r="H5" s="1962"/>
      <c r="I5" s="1746"/>
      <c r="J5" s="1746"/>
      <c r="K5" s="1746"/>
      <c r="L5" s="90"/>
      <c r="M5" s="105"/>
    </row>
    <row r="6" spans="1:13" ht="64.5" customHeight="1">
      <c r="A6" s="39" t="s">
        <v>2107</v>
      </c>
      <c r="B6" s="1897" t="s">
        <v>2230</v>
      </c>
      <c r="C6" s="1897"/>
      <c r="D6" s="1897"/>
      <c r="E6" s="1897"/>
      <c r="F6" s="1897"/>
      <c r="G6" s="1665"/>
      <c r="H6" s="1665"/>
      <c r="I6" s="1665"/>
      <c r="J6" s="1665" t="s">
        <v>2231</v>
      </c>
      <c r="K6" s="1665"/>
      <c r="L6" s="1664"/>
      <c r="M6" s="1943"/>
    </row>
    <row r="7" spans="1:13" ht="63" customHeight="1">
      <c r="A7" s="39" t="s">
        <v>760</v>
      </c>
      <c r="B7" s="1971" t="s">
        <v>2232</v>
      </c>
      <c r="C7" s="1971"/>
      <c r="D7" s="1971"/>
      <c r="E7" s="1971"/>
      <c r="F7" s="1971"/>
      <c r="G7" s="962"/>
      <c r="H7" s="1972" t="s">
        <v>2233</v>
      </c>
      <c r="I7" s="1973"/>
      <c r="J7" s="1972" t="s">
        <v>2234</v>
      </c>
      <c r="K7" s="1973"/>
      <c r="L7" s="103"/>
      <c r="M7" s="1083"/>
    </row>
    <row r="8" spans="1:13" ht="42.75">
      <c r="A8" s="19" t="s">
        <v>266</v>
      </c>
      <c r="B8" s="20" t="s">
        <v>267</v>
      </c>
      <c r="C8" s="20" t="s">
        <v>268</v>
      </c>
      <c r="D8" s="20" t="s">
        <v>269</v>
      </c>
      <c r="E8" s="20" t="s">
        <v>270</v>
      </c>
      <c r="F8" s="20" t="s">
        <v>271</v>
      </c>
      <c r="G8" s="21" t="s">
        <v>272</v>
      </c>
      <c r="H8" s="22" t="s">
        <v>273</v>
      </c>
      <c r="I8" s="20" t="s">
        <v>274</v>
      </c>
      <c r="J8" s="70" t="s">
        <v>275</v>
      </c>
      <c r="K8" s="70" t="s">
        <v>276</v>
      </c>
      <c r="L8" s="20" t="s">
        <v>277</v>
      </c>
      <c r="M8" s="71" t="s">
        <v>278</v>
      </c>
    </row>
    <row r="9" spans="1:13" ht="33" customHeight="1">
      <c r="A9" s="448" t="s">
        <v>2235</v>
      </c>
      <c r="B9" s="46">
        <v>491.5</v>
      </c>
      <c r="C9" s="46">
        <v>161142.5</v>
      </c>
      <c r="D9" s="46">
        <f>B9</f>
        <v>491.5</v>
      </c>
      <c r="E9" s="46">
        <f>C9</f>
        <v>161142.5</v>
      </c>
      <c r="F9" s="140"/>
      <c r="G9" s="46">
        <f>C9</f>
        <v>161142.5</v>
      </c>
      <c r="H9" s="141"/>
      <c r="I9" s="47"/>
      <c r="J9" s="47"/>
      <c r="K9" s="140"/>
      <c r="L9" s="140">
        <f t="shared" ref="L9:L41" si="0">E9-J9</f>
        <v>161142.5</v>
      </c>
      <c r="M9" s="989"/>
    </row>
    <row r="10" spans="1:13" ht="33" customHeight="1">
      <c r="A10" s="448" t="s">
        <v>2236</v>
      </c>
      <c r="B10" s="46">
        <v>901.5</v>
      </c>
      <c r="C10" s="46">
        <v>314682.5</v>
      </c>
      <c r="D10" s="46">
        <f t="shared" ref="D10:D27" si="1">D9+B10</f>
        <v>1393</v>
      </c>
      <c r="E10" s="46">
        <f t="shared" ref="E10:E27" si="2">E9+C10</f>
        <v>475825</v>
      </c>
      <c r="F10" s="140"/>
      <c r="G10" s="46">
        <f>G9+C10</f>
        <v>475825</v>
      </c>
      <c r="H10" s="141">
        <v>0</v>
      </c>
      <c r="I10" s="47"/>
      <c r="J10" s="47"/>
      <c r="K10" s="140">
        <f t="shared" ref="K10:K40" si="3">K9+H10-I10</f>
        <v>0</v>
      </c>
      <c r="L10" s="140">
        <f t="shared" si="0"/>
        <v>475825</v>
      </c>
      <c r="M10" s="989"/>
    </row>
    <row r="11" spans="1:13" ht="33" customHeight="1">
      <c r="A11" s="448" t="s">
        <v>2237</v>
      </c>
      <c r="B11" s="46">
        <v>371</v>
      </c>
      <c r="C11" s="46">
        <v>133560</v>
      </c>
      <c r="D11" s="46">
        <f t="shared" si="1"/>
        <v>1764</v>
      </c>
      <c r="E11" s="46">
        <f t="shared" si="2"/>
        <v>609385</v>
      </c>
      <c r="F11" s="140"/>
      <c r="G11" s="46">
        <f t="shared" ref="G11:G35" si="4">E11*0.3</f>
        <v>182815.5</v>
      </c>
      <c r="H11" s="141">
        <v>0</v>
      </c>
      <c r="I11" s="47"/>
      <c r="J11" s="47"/>
      <c r="K11" s="140">
        <f t="shared" si="3"/>
        <v>0</v>
      </c>
      <c r="L11" s="140">
        <f t="shared" si="0"/>
        <v>609385</v>
      </c>
      <c r="M11" s="989"/>
    </row>
    <row r="12" spans="1:13" ht="33" customHeight="1">
      <c r="A12" s="448" t="s">
        <v>2238</v>
      </c>
      <c r="B12" s="46">
        <v>2077</v>
      </c>
      <c r="C12" s="46">
        <v>724067.5</v>
      </c>
      <c r="D12" s="46">
        <f t="shared" si="1"/>
        <v>3841</v>
      </c>
      <c r="E12" s="46">
        <f t="shared" si="2"/>
        <v>1333452.5</v>
      </c>
      <c r="F12" s="140"/>
      <c r="G12" s="46">
        <f t="shared" si="4"/>
        <v>400035.75</v>
      </c>
      <c r="H12" s="141">
        <f>E11*0.7</f>
        <v>426569.5</v>
      </c>
      <c r="I12" s="47"/>
      <c r="J12" s="47"/>
      <c r="K12" s="140">
        <f t="shared" si="3"/>
        <v>426569.5</v>
      </c>
      <c r="L12" s="140">
        <f t="shared" si="0"/>
        <v>1333452.5</v>
      </c>
      <c r="M12" s="989"/>
    </row>
    <row r="13" spans="1:13" ht="33" customHeight="1">
      <c r="A13" s="448" t="s">
        <v>2239</v>
      </c>
      <c r="B13" s="46">
        <v>2285.5</v>
      </c>
      <c r="C13" s="46">
        <v>802592.5</v>
      </c>
      <c r="D13" s="46">
        <f t="shared" si="1"/>
        <v>6126.5</v>
      </c>
      <c r="E13" s="46">
        <f t="shared" si="2"/>
        <v>2136045</v>
      </c>
      <c r="F13" s="140"/>
      <c r="G13" s="46">
        <f t="shared" si="4"/>
        <v>640813.5</v>
      </c>
      <c r="H13" s="141">
        <f t="shared" ref="H13:H35" si="5">C12*0.7</f>
        <v>506847.24999999994</v>
      </c>
      <c r="I13" s="47"/>
      <c r="J13" s="47"/>
      <c r="K13" s="140">
        <f t="shared" si="3"/>
        <v>933416.75</v>
      </c>
      <c r="L13" s="140">
        <f t="shared" si="0"/>
        <v>2136045</v>
      </c>
      <c r="M13" s="989"/>
    </row>
    <row r="14" spans="1:13" ht="33" customHeight="1">
      <c r="A14" s="1076" t="s">
        <v>2240</v>
      </c>
      <c r="B14" s="180">
        <v>1845.5</v>
      </c>
      <c r="C14" s="180">
        <v>658162.5</v>
      </c>
      <c r="D14" s="180">
        <f t="shared" si="1"/>
        <v>7972</v>
      </c>
      <c r="E14" s="180">
        <f t="shared" si="2"/>
        <v>2794207.5</v>
      </c>
      <c r="F14" s="200"/>
      <c r="G14" s="180">
        <f t="shared" si="4"/>
        <v>838262.25</v>
      </c>
      <c r="H14" s="201">
        <f t="shared" si="5"/>
        <v>561814.75</v>
      </c>
      <c r="I14" s="181">
        <v>100000</v>
      </c>
      <c r="J14" s="181">
        <f t="shared" ref="J14:J41" si="6">J13+I14</f>
        <v>100000</v>
      </c>
      <c r="K14" s="200">
        <f t="shared" si="3"/>
        <v>1395231.5</v>
      </c>
      <c r="L14" s="200">
        <f t="shared" si="0"/>
        <v>2694207.5</v>
      </c>
      <c r="M14" s="990" t="s">
        <v>2241</v>
      </c>
    </row>
    <row r="15" spans="1:13" ht="33" customHeight="1">
      <c r="A15" s="324" t="s">
        <v>2242</v>
      </c>
      <c r="B15" s="180">
        <v>3270.5</v>
      </c>
      <c r="C15" s="180">
        <v>1185156</v>
      </c>
      <c r="D15" s="180">
        <f t="shared" si="1"/>
        <v>11242.5</v>
      </c>
      <c r="E15" s="180">
        <f t="shared" si="2"/>
        <v>3979363.5</v>
      </c>
      <c r="F15" s="200"/>
      <c r="G15" s="180">
        <f t="shared" si="4"/>
        <v>1193809.05</v>
      </c>
      <c r="H15" s="201">
        <f t="shared" si="5"/>
        <v>460713.74999999994</v>
      </c>
      <c r="I15" s="181"/>
      <c r="J15" s="181">
        <f t="shared" si="6"/>
        <v>100000</v>
      </c>
      <c r="K15" s="200">
        <f t="shared" si="3"/>
        <v>1855945.25</v>
      </c>
      <c r="L15" s="200">
        <f t="shared" si="0"/>
        <v>3879363.5</v>
      </c>
      <c r="M15" s="990"/>
    </row>
    <row r="16" spans="1:13" ht="33" customHeight="1">
      <c r="A16" s="324" t="s">
        <v>2243</v>
      </c>
      <c r="B16" s="180">
        <v>3571</v>
      </c>
      <c r="C16" s="180">
        <v>1299717</v>
      </c>
      <c r="D16" s="180">
        <f t="shared" si="1"/>
        <v>14813.5</v>
      </c>
      <c r="E16" s="180">
        <f t="shared" si="2"/>
        <v>5279080.5</v>
      </c>
      <c r="F16" s="200"/>
      <c r="G16" s="180">
        <f t="shared" si="4"/>
        <v>1583724.15</v>
      </c>
      <c r="H16" s="201">
        <f t="shared" si="5"/>
        <v>829609.2</v>
      </c>
      <c r="I16" s="181">
        <v>300000</v>
      </c>
      <c r="J16" s="181">
        <f t="shared" si="6"/>
        <v>400000</v>
      </c>
      <c r="K16" s="200">
        <f t="shared" si="3"/>
        <v>2385554.4500000002</v>
      </c>
      <c r="L16" s="200">
        <f t="shared" si="0"/>
        <v>4879080.5</v>
      </c>
      <c r="M16" s="990" t="s">
        <v>2244</v>
      </c>
    </row>
    <row r="17" spans="1:13" ht="33" customHeight="1">
      <c r="A17" s="324" t="s">
        <v>2245</v>
      </c>
      <c r="B17" s="340">
        <v>1985.5</v>
      </c>
      <c r="C17" s="340">
        <v>699343.5</v>
      </c>
      <c r="D17" s="180">
        <f t="shared" si="1"/>
        <v>16799</v>
      </c>
      <c r="E17" s="180">
        <f t="shared" si="2"/>
        <v>5978424</v>
      </c>
      <c r="F17" s="338"/>
      <c r="G17" s="180">
        <f t="shared" si="4"/>
        <v>1793527.2</v>
      </c>
      <c r="H17" s="201">
        <f t="shared" si="5"/>
        <v>909801.89999999991</v>
      </c>
      <c r="I17" s="457"/>
      <c r="J17" s="181">
        <f t="shared" si="6"/>
        <v>400000</v>
      </c>
      <c r="K17" s="200">
        <f t="shared" si="3"/>
        <v>3295356.35</v>
      </c>
      <c r="L17" s="200">
        <f t="shared" si="0"/>
        <v>5578424</v>
      </c>
      <c r="M17" s="993"/>
    </row>
    <row r="18" spans="1:13" ht="33" customHeight="1">
      <c r="A18" s="439" t="s">
        <v>2246</v>
      </c>
      <c r="B18" s="340">
        <v>1916</v>
      </c>
      <c r="C18" s="340">
        <v>722342</v>
      </c>
      <c r="D18" s="180">
        <f t="shared" si="1"/>
        <v>18715</v>
      </c>
      <c r="E18" s="180">
        <f t="shared" si="2"/>
        <v>6700766</v>
      </c>
      <c r="F18" s="338"/>
      <c r="G18" s="180">
        <f t="shared" si="4"/>
        <v>2010229.7999999998</v>
      </c>
      <c r="H18" s="201">
        <f t="shared" si="5"/>
        <v>489540.44999999995</v>
      </c>
      <c r="I18" s="457">
        <v>1500000</v>
      </c>
      <c r="J18" s="181">
        <f t="shared" si="6"/>
        <v>1900000</v>
      </c>
      <c r="K18" s="200">
        <f t="shared" si="3"/>
        <v>2284896.7999999998</v>
      </c>
      <c r="L18" s="200">
        <f t="shared" si="0"/>
        <v>4800766</v>
      </c>
      <c r="M18" s="993" t="s">
        <v>2247</v>
      </c>
    </row>
    <row r="19" spans="1:13" ht="33" customHeight="1">
      <c r="A19" s="324" t="s">
        <v>2248</v>
      </c>
      <c r="B19" s="340">
        <v>691</v>
      </c>
      <c r="C19" s="340">
        <v>260002</v>
      </c>
      <c r="D19" s="180">
        <f t="shared" si="1"/>
        <v>19406</v>
      </c>
      <c r="E19" s="180">
        <f t="shared" si="2"/>
        <v>6960768</v>
      </c>
      <c r="F19" s="338"/>
      <c r="G19" s="180">
        <f t="shared" si="4"/>
        <v>2088230.4</v>
      </c>
      <c r="H19" s="201">
        <f t="shared" si="5"/>
        <v>505639.39999999997</v>
      </c>
      <c r="I19" s="457"/>
      <c r="J19" s="181">
        <f t="shared" si="6"/>
        <v>1900000</v>
      </c>
      <c r="K19" s="200">
        <f t="shared" si="3"/>
        <v>2790536.1999999997</v>
      </c>
      <c r="L19" s="200">
        <f t="shared" si="0"/>
        <v>5060768</v>
      </c>
      <c r="M19" s="993"/>
    </row>
    <row r="20" spans="1:13" ht="33" customHeight="1">
      <c r="A20" s="324" t="s">
        <v>2249</v>
      </c>
      <c r="B20" s="340">
        <v>464</v>
      </c>
      <c r="C20" s="340">
        <v>176878</v>
      </c>
      <c r="D20" s="180">
        <f t="shared" si="1"/>
        <v>19870</v>
      </c>
      <c r="E20" s="180">
        <f t="shared" si="2"/>
        <v>7137646</v>
      </c>
      <c r="F20" s="338"/>
      <c r="G20" s="180">
        <f t="shared" si="4"/>
        <v>2141293.7999999998</v>
      </c>
      <c r="H20" s="201">
        <f t="shared" si="5"/>
        <v>182001.4</v>
      </c>
      <c r="I20" s="457"/>
      <c r="J20" s="181">
        <f t="shared" si="6"/>
        <v>1900000</v>
      </c>
      <c r="K20" s="200">
        <f t="shared" si="3"/>
        <v>2972537.5999999996</v>
      </c>
      <c r="L20" s="200">
        <f t="shared" si="0"/>
        <v>5237646</v>
      </c>
      <c r="M20" s="993"/>
    </row>
    <row r="21" spans="1:13" ht="33" customHeight="1">
      <c r="A21" s="439" t="s">
        <v>2250</v>
      </c>
      <c r="B21" s="340">
        <v>139.5</v>
      </c>
      <c r="C21" s="340">
        <v>45436.5</v>
      </c>
      <c r="D21" s="180">
        <f t="shared" si="1"/>
        <v>20009.5</v>
      </c>
      <c r="E21" s="180">
        <f t="shared" si="2"/>
        <v>7183082.5</v>
      </c>
      <c r="F21" s="338"/>
      <c r="G21" s="180">
        <f t="shared" si="4"/>
        <v>2154924.75</v>
      </c>
      <c r="H21" s="201">
        <f t="shared" si="5"/>
        <v>123814.59999999999</v>
      </c>
      <c r="I21" s="457">
        <v>2000000</v>
      </c>
      <c r="J21" s="181">
        <f t="shared" si="6"/>
        <v>3900000</v>
      </c>
      <c r="K21" s="200">
        <f t="shared" si="3"/>
        <v>1096352.1999999997</v>
      </c>
      <c r="L21" s="200">
        <f t="shared" si="0"/>
        <v>3283082.5</v>
      </c>
      <c r="M21" s="993" t="s">
        <v>2251</v>
      </c>
    </row>
    <row r="22" spans="1:13" ht="33" customHeight="1">
      <c r="A22" s="439" t="s">
        <v>2252</v>
      </c>
      <c r="B22" s="340">
        <v>763</v>
      </c>
      <c r="C22" s="340">
        <v>230582</v>
      </c>
      <c r="D22" s="180">
        <f t="shared" si="1"/>
        <v>20772.5</v>
      </c>
      <c r="E22" s="180">
        <f t="shared" si="2"/>
        <v>7413664.5</v>
      </c>
      <c r="F22" s="338"/>
      <c r="G22" s="180">
        <f t="shared" si="4"/>
        <v>2224099.35</v>
      </c>
      <c r="H22" s="201">
        <f t="shared" si="5"/>
        <v>31805.55</v>
      </c>
      <c r="I22" s="457"/>
      <c r="J22" s="181">
        <f t="shared" si="6"/>
        <v>3900000</v>
      </c>
      <c r="K22" s="200">
        <f t="shared" si="3"/>
        <v>1128157.7499999998</v>
      </c>
      <c r="L22" s="200">
        <f t="shared" si="0"/>
        <v>3513664.5</v>
      </c>
      <c r="M22" s="993"/>
    </row>
    <row r="23" spans="1:13" ht="33" customHeight="1">
      <c r="A23" s="439" t="s">
        <v>2253</v>
      </c>
      <c r="B23" s="340">
        <v>1502</v>
      </c>
      <c r="C23" s="340">
        <v>466608</v>
      </c>
      <c r="D23" s="180">
        <f t="shared" si="1"/>
        <v>22274.5</v>
      </c>
      <c r="E23" s="180">
        <f t="shared" si="2"/>
        <v>7880272.5</v>
      </c>
      <c r="F23" s="338"/>
      <c r="G23" s="180">
        <f t="shared" si="4"/>
        <v>2364081.75</v>
      </c>
      <c r="H23" s="201">
        <f t="shared" si="5"/>
        <v>161407.4</v>
      </c>
      <c r="I23" s="457"/>
      <c r="J23" s="181">
        <f t="shared" si="6"/>
        <v>3900000</v>
      </c>
      <c r="K23" s="200">
        <f t="shared" si="3"/>
        <v>1289565.1499999997</v>
      </c>
      <c r="L23" s="200">
        <f t="shared" si="0"/>
        <v>3980272.5</v>
      </c>
      <c r="M23" s="993"/>
    </row>
    <row r="24" spans="1:13" ht="33" customHeight="1">
      <c r="A24" s="439" t="s">
        <v>2254</v>
      </c>
      <c r="B24" s="340">
        <v>2758</v>
      </c>
      <c r="C24" s="340">
        <v>975722</v>
      </c>
      <c r="D24" s="180">
        <f t="shared" si="1"/>
        <v>25032.5</v>
      </c>
      <c r="E24" s="180">
        <f t="shared" si="2"/>
        <v>8855994.5</v>
      </c>
      <c r="F24" s="338"/>
      <c r="G24" s="180">
        <f t="shared" si="4"/>
        <v>2656798.35</v>
      </c>
      <c r="H24" s="201">
        <f t="shared" si="5"/>
        <v>326625.59999999998</v>
      </c>
      <c r="I24" s="457"/>
      <c r="J24" s="181">
        <f t="shared" si="6"/>
        <v>3900000</v>
      </c>
      <c r="K24" s="200">
        <f t="shared" si="3"/>
        <v>1616190.7499999995</v>
      </c>
      <c r="L24" s="200">
        <f t="shared" si="0"/>
        <v>4955994.5</v>
      </c>
      <c r="M24" s="993"/>
    </row>
    <row r="25" spans="1:13" ht="33" customHeight="1">
      <c r="A25" s="439" t="s">
        <v>2255</v>
      </c>
      <c r="B25" s="340">
        <v>2716</v>
      </c>
      <c r="C25" s="340">
        <v>960758</v>
      </c>
      <c r="D25" s="180">
        <f t="shared" si="1"/>
        <v>27748.5</v>
      </c>
      <c r="E25" s="180">
        <f t="shared" si="2"/>
        <v>9816752.5</v>
      </c>
      <c r="F25" s="338"/>
      <c r="G25" s="180">
        <f t="shared" si="4"/>
        <v>2945025.75</v>
      </c>
      <c r="H25" s="201">
        <f t="shared" si="5"/>
        <v>683005.39999999991</v>
      </c>
      <c r="I25" s="457">
        <v>900000</v>
      </c>
      <c r="J25" s="181">
        <f t="shared" si="6"/>
        <v>4800000</v>
      </c>
      <c r="K25" s="200">
        <f t="shared" si="3"/>
        <v>1399196.1499999994</v>
      </c>
      <c r="L25" s="200">
        <f t="shared" si="0"/>
        <v>5016752.5</v>
      </c>
      <c r="M25" s="993" t="s">
        <v>2256</v>
      </c>
    </row>
    <row r="26" spans="1:13" ht="33" customHeight="1">
      <c r="A26" s="439" t="s">
        <v>2257</v>
      </c>
      <c r="B26" s="340">
        <v>7548.5</v>
      </c>
      <c r="C26" s="340">
        <v>2719135</v>
      </c>
      <c r="D26" s="180">
        <f t="shared" si="1"/>
        <v>35297</v>
      </c>
      <c r="E26" s="180">
        <f t="shared" si="2"/>
        <v>12535887.5</v>
      </c>
      <c r="F26" s="338"/>
      <c r="G26" s="180">
        <f t="shared" si="4"/>
        <v>3760766.25</v>
      </c>
      <c r="H26" s="201">
        <f t="shared" si="5"/>
        <v>672530.6</v>
      </c>
      <c r="I26" s="457">
        <v>1500000</v>
      </c>
      <c r="J26" s="181">
        <f t="shared" si="6"/>
        <v>6300000</v>
      </c>
      <c r="K26" s="200">
        <f t="shared" si="3"/>
        <v>571726.74999999953</v>
      </c>
      <c r="L26" s="200">
        <f t="shared" si="0"/>
        <v>6235887.5</v>
      </c>
      <c r="M26" s="993" t="s">
        <v>2258</v>
      </c>
    </row>
    <row r="27" spans="1:13" ht="30" customHeight="1">
      <c r="A27" s="439" t="s">
        <v>2259</v>
      </c>
      <c r="B27" s="340">
        <v>6068</v>
      </c>
      <c r="C27" s="340">
        <v>2213997</v>
      </c>
      <c r="D27" s="180">
        <f t="shared" si="1"/>
        <v>41365</v>
      </c>
      <c r="E27" s="180">
        <f t="shared" si="2"/>
        <v>14749884.5</v>
      </c>
      <c r="F27" s="338"/>
      <c r="G27" s="180">
        <f t="shared" si="4"/>
        <v>4424965.3499999996</v>
      </c>
      <c r="H27" s="201">
        <f t="shared" si="5"/>
        <v>1903394.4999999998</v>
      </c>
      <c r="I27" s="457"/>
      <c r="J27" s="181">
        <f t="shared" si="6"/>
        <v>6300000</v>
      </c>
      <c r="K27" s="200">
        <f t="shared" si="3"/>
        <v>2475121.2499999991</v>
      </c>
      <c r="L27" s="200">
        <f t="shared" si="0"/>
        <v>8449884.5</v>
      </c>
      <c r="M27" s="993"/>
    </row>
    <row r="28" spans="1:13" ht="30" customHeight="1">
      <c r="A28" s="270" t="s">
        <v>2260</v>
      </c>
      <c r="B28" s="340">
        <v>124.5</v>
      </c>
      <c r="C28" s="340">
        <v>37968</v>
      </c>
      <c r="D28" s="180">
        <f t="shared" ref="D28:E30" si="7">D27+B28</f>
        <v>41489.5</v>
      </c>
      <c r="E28" s="180">
        <f t="shared" si="7"/>
        <v>14787852.5</v>
      </c>
      <c r="F28" s="338"/>
      <c r="G28" s="180">
        <f t="shared" si="4"/>
        <v>4436355.75</v>
      </c>
      <c r="H28" s="201">
        <f t="shared" si="5"/>
        <v>1549797.9</v>
      </c>
      <c r="I28" s="457"/>
      <c r="J28" s="181">
        <f t="shared" si="6"/>
        <v>6300000</v>
      </c>
      <c r="K28" s="200">
        <f t="shared" si="3"/>
        <v>4024919.149999999</v>
      </c>
      <c r="L28" s="200">
        <f t="shared" si="0"/>
        <v>8487852.5</v>
      </c>
      <c r="M28" s="993"/>
    </row>
    <row r="29" spans="1:13" ht="30" customHeight="1">
      <c r="A29" s="270" t="s">
        <v>2261</v>
      </c>
      <c r="B29" s="340">
        <v>4400.5</v>
      </c>
      <c r="C29" s="340">
        <v>1599116</v>
      </c>
      <c r="D29" s="180">
        <f t="shared" si="7"/>
        <v>45890</v>
      </c>
      <c r="E29" s="180">
        <f t="shared" si="7"/>
        <v>16386968.5</v>
      </c>
      <c r="F29" s="338"/>
      <c r="G29" s="180">
        <f t="shared" si="4"/>
        <v>4916090.55</v>
      </c>
      <c r="H29" s="201">
        <f t="shared" si="5"/>
        <v>26577.599999999999</v>
      </c>
      <c r="I29" s="457"/>
      <c r="J29" s="181">
        <f t="shared" si="6"/>
        <v>6300000</v>
      </c>
      <c r="K29" s="200">
        <f t="shared" si="3"/>
        <v>4051496.7499999991</v>
      </c>
      <c r="L29" s="200">
        <f t="shared" si="0"/>
        <v>10086968.5</v>
      </c>
      <c r="M29" s="1084"/>
    </row>
    <row r="30" spans="1:13" ht="30" customHeight="1">
      <c r="A30" s="270" t="s">
        <v>2262</v>
      </c>
      <c r="B30" s="180">
        <v>6499.5</v>
      </c>
      <c r="C30" s="180">
        <v>2361699</v>
      </c>
      <c r="D30" s="180">
        <f t="shared" si="7"/>
        <v>52389.5</v>
      </c>
      <c r="E30" s="180">
        <f t="shared" si="7"/>
        <v>18748667.5</v>
      </c>
      <c r="F30" s="200"/>
      <c r="G30" s="180">
        <f t="shared" si="4"/>
        <v>5624600.25</v>
      </c>
      <c r="H30" s="201">
        <f t="shared" si="5"/>
        <v>1119381.2</v>
      </c>
      <c r="I30" s="181">
        <v>2000000</v>
      </c>
      <c r="J30" s="181">
        <f t="shared" si="6"/>
        <v>8300000</v>
      </c>
      <c r="K30" s="200">
        <f t="shared" si="3"/>
        <v>3170877.9499999993</v>
      </c>
      <c r="L30" s="200">
        <f t="shared" si="0"/>
        <v>10448667.5</v>
      </c>
      <c r="M30" s="1085" t="s">
        <v>2263</v>
      </c>
    </row>
    <row r="31" spans="1:13" ht="30" customHeight="1">
      <c r="A31" s="270" t="s">
        <v>2264</v>
      </c>
      <c r="B31" s="180">
        <v>4164.5</v>
      </c>
      <c r="C31" s="180">
        <v>1530679</v>
      </c>
      <c r="D31" s="180">
        <f t="shared" ref="D31:D41" si="8">D30+B31</f>
        <v>56554</v>
      </c>
      <c r="E31" s="180">
        <f t="shared" ref="E31:E41" si="9">E30+C31</f>
        <v>20279346.5</v>
      </c>
      <c r="F31" s="200"/>
      <c r="G31" s="180">
        <f t="shared" si="4"/>
        <v>6083803.9500000002</v>
      </c>
      <c r="H31" s="201">
        <f t="shared" si="5"/>
        <v>1653189.2999999998</v>
      </c>
      <c r="I31" s="181"/>
      <c r="J31" s="181">
        <f t="shared" si="6"/>
        <v>8300000</v>
      </c>
      <c r="K31" s="200">
        <f t="shared" si="3"/>
        <v>4824067.2499999991</v>
      </c>
      <c r="L31" s="200">
        <f t="shared" si="0"/>
        <v>11979346.5</v>
      </c>
      <c r="M31" s="1085"/>
    </row>
    <row r="32" spans="1:13" ht="30" customHeight="1">
      <c r="A32" s="270" t="s">
        <v>2265</v>
      </c>
      <c r="B32" s="180">
        <v>4242.5</v>
      </c>
      <c r="C32" s="180">
        <v>1539090</v>
      </c>
      <c r="D32" s="180">
        <f t="shared" si="8"/>
        <v>60796.5</v>
      </c>
      <c r="E32" s="180">
        <f t="shared" si="9"/>
        <v>21818436.5</v>
      </c>
      <c r="F32" s="200"/>
      <c r="G32" s="180">
        <f t="shared" si="4"/>
        <v>6545530.9500000002</v>
      </c>
      <c r="H32" s="201">
        <f t="shared" si="5"/>
        <v>1071475.3</v>
      </c>
      <c r="I32" s="181"/>
      <c r="J32" s="181">
        <f t="shared" si="6"/>
        <v>8300000</v>
      </c>
      <c r="K32" s="200">
        <f t="shared" si="3"/>
        <v>5895542.5499999989</v>
      </c>
      <c r="L32" s="200">
        <f t="shared" si="0"/>
        <v>13518436.5</v>
      </c>
      <c r="M32" s="1085"/>
    </row>
    <row r="33" spans="1:13" ht="30" customHeight="1">
      <c r="A33" s="405" t="s">
        <v>2266</v>
      </c>
      <c r="B33" s="180">
        <v>2592</v>
      </c>
      <c r="C33" s="180">
        <v>924419</v>
      </c>
      <c r="D33" s="180">
        <f t="shared" si="8"/>
        <v>63388.5</v>
      </c>
      <c r="E33" s="180">
        <f t="shared" si="9"/>
        <v>22742855.5</v>
      </c>
      <c r="F33" s="200"/>
      <c r="G33" s="180">
        <f t="shared" si="4"/>
        <v>6822856.6499999994</v>
      </c>
      <c r="H33" s="201">
        <f t="shared" si="5"/>
        <v>1077363</v>
      </c>
      <c r="I33" s="181">
        <v>1500000</v>
      </c>
      <c r="J33" s="181">
        <f t="shared" si="6"/>
        <v>9800000</v>
      </c>
      <c r="K33" s="200">
        <f t="shared" si="3"/>
        <v>5472905.5499999989</v>
      </c>
      <c r="L33" s="200">
        <f t="shared" si="0"/>
        <v>12942855.5</v>
      </c>
      <c r="M33" s="1085" t="s">
        <v>2267</v>
      </c>
    </row>
    <row r="34" spans="1:13" ht="30" customHeight="1">
      <c r="A34" s="405" t="s">
        <v>2268</v>
      </c>
      <c r="B34" s="180">
        <v>2854.5</v>
      </c>
      <c r="C34" s="180">
        <v>1052611.5</v>
      </c>
      <c r="D34" s="180">
        <f t="shared" si="8"/>
        <v>66243</v>
      </c>
      <c r="E34" s="180">
        <f t="shared" si="9"/>
        <v>23795467</v>
      </c>
      <c r="F34" s="200"/>
      <c r="G34" s="180">
        <f t="shared" si="4"/>
        <v>7138640.0999999996</v>
      </c>
      <c r="H34" s="201">
        <f t="shared" si="5"/>
        <v>647093.29999999993</v>
      </c>
      <c r="I34" s="181"/>
      <c r="J34" s="181">
        <f t="shared" si="6"/>
        <v>9800000</v>
      </c>
      <c r="K34" s="200">
        <f t="shared" si="3"/>
        <v>6119998.8499999987</v>
      </c>
      <c r="L34" s="200">
        <f t="shared" si="0"/>
        <v>13995467</v>
      </c>
      <c r="M34" s="1085"/>
    </row>
    <row r="35" spans="1:13" ht="30" customHeight="1">
      <c r="A35" s="405" t="s">
        <v>2269</v>
      </c>
      <c r="B35" s="180">
        <v>2334.5</v>
      </c>
      <c r="C35" s="180">
        <v>811937.5</v>
      </c>
      <c r="D35" s="180">
        <f t="shared" si="8"/>
        <v>68577.5</v>
      </c>
      <c r="E35" s="180">
        <f t="shared" si="9"/>
        <v>24607404.5</v>
      </c>
      <c r="F35" s="200"/>
      <c r="G35" s="180">
        <f t="shared" si="4"/>
        <v>7382221.3499999996</v>
      </c>
      <c r="H35" s="201">
        <f t="shared" si="5"/>
        <v>736828.04999999993</v>
      </c>
      <c r="I35" s="181">
        <v>1000000</v>
      </c>
      <c r="J35" s="181">
        <f t="shared" si="6"/>
        <v>10800000</v>
      </c>
      <c r="K35" s="200">
        <f t="shared" si="3"/>
        <v>5856826.8999999985</v>
      </c>
      <c r="L35" s="200">
        <f t="shared" si="0"/>
        <v>13807404.5</v>
      </c>
      <c r="M35" s="1085" t="s">
        <v>2270</v>
      </c>
    </row>
    <row r="36" spans="1:13" ht="42" customHeight="1">
      <c r="A36" s="405" t="s">
        <v>2271</v>
      </c>
      <c r="B36" s="180"/>
      <c r="C36" s="180">
        <v>-1136390.5</v>
      </c>
      <c r="D36" s="180">
        <f t="shared" si="8"/>
        <v>68577.5</v>
      </c>
      <c r="E36" s="180">
        <f t="shared" si="9"/>
        <v>23471014</v>
      </c>
      <c r="F36" s="200"/>
      <c r="G36" s="180"/>
      <c r="H36" s="201"/>
      <c r="I36" s="181">
        <v>1000000</v>
      </c>
      <c r="J36" s="181">
        <f t="shared" si="6"/>
        <v>11800000</v>
      </c>
      <c r="K36" s="200">
        <f t="shared" si="3"/>
        <v>4856826.8999999985</v>
      </c>
      <c r="L36" s="200">
        <f t="shared" si="0"/>
        <v>11671014</v>
      </c>
      <c r="M36" s="1086" t="s">
        <v>2272</v>
      </c>
    </row>
    <row r="37" spans="1:13" ht="42" customHeight="1">
      <c r="A37" s="405">
        <v>42248</v>
      </c>
      <c r="B37" s="180">
        <v>0</v>
      </c>
      <c r="C37" s="180">
        <v>0</v>
      </c>
      <c r="D37" s="180">
        <f t="shared" si="8"/>
        <v>68577.5</v>
      </c>
      <c r="E37" s="180">
        <f t="shared" si="9"/>
        <v>23471014</v>
      </c>
      <c r="F37" s="200"/>
      <c r="G37" s="180"/>
      <c r="H37" s="201">
        <f>C35*0.7+C36</f>
        <v>-568034.25</v>
      </c>
      <c r="I37" s="181">
        <v>2500000</v>
      </c>
      <c r="J37" s="181">
        <f t="shared" si="6"/>
        <v>14300000</v>
      </c>
      <c r="K37" s="200">
        <f t="shared" si="3"/>
        <v>1788792.6499999985</v>
      </c>
      <c r="L37" s="200">
        <f t="shared" si="0"/>
        <v>9171014</v>
      </c>
      <c r="M37" s="951" t="s">
        <v>2273</v>
      </c>
    </row>
    <row r="38" spans="1:13" ht="29.1" customHeight="1">
      <c r="A38" s="405">
        <v>42278</v>
      </c>
      <c r="B38" s="180">
        <v>0</v>
      </c>
      <c r="C38" s="180">
        <v>0</v>
      </c>
      <c r="D38" s="180">
        <f t="shared" si="8"/>
        <v>68577.5</v>
      </c>
      <c r="E38" s="180">
        <f t="shared" si="9"/>
        <v>23471014</v>
      </c>
      <c r="F38" s="200"/>
      <c r="G38" s="180"/>
      <c r="H38" s="201">
        <f>G35</f>
        <v>7382221.3499999996</v>
      </c>
      <c r="I38" s="181">
        <v>3000000</v>
      </c>
      <c r="J38" s="181">
        <f t="shared" si="6"/>
        <v>17300000</v>
      </c>
      <c r="K38" s="200">
        <f t="shared" si="3"/>
        <v>6171013.9999999981</v>
      </c>
      <c r="L38" s="200">
        <f t="shared" si="0"/>
        <v>6171014</v>
      </c>
      <c r="M38" s="951" t="s">
        <v>2274</v>
      </c>
    </row>
    <row r="39" spans="1:13" ht="29.1" customHeight="1">
      <c r="A39" s="405">
        <v>42339</v>
      </c>
      <c r="B39" s="180">
        <v>0</v>
      </c>
      <c r="C39" s="180">
        <v>0</v>
      </c>
      <c r="D39" s="180">
        <f t="shared" si="8"/>
        <v>68577.5</v>
      </c>
      <c r="E39" s="180">
        <f t="shared" si="9"/>
        <v>23471014</v>
      </c>
      <c r="F39" s="200"/>
      <c r="G39" s="180"/>
      <c r="H39" s="201"/>
      <c r="I39" s="181">
        <f>1510000+1490000</f>
        <v>3000000</v>
      </c>
      <c r="J39" s="181">
        <f t="shared" si="6"/>
        <v>20300000</v>
      </c>
      <c r="K39" s="200">
        <f t="shared" si="3"/>
        <v>3171013.9999999981</v>
      </c>
      <c r="L39" s="200">
        <f t="shared" si="0"/>
        <v>3171014</v>
      </c>
      <c r="M39" s="1087" t="s">
        <v>2275</v>
      </c>
    </row>
    <row r="40" spans="1:13" ht="29.1" customHeight="1">
      <c r="A40" s="405">
        <v>42370</v>
      </c>
      <c r="B40" s="180">
        <v>0</v>
      </c>
      <c r="C40" s="180">
        <v>0</v>
      </c>
      <c r="D40" s="180">
        <f t="shared" si="8"/>
        <v>68577.5</v>
      </c>
      <c r="E40" s="180">
        <f t="shared" si="9"/>
        <v>23471014</v>
      </c>
      <c r="F40" s="200"/>
      <c r="G40" s="180"/>
      <c r="H40" s="201"/>
      <c r="I40" s="181">
        <f>1510000+1490000</f>
        <v>3000000</v>
      </c>
      <c r="J40" s="181">
        <f t="shared" si="6"/>
        <v>23300000</v>
      </c>
      <c r="K40" s="200">
        <f t="shared" si="3"/>
        <v>171013.99999999814</v>
      </c>
      <c r="L40" s="200">
        <f t="shared" si="0"/>
        <v>171014</v>
      </c>
      <c r="M40" s="1085" t="s">
        <v>2276</v>
      </c>
    </row>
    <row r="41" spans="1:13" ht="29.1" customHeight="1">
      <c r="A41" s="1077">
        <v>42401</v>
      </c>
      <c r="B41" s="340">
        <v>0</v>
      </c>
      <c r="C41" s="340">
        <v>0</v>
      </c>
      <c r="D41" s="180">
        <f t="shared" si="8"/>
        <v>68577.5</v>
      </c>
      <c r="E41" s="180">
        <f t="shared" si="9"/>
        <v>23471014</v>
      </c>
      <c r="F41" s="338"/>
      <c r="G41" s="340"/>
      <c r="H41" s="776"/>
      <c r="I41" s="484">
        <v>171014</v>
      </c>
      <c r="J41" s="181">
        <f t="shared" si="6"/>
        <v>23471014</v>
      </c>
      <c r="K41" s="200"/>
      <c r="L41" s="200">
        <f t="shared" si="0"/>
        <v>0</v>
      </c>
      <c r="M41" s="1085" t="s">
        <v>2277</v>
      </c>
    </row>
    <row r="42" spans="1:13" ht="47.1" customHeight="1">
      <c r="A42" s="1977" t="s">
        <v>556</v>
      </c>
      <c r="B42" s="1979">
        <v>42200</v>
      </c>
      <c r="C42" s="1963" t="s">
        <v>2278</v>
      </c>
      <c r="D42" s="1964"/>
      <c r="E42" s="1981" t="s">
        <v>236</v>
      </c>
      <c r="F42" s="1965"/>
      <c r="G42" s="1966"/>
      <c r="H42" s="1967"/>
      <c r="I42" s="1088" t="s">
        <v>2279</v>
      </c>
      <c r="J42" s="1897" t="s">
        <v>2280</v>
      </c>
      <c r="K42" s="1897"/>
      <c r="L42" s="1974"/>
      <c r="M42" s="1089" t="s">
        <v>2281</v>
      </c>
    </row>
    <row r="43" spans="1:13" ht="69.95" customHeight="1">
      <c r="A43" s="1959"/>
      <c r="B43" s="1980"/>
      <c r="C43" s="1952"/>
      <c r="D43" s="1953"/>
      <c r="E43" s="1982"/>
      <c r="F43" s="1968"/>
      <c r="G43" s="1969"/>
      <c r="H43" s="1970"/>
      <c r="I43" s="1074" t="s">
        <v>425</v>
      </c>
      <c r="J43" s="1664" t="s">
        <v>2282</v>
      </c>
      <c r="K43" s="1664"/>
      <c r="L43" s="1664"/>
      <c r="M43" s="1664"/>
    </row>
    <row r="44" spans="1:13" ht="48" customHeight="1">
      <c r="A44" s="39" t="s">
        <v>240</v>
      </c>
      <c r="B44" s="1637" t="s">
        <v>2226</v>
      </c>
      <c r="C44" s="1637"/>
      <c r="D44" s="41" t="s">
        <v>242</v>
      </c>
      <c r="E44" s="90"/>
      <c r="F44" s="90"/>
      <c r="G44" s="90" t="s">
        <v>1561</v>
      </c>
      <c r="H44" s="90" t="s">
        <v>2283</v>
      </c>
      <c r="I44" s="41" t="s">
        <v>243</v>
      </c>
      <c r="J44" s="1975" t="s">
        <v>1586</v>
      </c>
      <c r="K44" s="1976"/>
      <c r="L44" s="1031" t="s">
        <v>2102</v>
      </c>
      <c r="M44" s="1082" t="s">
        <v>2284</v>
      </c>
    </row>
    <row r="45" spans="1:13" ht="48" customHeight="1">
      <c r="A45" s="39" t="s">
        <v>247</v>
      </c>
      <c r="B45" s="1637" t="s">
        <v>2228</v>
      </c>
      <c r="C45" s="1637"/>
      <c r="D45" s="41" t="s">
        <v>249</v>
      </c>
      <c r="E45" s="1059" t="s">
        <v>2285</v>
      </c>
      <c r="F45" s="41" t="s">
        <v>251</v>
      </c>
      <c r="G45" s="41"/>
      <c r="H45" s="41" t="s">
        <v>252</v>
      </c>
      <c r="I45" s="41"/>
      <c r="J45" s="41" t="s">
        <v>565</v>
      </c>
      <c r="K45" s="42" t="s">
        <v>2286</v>
      </c>
      <c r="L45" s="90" t="s">
        <v>2106</v>
      </c>
      <c r="M45" s="105" t="s">
        <v>2287</v>
      </c>
    </row>
    <row r="46" spans="1:13" ht="45" customHeight="1">
      <c r="A46" s="1075" t="s">
        <v>258</v>
      </c>
      <c r="B46" s="1637"/>
      <c r="C46" s="1637"/>
      <c r="D46" s="1637"/>
      <c r="E46" s="1637"/>
      <c r="F46" s="1958"/>
      <c r="G46" s="1958"/>
      <c r="H46" s="1958"/>
      <c r="I46" s="1746"/>
      <c r="J46" s="1746"/>
      <c r="K46" s="1746"/>
      <c r="L46" s="90"/>
      <c r="M46" s="105"/>
    </row>
    <row r="47" spans="1:13" ht="50.1" customHeight="1">
      <c r="A47" s="39" t="s">
        <v>2107</v>
      </c>
      <c r="B47" s="1897" t="s">
        <v>2288</v>
      </c>
      <c r="C47" s="1897"/>
      <c r="D47" s="1897"/>
      <c r="E47" s="1897"/>
      <c r="F47" s="1897"/>
      <c r="G47" s="1665"/>
      <c r="H47" s="1665" t="s">
        <v>2289</v>
      </c>
      <c r="I47" s="1665"/>
      <c r="J47" s="1665"/>
      <c r="K47" s="1665"/>
      <c r="L47" s="1664"/>
      <c r="M47" s="1943"/>
    </row>
    <row r="48" spans="1:13" ht="48.95" customHeight="1">
      <c r="A48" s="19" t="s">
        <v>266</v>
      </c>
      <c r="B48" s="20" t="s">
        <v>267</v>
      </c>
      <c r="C48" s="20" t="s">
        <v>268</v>
      </c>
      <c r="D48" s="20" t="s">
        <v>269</v>
      </c>
      <c r="E48" s="20" t="s">
        <v>270</v>
      </c>
      <c r="F48" s="20" t="s">
        <v>271</v>
      </c>
      <c r="G48" s="21" t="s">
        <v>272</v>
      </c>
      <c r="H48" s="22" t="s">
        <v>273</v>
      </c>
      <c r="I48" s="20" t="s">
        <v>274</v>
      </c>
      <c r="J48" s="70" t="s">
        <v>275</v>
      </c>
      <c r="K48" s="70" t="s">
        <v>276</v>
      </c>
      <c r="L48" s="20" t="s">
        <v>277</v>
      </c>
      <c r="M48" s="71" t="s">
        <v>278</v>
      </c>
    </row>
    <row r="49" spans="1:13" ht="32.1" customHeight="1">
      <c r="A49" s="1076" t="s">
        <v>2290</v>
      </c>
      <c r="B49" s="180">
        <v>2740.5</v>
      </c>
      <c r="C49" s="180">
        <v>944035</v>
      </c>
      <c r="D49" s="180">
        <f>B49</f>
        <v>2740.5</v>
      </c>
      <c r="E49" s="180">
        <f>C49</f>
        <v>944035</v>
      </c>
      <c r="F49" s="200"/>
      <c r="G49" s="180">
        <f>C49*0.3</f>
        <v>283210.5</v>
      </c>
      <c r="H49" s="201"/>
      <c r="I49" s="181"/>
      <c r="J49" s="181"/>
      <c r="K49" s="200"/>
      <c r="L49" s="200">
        <f t="shared" ref="L49:L67" si="10">E49-J49</f>
        <v>944035</v>
      </c>
      <c r="M49" s="990"/>
    </row>
    <row r="50" spans="1:13" ht="32.1" customHeight="1">
      <c r="A50" s="1076" t="s">
        <v>2291</v>
      </c>
      <c r="B50" s="180">
        <v>2473</v>
      </c>
      <c r="C50" s="180">
        <v>832617.5</v>
      </c>
      <c r="D50" s="180">
        <f t="shared" ref="D50:D67" si="11">D49+B50</f>
        <v>5213.5</v>
      </c>
      <c r="E50" s="180">
        <f t="shared" ref="E50:E67" si="12">E49+C50</f>
        <v>1776652.5</v>
      </c>
      <c r="F50" s="200"/>
      <c r="G50" s="180">
        <f t="shared" ref="G50:G55" si="13">E50*0.3</f>
        <v>532995.75</v>
      </c>
      <c r="H50" s="201">
        <f t="shared" ref="H50:H56" si="14">C49*0.7</f>
        <v>660824.5</v>
      </c>
      <c r="I50" s="181"/>
      <c r="J50" s="181"/>
      <c r="K50" s="200">
        <f t="shared" ref="K50:K67" si="15">K49+H50-I50</f>
        <v>660824.5</v>
      </c>
      <c r="L50" s="200">
        <f t="shared" si="10"/>
        <v>1776652.5</v>
      </c>
      <c r="M50" s="990"/>
    </row>
    <row r="51" spans="1:13" ht="32.1" customHeight="1">
      <c r="A51" s="1076" t="s">
        <v>2292</v>
      </c>
      <c r="B51" s="180">
        <v>1866</v>
      </c>
      <c r="C51" s="180">
        <v>627520</v>
      </c>
      <c r="D51" s="180">
        <f t="shared" si="11"/>
        <v>7079.5</v>
      </c>
      <c r="E51" s="180">
        <f t="shared" si="12"/>
        <v>2404172.5</v>
      </c>
      <c r="F51" s="200"/>
      <c r="G51" s="180">
        <f t="shared" si="13"/>
        <v>721251.75</v>
      </c>
      <c r="H51" s="201">
        <f t="shared" si="14"/>
        <v>582832.25</v>
      </c>
      <c r="I51" s="181"/>
      <c r="J51" s="181"/>
      <c r="K51" s="200">
        <f t="shared" si="15"/>
        <v>1243656.75</v>
      </c>
      <c r="L51" s="200">
        <f t="shared" si="10"/>
        <v>2404172.5</v>
      </c>
      <c r="M51" s="990"/>
    </row>
    <row r="52" spans="1:13" ht="32.1" customHeight="1">
      <c r="A52" s="1076" t="s">
        <v>2293</v>
      </c>
      <c r="B52" s="180">
        <v>2910</v>
      </c>
      <c r="C52" s="180">
        <v>970925</v>
      </c>
      <c r="D52" s="180">
        <f t="shared" si="11"/>
        <v>9989.5</v>
      </c>
      <c r="E52" s="180">
        <f t="shared" si="12"/>
        <v>3375097.5</v>
      </c>
      <c r="F52" s="200"/>
      <c r="G52" s="180">
        <f t="shared" si="13"/>
        <v>1012529.25</v>
      </c>
      <c r="H52" s="201">
        <f t="shared" si="14"/>
        <v>439264</v>
      </c>
      <c r="I52" s="181"/>
      <c r="J52" s="181"/>
      <c r="K52" s="200">
        <f t="shared" si="15"/>
        <v>1682920.75</v>
      </c>
      <c r="L52" s="200">
        <f t="shared" si="10"/>
        <v>3375097.5</v>
      </c>
      <c r="M52" s="990"/>
    </row>
    <row r="53" spans="1:13" ht="32.1" customHeight="1">
      <c r="A53" s="1076" t="s">
        <v>2294</v>
      </c>
      <c r="B53" s="251">
        <v>2974</v>
      </c>
      <c r="C53" s="251">
        <v>972722.5</v>
      </c>
      <c r="D53" s="180">
        <f t="shared" si="11"/>
        <v>12963.5</v>
      </c>
      <c r="E53" s="180">
        <f t="shared" si="12"/>
        <v>4347820</v>
      </c>
      <c r="F53" s="211"/>
      <c r="G53" s="180">
        <f t="shared" si="13"/>
        <v>1304346</v>
      </c>
      <c r="H53" s="201">
        <f t="shared" si="14"/>
        <v>679647.5</v>
      </c>
      <c r="I53" s="252"/>
      <c r="J53" s="252"/>
      <c r="K53" s="200">
        <f t="shared" si="15"/>
        <v>2362568.25</v>
      </c>
      <c r="L53" s="200">
        <f t="shared" si="10"/>
        <v>4347820</v>
      </c>
      <c r="M53" s="991"/>
    </row>
    <row r="54" spans="1:13" ht="32.1" customHeight="1">
      <c r="A54" s="405" t="s">
        <v>2295</v>
      </c>
      <c r="B54" s="180">
        <v>2401</v>
      </c>
      <c r="C54" s="180">
        <v>766945</v>
      </c>
      <c r="D54" s="180">
        <f t="shared" si="11"/>
        <v>15364.5</v>
      </c>
      <c r="E54" s="180">
        <f t="shared" si="12"/>
        <v>5114765</v>
      </c>
      <c r="F54" s="200"/>
      <c r="G54" s="180">
        <f t="shared" si="13"/>
        <v>1534429.5</v>
      </c>
      <c r="H54" s="201">
        <f t="shared" si="14"/>
        <v>680905.75</v>
      </c>
      <c r="I54" s="181"/>
      <c r="J54" s="181"/>
      <c r="K54" s="200">
        <f t="shared" si="15"/>
        <v>3043474</v>
      </c>
      <c r="L54" s="200">
        <f t="shared" si="10"/>
        <v>5114765</v>
      </c>
      <c r="M54" s="1085"/>
    </row>
    <row r="55" spans="1:13" ht="32.1" customHeight="1">
      <c r="A55" s="405" t="s">
        <v>2296</v>
      </c>
      <c r="B55" s="180">
        <v>1820.5</v>
      </c>
      <c r="C55" s="180">
        <v>572350</v>
      </c>
      <c r="D55" s="180">
        <f t="shared" si="11"/>
        <v>17185</v>
      </c>
      <c r="E55" s="180">
        <f t="shared" si="12"/>
        <v>5687115</v>
      </c>
      <c r="F55" s="200"/>
      <c r="G55" s="180">
        <f t="shared" si="13"/>
        <v>1706134.5</v>
      </c>
      <c r="H55" s="201">
        <f t="shared" si="14"/>
        <v>536861.5</v>
      </c>
      <c r="I55" s="181"/>
      <c r="J55" s="181"/>
      <c r="K55" s="200">
        <f t="shared" si="15"/>
        <v>3580335.5</v>
      </c>
      <c r="L55" s="200">
        <f t="shared" si="10"/>
        <v>5687115</v>
      </c>
      <c r="M55" s="1085"/>
    </row>
    <row r="56" spans="1:13" ht="32.1" customHeight="1">
      <c r="A56" s="405" t="s">
        <v>1572</v>
      </c>
      <c r="B56" s="180"/>
      <c r="C56" s="180">
        <v>-56706.32</v>
      </c>
      <c r="D56" s="180">
        <f t="shared" si="11"/>
        <v>17185</v>
      </c>
      <c r="E56" s="180">
        <f t="shared" si="12"/>
        <v>5630408.6799999997</v>
      </c>
      <c r="F56" s="200"/>
      <c r="G56" s="180">
        <f>E55*0.3</f>
        <v>1706134.5</v>
      </c>
      <c r="H56" s="201">
        <f t="shared" si="14"/>
        <v>400645</v>
      </c>
      <c r="I56" s="181"/>
      <c r="J56" s="181"/>
      <c r="K56" s="200">
        <f t="shared" si="15"/>
        <v>3980980.5</v>
      </c>
      <c r="L56" s="200">
        <f t="shared" si="10"/>
        <v>5630408.6799999997</v>
      </c>
      <c r="M56" s="1085"/>
    </row>
    <row r="57" spans="1:13" ht="32.1" customHeight="1">
      <c r="A57" s="405" t="s">
        <v>1574</v>
      </c>
      <c r="B57" s="180"/>
      <c r="C57" s="180">
        <v>-106376.47</v>
      </c>
      <c r="D57" s="180">
        <f t="shared" si="11"/>
        <v>17185</v>
      </c>
      <c r="E57" s="180">
        <f t="shared" si="12"/>
        <v>5524032.21</v>
      </c>
      <c r="F57" s="200"/>
      <c r="G57" s="180">
        <f>E55*0.3</f>
        <v>1706134.5</v>
      </c>
      <c r="H57" s="201">
        <f>C56</f>
        <v>-56706.32</v>
      </c>
      <c r="I57" s="181"/>
      <c r="J57" s="181"/>
      <c r="K57" s="200">
        <f t="shared" si="15"/>
        <v>3924274.18</v>
      </c>
      <c r="L57" s="200">
        <f t="shared" si="10"/>
        <v>5524032.21</v>
      </c>
      <c r="M57" s="1085" t="s">
        <v>2297</v>
      </c>
    </row>
    <row r="58" spans="1:13" ht="32.1" customHeight="1">
      <c r="A58" s="405" t="s">
        <v>2298</v>
      </c>
      <c r="B58" s="180">
        <v>126</v>
      </c>
      <c r="C58" s="180">
        <v>38400</v>
      </c>
      <c r="D58" s="180">
        <f t="shared" si="11"/>
        <v>17311</v>
      </c>
      <c r="E58" s="180">
        <f t="shared" si="12"/>
        <v>5562432.21</v>
      </c>
      <c r="F58" s="200"/>
      <c r="G58" s="180">
        <f>E55*0.3+C58*0.3</f>
        <v>1717654.5</v>
      </c>
      <c r="H58" s="201">
        <f>C57</f>
        <v>-106376.47</v>
      </c>
      <c r="I58" s="181">
        <f>828986</f>
        <v>828986</v>
      </c>
      <c r="J58" s="181">
        <f>I58</f>
        <v>828986</v>
      </c>
      <c r="K58" s="200">
        <f t="shared" si="15"/>
        <v>2988911.71</v>
      </c>
      <c r="L58" s="200">
        <f t="shared" si="10"/>
        <v>4733446.21</v>
      </c>
      <c r="M58" s="1085" t="s">
        <v>2277</v>
      </c>
    </row>
    <row r="59" spans="1:13" ht="32.1" customHeight="1">
      <c r="A59" s="405" t="s">
        <v>2299</v>
      </c>
      <c r="B59" s="180">
        <v>403</v>
      </c>
      <c r="C59" s="180">
        <v>123102.5</v>
      </c>
      <c r="D59" s="180">
        <f t="shared" si="11"/>
        <v>17714</v>
      </c>
      <c r="E59" s="180">
        <f t="shared" si="12"/>
        <v>5685534.71</v>
      </c>
      <c r="F59" s="200"/>
      <c r="G59" s="180">
        <f>E55*0.3+C59*0.3+C58*0.3</f>
        <v>1754585.25</v>
      </c>
      <c r="H59" s="201">
        <f t="shared" ref="H59:H64" si="16">C58*0.7</f>
        <v>26880</v>
      </c>
      <c r="I59" s="181"/>
      <c r="J59" s="181">
        <f t="shared" ref="J59:J67" si="17">I59+J58</f>
        <v>828986</v>
      </c>
      <c r="K59" s="200">
        <f t="shared" si="15"/>
        <v>3015791.71</v>
      </c>
      <c r="L59" s="200">
        <f t="shared" si="10"/>
        <v>4856548.71</v>
      </c>
      <c r="M59" s="1085"/>
    </row>
    <row r="60" spans="1:13" ht="32.1" customHeight="1">
      <c r="A60" s="405" t="s">
        <v>1575</v>
      </c>
      <c r="B60" s="180"/>
      <c r="C60" s="180">
        <v>-34982.839999999997</v>
      </c>
      <c r="D60" s="180">
        <f t="shared" si="11"/>
        <v>17714</v>
      </c>
      <c r="E60" s="180">
        <f t="shared" si="12"/>
        <v>5650551.8700000001</v>
      </c>
      <c r="F60" s="200"/>
      <c r="G60" s="180">
        <f>E55*0.3+C59*0.3+C58*0.3</f>
        <v>1754585.25</v>
      </c>
      <c r="H60" s="201">
        <f t="shared" si="16"/>
        <v>86171.75</v>
      </c>
      <c r="I60" s="181">
        <v>300000</v>
      </c>
      <c r="J60" s="181">
        <f t="shared" si="17"/>
        <v>1128986</v>
      </c>
      <c r="K60" s="200">
        <f t="shared" si="15"/>
        <v>2801963.46</v>
      </c>
      <c r="L60" s="200">
        <f t="shared" si="10"/>
        <v>4521565.87</v>
      </c>
      <c r="M60" s="1085" t="s">
        <v>2300</v>
      </c>
    </row>
    <row r="61" spans="1:13" ht="32.1" customHeight="1">
      <c r="A61" s="405" t="s">
        <v>2301</v>
      </c>
      <c r="B61" s="180">
        <v>634</v>
      </c>
      <c r="C61" s="180">
        <v>199055</v>
      </c>
      <c r="D61" s="180">
        <f t="shared" si="11"/>
        <v>18348</v>
      </c>
      <c r="E61" s="180">
        <f t="shared" si="12"/>
        <v>5849606.8700000001</v>
      </c>
      <c r="F61" s="200"/>
      <c r="G61" s="180">
        <f>E55*0.3+C61*0.3+C59*0.3+C58*0.3</f>
        <v>1814301.75</v>
      </c>
      <c r="H61" s="201">
        <f>C60</f>
        <v>-34982.839999999997</v>
      </c>
      <c r="I61" s="181"/>
      <c r="J61" s="181">
        <f t="shared" si="17"/>
        <v>1128986</v>
      </c>
      <c r="K61" s="200">
        <f t="shared" si="15"/>
        <v>2766980.62</v>
      </c>
      <c r="L61" s="200">
        <f t="shared" si="10"/>
        <v>4720620.87</v>
      </c>
      <c r="M61" s="1085"/>
    </row>
    <row r="62" spans="1:13" ht="32.1" customHeight="1">
      <c r="A62" s="405" t="s">
        <v>2302</v>
      </c>
      <c r="B62" s="180">
        <v>206.5</v>
      </c>
      <c r="C62" s="180">
        <v>62010</v>
      </c>
      <c r="D62" s="180">
        <f t="shared" si="11"/>
        <v>18554.5</v>
      </c>
      <c r="E62" s="180">
        <f t="shared" si="12"/>
        <v>5911616.8700000001</v>
      </c>
      <c r="F62" s="200"/>
      <c r="G62" s="180">
        <f>E55*0.3+C62*0.3+C61*0.3+C59*0.3+C58*0.3</f>
        <v>1832904.75</v>
      </c>
      <c r="H62" s="201">
        <f t="shared" si="16"/>
        <v>139338.5</v>
      </c>
      <c r="I62" s="181">
        <v>300000</v>
      </c>
      <c r="J62" s="181">
        <f t="shared" si="17"/>
        <v>1428986</v>
      </c>
      <c r="K62" s="200">
        <f t="shared" si="15"/>
        <v>2606319.12</v>
      </c>
      <c r="L62" s="200">
        <f t="shared" si="10"/>
        <v>4482630.87</v>
      </c>
      <c r="M62" s="1085" t="s">
        <v>2303</v>
      </c>
    </row>
    <row r="63" spans="1:13" ht="32.1" customHeight="1">
      <c r="A63" s="405" t="s">
        <v>2304</v>
      </c>
      <c r="B63" s="180">
        <v>349</v>
      </c>
      <c r="C63" s="180">
        <v>104920</v>
      </c>
      <c r="D63" s="180">
        <f t="shared" si="11"/>
        <v>18903.5</v>
      </c>
      <c r="E63" s="180">
        <f t="shared" si="12"/>
        <v>6016536.8700000001</v>
      </c>
      <c r="F63" s="200"/>
      <c r="G63" s="180">
        <f>E55*0.3+C63*0.3+C62*0.3+C61*0.3+C59*0.3+C58*0.3</f>
        <v>1864380.75</v>
      </c>
      <c r="H63" s="201">
        <f t="shared" si="16"/>
        <v>43407</v>
      </c>
      <c r="I63" s="181"/>
      <c r="J63" s="181">
        <f t="shared" si="17"/>
        <v>1428986</v>
      </c>
      <c r="K63" s="200">
        <f t="shared" si="15"/>
        <v>2649726.12</v>
      </c>
      <c r="L63" s="200">
        <f t="shared" si="10"/>
        <v>4587550.87</v>
      </c>
      <c r="M63" s="1085" t="s">
        <v>2305</v>
      </c>
    </row>
    <row r="64" spans="1:13" ht="32.1" customHeight="1">
      <c r="A64" s="405" t="s">
        <v>2306</v>
      </c>
      <c r="B64" s="180">
        <v>143</v>
      </c>
      <c r="C64" s="180">
        <v>42900</v>
      </c>
      <c r="D64" s="180">
        <f t="shared" si="11"/>
        <v>19046.5</v>
      </c>
      <c r="E64" s="180">
        <f t="shared" si="12"/>
        <v>6059436.8700000001</v>
      </c>
      <c r="F64" s="200"/>
      <c r="G64" s="180">
        <f>E55*0.05+(C58+C59+C61+C62+C63+C64)*0.05</f>
        <v>312875.125</v>
      </c>
      <c r="H64" s="201">
        <f t="shared" si="16"/>
        <v>73444</v>
      </c>
      <c r="I64" s="181">
        <f>2480000+300000</f>
        <v>2780000</v>
      </c>
      <c r="J64" s="181">
        <f t="shared" si="17"/>
        <v>4208986</v>
      </c>
      <c r="K64" s="218">
        <f t="shared" si="15"/>
        <v>-56829.879999999888</v>
      </c>
      <c r="L64" s="218">
        <f t="shared" si="10"/>
        <v>1850450.87</v>
      </c>
      <c r="M64" s="1085" t="s">
        <v>2307</v>
      </c>
    </row>
    <row r="65" spans="1:13" ht="32.1" customHeight="1">
      <c r="A65" s="405" t="s">
        <v>2308</v>
      </c>
      <c r="B65" s="180">
        <v>122.5</v>
      </c>
      <c r="C65" s="180">
        <v>36750</v>
      </c>
      <c r="D65" s="180">
        <f t="shared" si="11"/>
        <v>19169</v>
      </c>
      <c r="E65" s="180">
        <f t="shared" si="12"/>
        <v>6096186.8700000001</v>
      </c>
      <c r="F65" s="200"/>
      <c r="G65" s="180">
        <f>E55*0.05+(C58+C59+C61+C62+C63+C64+C65)*0.05</f>
        <v>314712.625</v>
      </c>
      <c r="H65" s="201">
        <f>C64*0.95+(E55+C58+C59+C61+C62+C63)*0.25</f>
        <v>1594405.625</v>
      </c>
      <c r="I65" s="181"/>
      <c r="J65" s="181">
        <f t="shared" si="17"/>
        <v>4208986</v>
      </c>
      <c r="K65" s="200">
        <f t="shared" si="15"/>
        <v>1537575.7450000001</v>
      </c>
      <c r="L65" s="200">
        <f t="shared" si="10"/>
        <v>1887200.87</v>
      </c>
      <c r="M65" s="1085"/>
    </row>
    <row r="66" spans="1:13" ht="32.1" customHeight="1">
      <c r="A66" s="405" t="s">
        <v>1577</v>
      </c>
      <c r="B66" s="180"/>
      <c r="C66" s="180">
        <v>-11697.38</v>
      </c>
      <c r="D66" s="180">
        <f t="shared" si="11"/>
        <v>19169</v>
      </c>
      <c r="E66" s="180">
        <f t="shared" si="12"/>
        <v>6084489.4900000002</v>
      </c>
      <c r="F66" s="200"/>
      <c r="G66" s="180">
        <f>E55*0.05+(C59+C61+C62+C63+C64+C65+C66+C58)*0.05</f>
        <v>314127.75599999999</v>
      </c>
      <c r="H66" s="201">
        <f>C65*0.95</f>
        <v>34912.5</v>
      </c>
      <c r="I66" s="181"/>
      <c r="J66" s="181">
        <f t="shared" si="17"/>
        <v>4208986</v>
      </c>
      <c r="K66" s="200">
        <f t="shared" si="15"/>
        <v>1572488.2450000001</v>
      </c>
      <c r="L66" s="200">
        <f t="shared" si="10"/>
        <v>1875503.4900000002</v>
      </c>
      <c r="M66" s="1085"/>
    </row>
    <row r="67" spans="1:13" ht="32.1" customHeight="1">
      <c r="A67" s="405" t="s">
        <v>2309</v>
      </c>
      <c r="B67" s="180"/>
      <c r="C67" s="180">
        <v>-238.04</v>
      </c>
      <c r="D67" s="180">
        <f t="shared" si="11"/>
        <v>19169</v>
      </c>
      <c r="E67" s="180">
        <f t="shared" si="12"/>
        <v>6084251.4500000002</v>
      </c>
      <c r="F67" s="200"/>
      <c r="G67" s="180">
        <f>E56*0.05+(+C62+C63+C64+C65+C66+C67+C59+C58+C61)*0.05</f>
        <v>311280.538</v>
      </c>
      <c r="H67" s="201">
        <f>C66*0.95</f>
        <v>-11112.510999999999</v>
      </c>
      <c r="I67" s="181">
        <v>960000</v>
      </c>
      <c r="J67" s="181">
        <f t="shared" si="17"/>
        <v>5168986</v>
      </c>
      <c r="K67" s="200">
        <f t="shared" si="15"/>
        <v>601375.73400000017</v>
      </c>
      <c r="L67" s="200">
        <f t="shared" si="10"/>
        <v>915265.45000000019</v>
      </c>
      <c r="M67" s="1085" t="s">
        <v>2310</v>
      </c>
    </row>
    <row r="68" spans="1:13" ht="32.1" customHeight="1">
      <c r="A68" s="405"/>
      <c r="B68" s="180"/>
      <c r="C68" s="180"/>
      <c r="D68" s="180"/>
      <c r="E68" s="180"/>
      <c r="F68" s="200"/>
      <c r="G68" s="180">
        <f>E55*0.05+(+C63+C64+C65+C66+C67+C61+C59+C62+C58)*0.05</f>
        <v>314115.85399999999</v>
      </c>
      <c r="H68" s="201">
        <f>C67*0.95</f>
        <v>-226.13799999999998</v>
      </c>
      <c r="I68" s="181"/>
      <c r="J68" s="181"/>
      <c r="K68" s="200"/>
      <c r="L68" s="200"/>
      <c r="M68" s="1085"/>
    </row>
    <row r="69" spans="1:13" ht="32.1" customHeight="1">
      <c r="A69" s="405"/>
      <c r="B69" s="180"/>
      <c r="C69" s="180"/>
      <c r="D69" s="180"/>
      <c r="E69" s="180"/>
      <c r="F69" s="200"/>
      <c r="G69" s="180"/>
      <c r="H69" s="201">
        <f>C68</f>
        <v>0</v>
      </c>
      <c r="I69" s="181"/>
      <c r="J69" s="181"/>
      <c r="K69" s="200"/>
      <c r="L69" s="200"/>
      <c r="M69" s="1085"/>
    </row>
    <row r="70" spans="1:13" ht="32.1" customHeight="1">
      <c r="A70" s="405"/>
      <c r="B70" s="180"/>
      <c r="C70" s="180"/>
      <c r="D70" s="180"/>
      <c r="E70" s="180"/>
      <c r="F70" s="200"/>
      <c r="G70" s="180"/>
      <c r="H70" s="201"/>
      <c r="I70" s="181"/>
      <c r="J70" s="181"/>
      <c r="K70" s="200"/>
      <c r="L70" s="200"/>
      <c r="M70" s="1085"/>
    </row>
    <row r="71" spans="1:13" ht="32.1" customHeight="1">
      <c r="A71" s="405"/>
      <c r="B71" s="180"/>
      <c r="C71" s="180"/>
      <c r="D71" s="180"/>
      <c r="E71" s="180"/>
      <c r="F71" s="200"/>
      <c r="G71" s="180"/>
      <c r="H71" s="201"/>
      <c r="I71" s="181"/>
      <c r="J71" s="181"/>
      <c r="K71" s="200"/>
      <c r="L71" s="200"/>
      <c r="M71" s="1085"/>
    </row>
    <row r="72" spans="1:13" ht="41.1" customHeight="1"/>
    <row r="95" spans="9:9">
      <c r="I95" s="434"/>
    </row>
  </sheetData>
  <mergeCells count="37">
    <mergeCell ref="B47:G47"/>
    <mergeCell ref="H47:I47"/>
    <mergeCell ref="J47:K47"/>
    <mergeCell ref="L47:M47"/>
    <mergeCell ref="A1:A2"/>
    <mergeCell ref="A42:A43"/>
    <mergeCell ref="B1:B2"/>
    <mergeCell ref="B42:B43"/>
    <mergeCell ref="E1:E2"/>
    <mergeCell ref="E42:E43"/>
    <mergeCell ref="J42:L42"/>
    <mergeCell ref="J43:M43"/>
    <mergeCell ref="B44:C44"/>
    <mergeCell ref="J44:K44"/>
    <mergeCell ref="B45:C45"/>
    <mergeCell ref="B46:E46"/>
    <mergeCell ref="F46:H46"/>
    <mergeCell ref="I46:K46"/>
    <mergeCell ref="C42:D43"/>
    <mergeCell ref="F42:H43"/>
    <mergeCell ref="B6:G6"/>
    <mergeCell ref="H6:I6"/>
    <mergeCell ref="J6:K6"/>
    <mergeCell ref="L6:M6"/>
    <mergeCell ref="B7:F7"/>
    <mergeCell ref="H7:I7"/>
    <mergeCell ref="J7:K7"/>
    <mergeCell ref="J1:L1"/>
    <mergeCell ref="J2:M2"/>
    <mergeCell ref="B3:C3"/>
    <mergeCell ref="E3:H3"/>
    <mergeCell ref="B4:C4"/>
    <mergeCell ref="B5:E5"/>
    <mergeCell ref="F5:H5"/>
    <mergeCell ref="I5:K5"/>
    <mergeCell ref="C1:D2"/>
    <mergeCell ref="F1:H2"/>
  </mergeCells>
  <phoneticPr fontId="84" type="noConversion"/>
  <pageMargins left="0.75" right="0.75" top="1" bottom="1" header="0.51" footer="0.51"/>
  <pageSetup paperSize="9" orientation="portrait" verticalDpi="200"/>
  <headerFooter scaleWithDoc="0" alignWithMargins="0"/>
  <legacyDrawing r:id="rId1"/>
</worksheet>
</file>

<file path=xl/worksheets/sheet9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41"/>
  <sheetViews>
    <sheetView topLeftCell="A34" zoomScaleSheetLayoutView="100" workbookViewId="0">
      <selection activeCell="B38" sqref="B38:M38"/>
    </sheetView>
  </sheetViews>
  <sheetFormatPr defaultColWidth="9" defaultRowHeight="14.25"/>
  <cols>
    <col min="1" max="1" width="17.375" customWidth="1"/>
    <col min="2" max="2" width="14.75" customWidth="1"/>
    <col min="3" max="3" width="13.5" customWidth="1"/>
    <col min="4" max="5" width="15" customWidth="1"/>
    <col min="6" max="6" width="16.25" customWidth="1"/>
    <col min="7" max="7" width="17.125" customWidth="1"/>
    <col min="8" max="8" width="16" customWidth="1"/>
    <col min="9" max="9" width="14.5" customWidth="1"/>
    <col min="10" max="10" width="12.875" customWidth="1"/>
    <col min="11" max="11" width="16.5" customWidth="1"/>
    <col min="12" max="12" width="15.5" customWidth="1"/>
    <col min="13" max="13" width="34.5" customWidth="1"/>
  </cols>
  <sheetData>
    <row r="1" spans="1:13" ht="87" customHeight="1">
      <c r="A1" s="1054" t="s">
        <v>556</v>
      </c>
      <c r="B1" s="1055" t="s">
        <v>2311</v>
      </c>
      <c r="C1" s="1947" t="s">
        <v>2312</v>
      </c>
      <c r="D1" s="1960"/>
      <c r="E1" s="1057" t="s">
        <v>236</v>
      </c>
      <c r="F1" s="1058"/>
      <c r="G1" s="1939"/>
      <c r="H1" s="1986"/>
      <c r="I1" s="1055" t="s">
        <v>2095</v>
      </c>
      <c r="J1" s="1777" t="s">
        <v>2313</v>
      </c>
      <c r="K1" s="1777"/>
      <c r="L1" s="1777"/>
      <c r="M1" s="619" t="s">
        <v>2314</v>
      </c>
    </row>
    <row r="2" spans="1:13" ht="54.95" customHeight="1">
      <c r="A2" s="39" t="s">
        <v>240</v>
      </c>
      <c r="B2" s="1637" t="s">
        <v>2315</v>
      </c>
      <c r="C2" s="1637"/>
      <c r="D2" s="41" t="s">
        <v>242</v>
      </c>
      <c r="E2" s="1681" t="s">
        <v>2316</v>
      </c>
      <c r="F2" s="1681"/>
      <c r="G2" s="1681"/>
      <c r="H2" s="1681"/>
      <c r="I2" s="41" t="s">
        <v>243</v>
      </c>
      <c r="J2" s="41" t="s">
        <v>421</v>
      </c>
      <c r="K2" s="1061"/>
      <c r="L2" s="90" t="s">
        <v>2102</v>
      </c>
      <c r="M2" s="104" t="s">
        <v>2317</v>
      </c>
    </row>
    <row r="3" spans="1:13" ht="53.1" customHeight="1">
      <c r="A3" s="39" t="s">
        <v>247</v>
      </c>
      <c r="B3" s="1637" t="s">
        <v>92</v>
      </c>
      <c r="C3" s="1637"/>
      <c r="D3" s="41" t="s">
        <v>249</v>
      </c>
      <c r="E3" s="1059" t="s">
        <v>323</v>
      </c>
      <c r="F3" s="41" t="s">
        <v>251</v>
      </c>
      <c r="G3" s="41"/>
      <c r="H3" s="41" t="s">
        <v>252</v>
      </c>
      <c r="I3" s="41"/>
      <c r="J3" s="41" t="s">
        <v>565</v>
      </c>
      <c r="K3" s="40" t="s">
        <v>2318</v>
      </c>
      <c r="L3" s="90" t="s">
        <v>2106</v>
      </c>
      <c r="M3" s="40" t="s">
        <v>2318</v>
      </c>
    </row>
    <row r="4" spans="1:13" ht="72" customHeight="1">
      <c r="A4" s="19" t="s">
        <v>260</v>
      </c>
      <c r="B4" s="1983" t="s">
        <v>2319</v>
      </c>
      <c r="C4" s="1984"/>
      <c r="D4" s="1984"/>
      <c r="E4" s="1985"/>
      <c r="F4" s="20"/>
      <c r="G4" s="21"/>
      <c r="H4" s="1983" t="s">
        <v>2320</v>
      </c>
      <c r="I4" s="1984"/>
      <c r="J4" s="1984"/>
      <c r="K4" s="1984"/>
      <c r="L4" s="1985"/>
      <c r="M4" s="71"/>
    </row>
    <row r="5" spans="1:13" ht="28.5">
      <c r="A5" s="1066" t="s">
        <v>2321</v>
      </c>
      <c r="B5" s="251">
        <v>204</v>
      </c>
      <c r="C5" s="251">
        <v>62524</v>
      </c>
      <c r="D5" s="251">
        <f>B5</f>
        <v>204</v>
      </c>
      <c r="E5" s="251">
        <f>C5</f>
        <v>62524</v>
      </c>
      <c r="F5" s="211"/>
      <c r="G5" s="251">
        <f>E5*0.4</f>
        <v>25009.600000000002</v>
      </c>
      <c r="H5" s="831"/>
      <c r="I5" s="555"/>
      <c r="J5" s="555"/>
      <c r="K5" s="831"/>
      <c r="L5" s="200">
        <f t="shared" ref="L5:L36" si="0">E5-J5</f>
        <v>62524</v>
      </c>
      <c r="M5" s="991"/>
    </row>
    <row r="6" spans="1:13" ht="28.5">
      <c r="A6" s="324" t="s">
        <v>2322</v>
      </c>
      <c r="B6" s="1067">
        <v>142</v>
      </c>
      <c r="C6" s="181">
        <v>51302</v>
      </c>
      <c r="D6" s="180">
        <f t="shared" ref="D6:D36" si="1">D5+B6</f>
        <v>346</v>
      </c>
      <c r="E6" s="180">
        <f t="shared" ref="E6:E36" si="2">E5+C6</f>
        <v>113826</v>
      </c>
      <c r="F6" s="1068"/>
      <c r="G6" s="180">
        <f>E6*0.4</f>
        <v>45530.400000000001</v>
      </c>
      <c r="H6" s="933">
        <f>C5*0.6</f>
        <v>37514.400000000001</v>
      </c>
      <c r="I6" s="1068"/>
      <c r="J6" s="1068"/>
      <c r="K6" s="226">
        <f>H6-I5</f>
        <v>37514.400000000001</v>
      </c>
      <c r="L6" s="200">
        <f t="shared" si="0"/>
        <v>113826</v>
      </c>
      <c r="M6" s="1070"/>
    </row>
    <row r="7" spans="1:13" ht="28.5">
      <c r="A7" s="324" t="s">
        <v>2323</v>
      </c>
      <c r="B7" s="457">
        <v>169</v>
      </c>
      <c r="C7" s="457">
        <v>60370</v>
      </c>
      <c r="D7" s="180">
        <f t="shared" si="1"/>
        <v>515</v>
      </c>
      <c r="E7" s="180">
        <f t="shared" si="2"/>
        <v>174196</v>
      </c>
      <c r="F7" s="1069"/>
      <c r="G7" s="180">
        <f>E7*0.4</f>
        <v>69678.400000000009</v>
      </c>
      <c r="H7" s="201">
        <f>C6*0.6</f>
        <v>30781.199999999997</v>
      </c>
      <c r="I7" s="1069"/>
      <c r="J7" s="1069"/>
      <c r="K7" s="226">
        <f t="shared" ref="K7:K37" si="3">K6+H7-I7</f>
        <v>68295.600000000006</v>
      </c>
      <c r="L7" s="200">
        <f t="shared" si="0"/>
        <v>174196</v>
      </c>
      <c r="M7" s="1071"/>
    </row>
    <row r="8" spans="1:13" ht="28.5">
      <c r="A8" s="324" t="s">
        <v>2324</v>
      </c>
      <c r="B8" s="457">
        <v>175</v>
      </c>
      <c r="C8" s="457">
        <v>63189.5</v>
      </c>
      <c r="D8" s="180">
        <f t="shared" si="1"/>
        <v>690</v>
      </c>
      <c r="E8" s="180">
        <f t="shared" si="2"/>
        <v>237385.5</v>
      </c>
      <c r="F8" s="457"/>
      <c r="G8" s="180">
        <f>E8*0.4</f>
        <v>94954.200000000012</v>
      </c>
      <c r="H8" s="201">
        <f>C7*0.6</f>
        <v>36222</v>
      </c>
      <c r="I8" s="1072"/>
      <c r="J8" s="1072"/>
      <c r="K8" s="226">
        <f t="shared" si="3"/>
        <v>104517.6</v>
      </c>
      <c r="L8" s="200">
        <f t="shared" si="0"/>
        <v>237385.5</v>
      </c>
      <c r="M8" s="1073"/>
    </row>
    <row r="9" spans="1:13" ht="28.5">
      <c r="A9" s="324" t="s">
        <v>2248</v>
      </c>
      <c r="B9" s="457">
        <v>434.5</v>
      </c>
      <c r="C9" s="457">
        <v>133845.5</v>
      </c>
      <c r="D9" s="180">
        <f t="shared" si="1"/>
        <v>1124.5</v>
      </c>
      <c r="E9" s="180">
        <f t="shared" si="2"/>
        <v>371231</v>
      </c>
      <c r="F9" s="457"/>
      <c r="G9" s="180">
        <f>E9*0.4</f>
        <v>148492.4</v>
      </c>
      <c r="H9" s="201">
        <f>C8*0.6</f>
        <v>37913.699999999997</v>
      </c>
      <c r="I9" s="1072">
        <v>200000</v>
      </c>
      <c r="J9" s="1072">
        <f t="shared" ref="J9:J36" si="4">J8+I9</f>
        <v>200000</v>
      </c>
      <c r="K9" s="226">
        <f t="shared" si="3"/>
        <v>-57568.700000000012</v>
      </c>
      <c r="L9" s="200">
        <f t="shared" si="0"/>
        <v>171231</v>
      </c>
      <c r="M9" s="1073" t="s">
        <v>2325</v>
      </c>
    </row>
    <row r="10" spans="1:13" ht="28.5">
      <c r="A10" s="439" t="s">
        <v>785</v>
      </c>
      <c r="B10" s="457"/>
      <c r="C10" s="651">
        <v>-8987.33</v>
      </c>
      <c r="D10" s="180">
        <f t="shared" si="1"/>
        <v>1124.5</v>
      </c>
      <c r="E10" s="180">
        <f t="shared" si="2"/>
        <v>362243.67</v>
      </c>
      <c r="F10" s="457"/>
      <c r="G10" s="180">
        <f>E9*0.4</f>
        <v>148492.4</v>
      </c>
      <c r="H10" s="201"/>
      <c r="I10" s="1072"/>
      <c r="J10" s="1072">
        <f t="shared" si="4"/>
        <v>200000</v>
      </c>
      <c r="K10" s="226">
        <f t="shared" si="3"/>
        <v>-57568.700000000012</v>
      </c>
      <c r="L10" s="200">
        <f t="shared" si="0"/>
        <v>162243.66999999998</v>
      </c>
      <c r="M10" s="1073"/>
    </row>
    <row r="11" spans="1:13" ht="42.75">
      <c r="A11" s="439" t="s">
        <v>2326</v>
      </c>
      <c r="B11" s="457">
        <v>853.5</v>
      </c>
      <c r="C11" s="457">
        <v>275202.5</v>
      </c>
      <c r="D11" s="180">
        <f t="shared" si="1"/>
        <v>1978</v>
      </c>
      <c r="E11" s="180">
        <f t="shared" si="2"/>
        <v>637446.16999999993</v>
      </c>
      <c r="F11" s="457"/>
      <c r="G11" s="180">
        <f>E9*0.4+C11*0.4</f>
        <v>258573.4</v>
      </c>
      <c r="H11" s="201">
        <f>C9*0.6+C10</f>
        <v>71319.97</v>
      </c>
      <c r="I11" s="1072"/>
      <c r="J11" s="1072">
        <f t="shared" si="4"/>
        <v>200000</v>
      </c>
      <c r="K11" s="226">
        <f t="shared" si="3"/>
        <v>13751.26999999999</v>
      </c>
      <c r="L11" s="200">
        <f t="shared" si="0"/>
        <v>437446.16999999993</v>
      </c>
      <c r="M11" s="1073"/>
    </row>
    <row r="12" spans="1:13" ht="28.5">
      <c r="A12" s="324" t="s">
        <v>2205</v>
      </c>
      <c r="B12" s="457">
        <v>6983</v>
      </c>
      <c r="C12" s="457">
        <v>2509501</v>
      </c>
      <c r="D12" s="180">
        <f t="shared" si="1"/>
        <v>8961</v>
      </c>
      <c r="E12" s="180">
        <f t="shared" si="2"/>
        <v>3146947.17</v>
      </c>
      <c r="F12" s="457"/>
      <c r="G12" s="180">
        <f>E9*0.4+C12*0.4+C11*0.4</f>
        <v>1262373.8</v>
      </c>
      <c r="H12" s="776">
        <f t="shared" ref="H12:H20" si="5">C11*0.6</f>
        <v>165121.5</v>
      </c>
      <c r="I12" s="1072"/>
      <c r="J12" s="1072">
        <f t="shared" si="4"/>
        <v>200000</v>
      </c>
      <c r="K12" s="226">
        <f t="shared" si="3"/>
        <v>178872.77</v>
      </c>
      <c r="L12" s="200">
        <f t="shared" si="0"/>
        <v>2946947.17</v>
      </c>
      <c r="M12" s="1073"/>
    </row>
    <row r="13" spans="1:13" ht="28.5">
      <c r="A13" s="439" t="s">
        <v>2207</v>
      </c>
      <c r="B13" s="457">
        <v>13383</v>
      </c>
      <c r="C13" s="457">
        <v>4947008</v>
      </c>
      <c r="D13" s="180">
        <f t="shared" si="1"/>
        <v>22344</v>
      </c>
      <c r="E13" s="180">
        <f t="shared" si="2"/>
        <v>8093955.1699999999</v>
      </c>
      <c r="F13" s="457"/>
      <c r="G13" s="180">
        <f>E9*0.4+C13*0.4+C12*0.4+C11*0.4</f>
        <v>3241177</v>
      </c>
      <c r="H13" s="776">
        <f t="shared" si="5"/>
        <v>1505700.5999999999</v>
      </c>
      <c r="I13" s="1072">
        <v>3500000</v>
      </c>
      <c r="J13" s="1072">
        <f t="shared" si="4"/>
        <v>3700000</v>
      </c>
      <c r="K13" s="226">
        <f t="shared" si="3"/>
        <v>-1815426.6300000001</v>
      </c>
      <c r="L13" s="200">
        <f t="shared" si="0"/>
        <v>4393955.17</v>
      </c>
      <c r="M13" s="1073" t="s">
        <v>2327</v>
      </c>
    </row>
    <row r="14" spans="1:13" ht="28.5">
      <c r="A14" s="439" t="s">
        <v>2328</v>
      </c>
      <c r="B14" s="316">
        <v>10437</v>
      </c>
      <c r="C14" s="316">
        <v>3886243</v>
      </c>
      <c r="D14" s="180">
        <f t="shared" si="1"/>
        <v>32781</v>
      </c>
      <c r="E14" s="180">
        <f t="shared" si="2"/>
        <v>11980198.17</v>
      </c>
      <c r="F14" s="457"/>
      <c r="G14" s="180">
        <f>E9*0.4+C14*0.4+C13*0.4+C12*0.4+C11*0.4</f>
        <v>4795674.2</v>
      </c>
      <c r="H14" s="776">
        <f t="shared" si="5"/>
        <v>2968204.8</v>
      </c>
      <c r="I14" s="1072"/>
      <c r="J14" s="1072">
        <f t="shared" si="4"/>
        <v>3700000</v>
      </c>
      <c r="K14" s="226">
        <f t="shared" si="3"/>
        <v>1152778.1699999997</v>
      </c>
      <c r="L14" s="200">
        <f t="shared" si="0"/>
        <v>8280198.1699999999</v>
      </c>
      <c r="M14" s="1073"/>
    </row>
    <row r="15" spans="1:13" ht="28.5">
      <c r="A15" s="405" t="s">
        <v>2329</v>
      </c>
      <c r="B15" s="181">
        <v>3546.5</v>
      </c>
      <c r="C15" s="181">
        <v>1357045</v>
      </c>
      <c r="D15" s="180">
        <f t="shared" si="1"/>
        <v>36327.5</v>
      </c>
      <c r="E15" s="180">
        <f t="shared" si="2"/>
        <v>13337243.17</v>
      </c>
      <c r="F15" s="457"/>
      <c r="G15" s="180">
        <f>E9*0.4+C14*0.4+C13*0.4+C12*0.4+C11*0.4+C15*0.4</f>
        <v>5338492.2</v>
      </c>
      <c r="H15" s="776">
        <f t="shared" si="5"/>
        <v>2331745.7999999998</v>
      </c>
      <c r="I15" s="1067">
        <v>2000000</v>
      </c>
      <c r="J15" s="1072">
        <f t="shared" si="4"/>
        <v>5700000</v>
      </c>
      <c r="K15" s="226">
        <f t="shared" si="3"/>
        <v>1484523.9699999997</v>
      </c>
      <c r="L15" s="200">
        <f t="shared" si="0"/>
        <v>7637243.1699999999</v>
      </c>
      <c r="M15" s="1073"/>
    </row>
    <row r="16" spans="1:13" ht="28.5">
      <c r="A16" s="405" t="s">
        <v>2330</v>
      </c>
      <c r="B16" s="181">
        <v>7113</v>
      </c>
      <c r="C16" s="181">
        <v>2537935</v>
      </c>
      <c r="D16" s="180">
        <f t="shared" si="1"/>
        <v>43440.5</v>
      </c>
      <c r="E16" s="180">
        <f t="shared" si="2"/>
        <v>15875178.17</v>
      </c>
      <c r="F16" s="181"/>
      <c r="G16" s="180">
        <f>E9*0.4+C15*0.4+C14*0.4+C13*0.4+C12*0.4+C16*0.4+C11*0.4</f>
        <v>6353666.2000000011</v>
      </c>
      <c r="H16" s="776">
        <f t="shared" si="5"/>
        <v>814227</v>
      </c>
      <c r="I16" s="1067"/>
      <c r="J16" s="1072">
        <f t="shared" si="4"/>
        <v>5700000</v>
      </c>
      <c r="K16" s="226">
        <f t="shared" si="3"/>
        <v>2298750.9699999997</v>
      </c>
      <c r="L16" s="200">
        <f t="shared" si="0"/>
        <v>10175178.17</v>
      </c>
      <c r="M16" s="1067" t="s">
        <v>2331</v>
      </c>
    </row>
    <row r="17" spans="1:13" ht="28.5">
      <c r="A17" s="405" t="s">
        <v>2332</v>
      </c>
      <c r="B17" s="181">
        <v>5608.5</v>
      </c>
      <c r="C17" s="181">
        <v>2006638.5</v>
      </c>
      <c r="D17" s="180">
        <f t="shared" si="1"/>
        <v>49049</v>
      </c>
      <c r="E17" s="180">
        <f t="shared" si="2"/>
        <v>17881816.670000002</v>
      </c>
      <c r="F17" s="181"/>
      <c r="G17" s="180">
        <f>E9*0.4+C16*0.4+C15*0.4+C14*0.4+C13*0.4+C17*0.4+C12*0.4+C11*0.4</f>
        <v>7156321.6000000015</v>
      </c>
      <c r="H17" s="776">
        <f t="shared" si="5"/>
        <v>1522761</v>
      </c>
      <c r="I17" s="1067">
        <v>1000000</v>
      </c>
      <c r="J17" s="1072">
        <f t="shared" si="4"/>
        <v>6700000</v>
      </c>
      <c r="K17" s="226">
        <f t="shared" si="3"/>
        <v>2821511.9699999997</v>
      </c>
      <c r="L17" s="200">
        <f t="shared" si="0"/>
        <v>11181816.670000002</v>
      </c>
      <c r="M17" s="1067" t="s">
        <v>2333</v>
      </c>
    </row>
    <row r="18" spans="1:13" ht="28.5">
      <c r="A18" s="405" t="s">
        <v>2334</v>
      </c>
      <c r="B18" s="181">
        <v>4304</v>
      </c>
      <c r="C18" s="181">
        <v>1386149</v>
      </c>
      <c r="D18" s="180">
        <f t="shared" si="1"/>
        <v>53353</v>
      </c>
      <c r="E18" s="180">
        <f t="shared" si="2"/>
        <v>19267965.670000002</v>
      </c>
      <c r="F18" s="181"/>
      <c r="G18" s="180">
        <f>E9*0.4+C17*0.4+C16*0.4+C15*0.4+C14*0.4+C18*0.4+C13*0.4+C12*0.4+C11*0.4</f>
        <v>7710781.2000000002</v>
      </c>
      <c r="H18" s="776">
        <f t="shared" si="5"/>
        <v>1203983.0999999999</v>
      </c>
      <c r="I18" s="1067">
        <v>1000000</v>
      </c>
      <c r="J18" s="1072">
        <f t="shared" si="4"/>
        <v>7700000</v>
      </c>
      <c r="K18" s="226">
        <f t="shared" si="3"/>
        <v>3025495.0699999994</v>
      </c>
      <c r="L18" s="200">
        <f t="shared" si="0"/>
        <v>11567965.670000002</v>
      </c>
      <c r="M18" s="1067" t="s">
        <v>2335</v>
      </c>
    </row>
    <row r="19" spans="1:13" ht="28.5">
      <c r="A19" s="405" t="s">
        <v>2336</v>
      </c>
      <c r="B19" s="181">
        <v>6485</v>
      </c>
      <c r="C19" s="181">
        <v>2067485</v>
      </c>
      <c r="D19" s="180">
        <f t="shared" si="1"/>
        <v>59838</v>
      </c>
      <c r="E19" s="180">
        <f t="shared" si="2"/>
        <v>21335450.670000002</v>
      </c>
      <c r="F19" s="181"/>
      <c r="G19" s="180">
        <f>E9*0.4+C18*0.4+C17*0.4+C16*0.4+C15*0.4+C19*0.4+C14*0.4+C13*0.4+C12*0.4+C11*0.4</f>
        <v>8537775.1999999993</v>
      </c>
      <c r="H19" s="776">
        <f t="shared" si="5"/>
        <v>831689.4</v>
      </c>
      <c r="I19" s="1067"/>
      <c r="J19" s="1072">
        <f t="shared" si="4"/>
        <v>7700000</v>
      </c>
      <c r="K19" s="226">
        <f t="shared" si="3"/>
        <v>3857184.4699999993</v>
      </c>
      <c r="L19" s="200">
        <f t="shared" si="0"/>
        <v>13635450.670000002</v>
      </c>
      <c r="M19" s="1067"/>
    </row>
    <row r="20" spans="1:13" ht="28.5">
      <c r="A20" s="405" t="s">
        <v>786</v>
      </c>
      <c r="B20" s="181"/>
      <c r="C20" s="262">
        <v>-302871.11</v>
      </c>
      <c r="D20" s="180">
        <f t="shared" si="1"/>
        <v>59838</v>
      </c>
      <c r="E20" s="180">
        <f t="shared" si="2"/>
        <v>21032579.560000002</v>
      </c>
      <c r="F20" s="181"/>
      <c r="G20" s="180">
        <f>E9*0.4+C19*0.4+C18*0.4+C17*0.4+C16*0.4+C15*0.4+C14*0.4+C13*0.4+C12*0.4+C11*0.4</f>
        <v>8537775.1999999993</v>
      </c>
      <c r="H20" s="776">
        <f t="shared" si="5"/>
        <v>1240491</v>
      </c>
      <c r="I20" s="1067">
        <v>1200000</v>
      </c>
      <c r="J20" s="1072">
        <f t="shared" si="4"/>
        <v>8900000</v>
      </c>
      <c r="K20" s="226">
        <f t="shared" si="3"/>
        <v>3897675.4699999988</v>
      </c>
      <c r="L20" s="200">
        <f t="shared" si="0"/>
        <v>12132579.560000002</v>
      </c>
      <c r="M20" s="1067" t="s">
        <v>2337</v>
      </c>
    </row>
    <row r="21" spans="1:13" ht="28.5">
      <c r="A21" s="405" t="s">
        <v>2338</v>
      </c>
      <c r="B21" s="181"/>
      <c r="C21" s="262">
        <v>-1394654</v>
      </c>
      <c r="D21" s="180">
        <f t="shared" si="1"/>
        <v>59838</v>
      </c>
      <c r="E21" s="180">
        <f t="shared" si="2"/>
        <v>19637925.560000002</v>
      </c>
      <c r="F21" s="181"/>
      <c r="G21" s="180">
        <f>E9*0.4+C19*0.4+C18*0.4+C17*0.4+C16*0.4+C15*0.4+C14*0.4+C13*0.4+C12*0.4+C11*0.4</f>
        <v>8537775.1999999993</v>
      </c>
      <c r="H21" s="776"/>
      <c r="I21" s="1067"/>
      <c r="J21" s="1072">
        <f t="shared" si="4"/>
        <v>8900000</v>
      </c>
      <c r="K21" s="226">
        <f t="shared" si="3"/>
        <v>3897675.4699999988</v>
      </c>
      <c r="L21" s="200">
        <f t="shared" si="0"/>
        <v>10737925.560000002</v>
      </c>
      <c r="M21" s="1067"/>
    </row>
    <row r="22" spans="1:13" ht="28.5">
      <c r="A22" s="405" t="s">
        <v>2339</v>
      </c>
      <c r="B22" s="181">
        <v>6407.5</v>
      </c>
      <c r="C22" s="181">
        <v>1981677</v>
      </c>
      <c r="D22" s="180">
        <f t="shared" si="1"/>
        <v>66245.5</v>
      </c>
      <c r="E22" s="180">
        <f t="shared" si="2"/>
        <v>21619602.560000002</v>
      </c>
      <c r="F22" s="181"/>
      <c r="G22" s="180">
        <f>E9*0.4+C19*0.4+C18*0.4+C17*0.4+C16*0.4+C15*0.4+C14*0.4+C13*0.4+C12*0.4+C11*0.4+C22*0.4</f>
        <v>9330446</v>
      </c>
      <c r="H22" s="776"/>
      <c r="I22" s="1067">
        <v>1000000</v>
      </c>
      <c r="J22" s="1072">
        <f t="shared" si="4"/>
        <v>9900000</v>
      </c>
      <c r="K22" s="226">
        <f t="shared" si="3"/>
        <v>2897675.4699999988</v>
      </c>
      <c r="L22" s="200">
        <f t="shared" si="0"/>
        <v>11719602.560000002</v>
      </c>
      <c r="M22" s="1067" t="s">
        <v>2340</v>
      </c>
    </row>
    <row r="23" spans="1:13" ht="28.5">
      <c r="A23" s="405" t="s">
        <v>2341</v>
      </c>
      <c r="B23" s="181">
        <v>5376.5</v>
      </c>
      <c r="C23" s="181">
        <v>1627437</v>
      </c>
      <c r="D23" s="180">
        <f t="shared" si="1"/>
        <v>71622</v>
      </c>
      <c r="E23" s="180">
        <f t="shared" si="2"/>
        <v>23247039.560000002</v>
      </c>
      <c r="F23" s="181"/>
      <c r="G23" s="180">
        <f>E9*0.4+C22*0.4+C19*0.4+C18*0.4+C17*0.4+C16*0.4+C15*0.4+C14*0.4+C13*0.4+C12*0.4+C23*0.4+C11*0.4</f>
        <v>9981420.8000000007</v>
      </c>
      <c r="H23" s="776">
        <f>C20+C21+C22*0.6</f>
        <v>-508518.90999999992</v>
      </c>
      <c r="I23" s="1067">
        <v>1000000</v>
      </c>
      <c r="J23" s="1072">
        <f t="shared" si="4"/>
        <v>10900000</v>
      </c>
      <c r="K23" s="226">
        <f t="shared" si="3"/>
        <v>1389156.5599999987</v>
      </c>
      <c r="L23" s="200">
        <f t="shared" si="0"/>
        <v>12347039.560000002</v>
      </c>
      <c r="M23" s="1067" t="s">
        <v>2342</v>
      </c>
    </row>
    <row r="24" spans="1:13" ht="42.75">
      <c r="A24" s="405" t="s">
        <v>2343</v>
      </c>
      <c r="B24" s="181">
        <v>4066</v>
      </c>
      <c r="C24" s="181">
        <f>1241322.5-2210.69</f>
        <v>1239111.81</v>
      </c>
      <c r="D24" s="180">
        <f t="shared" si="1"/>
        <v>75688</v>
      </c>
      <c r="E24" s="180">
        <f t="shared" si="2"/>
        <v>24486151.370000001</v>
      </c>
      <c r="F24" s="181"/>
      <c r="G24" s="180">
        <f>(E23-C10-C20-C21)*0.35*2/3+(E23-C10-C20-C21)*0.05</f>
        <v>7070173.0666666664</v>
      </c>
      <c r="H24" s="776">
        <f>C23*0.6</f>
        <v>976462.2</v>
      </c>
      <c r="I24" s="1067">
        <v>1500000</v>
      </c>
      <c r="J24" s="1072">
        <f t="shared" si="4"/>
        <v>12400000</v>
      </c>
      <c r="K24" s="226">
        <f t="shared" si="3"/>
        <v>865618.75999999885</v>
      </c>
      <c r="L24" s="200">
        <f t="shared" si="0"/>
        <v>12086151.370000001</v>
      </c>
      <c r="M24" s="664" t="s">
        <v>2344</v>
      </c>
    </row>
    <row r="25" spans="1:13" ht="42.75">
      <c r="A25" s="405" t="s">
        <v>2345</v>
      </c>
      <c r="B25" s="181">
        <v>1023.5</v>
      </c>
      <c r="C25" s="181">
        <v>310524.5</v>
      </c>
      <c r="D25" s="180">
        <f t="shared" si="1"/>
        <v>76711.5</v>
      </c>
      <c r="E25" s="180">
        <f t="shared" si="2"/>
        <v>24796675.870000001</v>
      </c>
      <c r="F25" s="181"/>
      <c r="G25" s="180">
        <f>(E23-C10-C20-C21)*0.35*1/3+(E23-C10-C20-C21)*0.05</f>
        <v>4158925.333333333</v>
      </c>
      <c r="H25" s="776">
        <f>C24+(E23-C10-C20-C21)*0.35/3</f>
        <v>4150359.543333333</v>
      </c>
      <c r="I25" s="1067"/>
      <c r="J25" s="1072">
        <f t="shared" si="4"/>
        <v>12400000</v>
      </c>
      <c r="K25" s="226">
        <f t="shared" si="3"/>
        <v>5015978.3033333318</v>
      </c>
      <c r="L25" s="200">
        <f t="shared" si="0"/>
        <v>12396675.870000001</v>
      </c>
      <c r="M25" s="664"/>
    </row>
    <row r="26" spans="1:13" ht="28.5">
      <c r="A26" s="405" t="s">
        <v>585</v>
      </c>
      <c r="B26" s="181">
        <v>122.5</v>
      </c>
      <c r="C26" s="181">
        <v>36382.5</v>
      </c>
      <c r="D26" s="180">
        <f t="shared" si="1"/>
        <v>76834</v>
      </c>
      <c r="E26" s="180">
        <f t="shared" si="2"/>
        <v>24833058.370000001</v>
      </c>
      <c r="F26" s="181"/>
      <c r="G26" s="180">
        <f>(E23-C10-C20-C21)*0.05</f>
        <v>1247677.6000000001</v>
      </c>
      <c r="H26" s="776">
        <f>C25+(E23-C10-C20-C21)*0.35/3</f>
        <v>3221772.2333333329</v>
      </c>
      <c r="I26" s="1067">
        <v>3000000</v>
      </c>
      <c r="J26" s="1072">
        <f t="shared" si="4"/>
        <v>15400000</v>
      </c>
      <c r="K26" s="226">
        <f t="shared" si="3"/>
        <v>5237750.5366666652</v>
      </c>
      <c r="L26" s="200">
        <f t="shared" si="0"/>
        <v>9433058.370000001</v>
      </c>
      <c r="M26" s="664" t="s">
        <v>2346</v>
      </c>
    </row>
    <row r="27" spans="1:13" ht="28.5">
      <c r="A27" s="405" t="s">
        <v>587</v>
      </c>
      <c r="B27" s="181">
        <v>0</v>
      </c>
      <c r="C27" s="181">
        <v>0</v>
      </c>
      <c r="D27" s="180">
        <f t="shared" si="1"/>
        <v>76834</v>
      </c>
      <c r="E27" s="180">
        <f t="shared" si="2"/>
        <v>24833058.370000001</v>
      </c>
      <c r="F27" s="181"/>
      <c r="G27" s="180">
        <v>1247677.6000000001</v>
      </c>
      <c r="H27" s="776">
        <f>C26+(E23-C10-C20-C21)*0.35/3</f>
        <v>2947630.2333333329</v>
      </c>
      <c r="I27" s="1067"/>
      <c r="J27" s="1072">
        <f t="shared" si="4"/>
        <v>15400000</v>
      </c>
      <c r="K27" s="226">
        <f t="shared" si="3"/>
        <v>8185380.7699999977</v>
      </c>
      <c r="L27" s="200">
        <f t="shared" si="0"/>
        <v>9433058.370000001</v>
      </c>
      <c r="M27" s="664"/>
    </row>
    <row r="28" spans="1:13" ht="28.5">
      <c r="A28" s="405" t="s">
        <v>588</v>
      </c>
      <c r="B28" s="181">
        <v>0</v>
      </c>
      <c r="C28" s="181">
        <v>0</v>
      </c>
      <c r="D28" s="180">
        <f t="shared" si="1"/>
        <v>76834</v>
      </c>
      <c r="E28" s="180">
        <f t="shared" si="2"/>
        <v>24833058.370000001</v>
      </c>
      <c r="F28" s="181"/>
      <c r="G28" s="180">
        <v>1247677.6000000001</v>
      </c>
      <c r="H28" s="776">
        <f t="shared" ref="H28:H37" si="6">C27</f>
        <v>0</v>
      </c>
      <c r="I28" s="1067">
        <v>2500000</v>
      </c>
      <c r="J28" s="1072">
        <f t="shared" si="4"/>
        <v>17900000</v>
      </c>
      <c r="K28" s="226">
        <f t="shared" si="3"/>
        <v>5685380.7699999977</v>
      </c>
      <c r="L28" s="200">
        <f t="shared" si="0"/>
        <v>6933058.370000001</v>
      </c>
      <c r="M28" s="1067" t="s">
        <v>2347</v>
      </c>
    </row>
    <row r="29" spans="1:13" ht="28.5">
      <c r="A29" s="405" t="s">
        <v>590</v>
      </c>
      <c r="B29" s="181">
        <v>206.5</v>
      </c>
      <c r="C29" s="181">
        <v>44297.58</v>
      </c>
      <c r="D29" s="180">
        <f t="shared" si="1"/>
        <v>77040.5</v>
      </c>
      <c r="E29" s="180">
        <f t="shared" si="2"/>
        <v>24877355.949999999</v>
      </c>
      <c r="F29" s="181"/>
      <c r="G29" s="180">
        <v>1247677.6000000001</v>
      </c>
      <c r="H29" s="776">
        <f t="shared" si="6"/>
        <v>0</v>
      </c>
      <c r="I29" s="1067"/>
      <c r="J29" s="1072">
        <f t="shared" si="4"/>
        <v>17900000</v>
      </c>
      <c r="K29" s="226">
        <f t="shared" si="3"/>
        <v>5685380.7699999977</v>
      </c>
      <c r="L29" s="200">
        <f t="shared" si="0"/>
        <v>6977355.9499999993</v>
      </c>
      <c r="M29" s="1067"/>
    </row>
    <row r="30" spans="1:13" ht="27.95" customHeight="1">
      <c r="A30" s="405" t="s">
        <v>592</v>
      </c>
      <c r="B30" s="181">
        <v>117</v>
      </c>
      <c r="C30" s="181">
        <v>35281.18</v>
      </c>
      <c r="D30" s="180">
        <f t="shared" si="1"/>
        <v>77157.5</v>
      </c>
      <c r="E30" s="180">
        <f t="shared" si="2"/>
        <v>24912637.129999999</v>
      </c>
      <c r="F30" s="181"/>
      <c r="G30" s="180">
        <v>1247677.6000000001</v>
      </c>
      <c r="H30" s="776">
        <f t="shared" si="6"/>
        <v>44297.58</v>
      </c>
      <c r="I30" s="1067">
        <v>500000</v>
      </c>
      <c r="J30" s="1072">
        <f t="shared" si="4"/>
        <v>18400000</v>
      </c>
      <c r="K30" s="226">
        <f t="shared" si="3"/>
        <v>5229678.3499999978</v>
      </c>
      <c r="L30" s="200">
        <f t="shared" si="0"/>
        <v>6512637.129999999</v>
      </c>
      <c r="M30" s="1067" t="s">
        <v>2348</v>
      </c>
    </row>
    <row r="31" spans="1:13" ht="27.95" customHeight="1">
      <c r="A31" s="405">
        <v>42552</v>
      </c>
      <c r="B31" s="181">
        <v>0</v>
      </c>
      <c r="C31" s="181">
        <v>0</v>
      </c>
      <c r="D31" s="180">
        <f t="shared" si="1"/>
        <v>77157.5</v>
      </c>
      <c r="E31" s="180">
        <f t="shared" si="2"/>
        <v>24912637.129999999</v>
      </c>
      <c r="F31" s="181"/>
      <c r="G31" s="180">
        <v>1247677.6000000001</v>
      </c>
      <c r="H31" s="776">
        <f t="shared" si="6"/>
        <v>35281.18</v>
      </c>
      <c r="I31" s="1067">
        <v>1000000</v>
      </c>
      <c r="J31" s="1072">
        <f t="shared" si="4"/>
        <v>19400000</v>
      </c>
      <c r="K31" s="226">
        <f t="shared" si="3"/>
        <v>4264959.5299999975</v>
      </c>
      <c r="L31" s="200">
        <f t="shared" si="0"/>
        <v>5512637.129999999</v>
      </c>
      <c r="M31" s="1067" t="s">
        <v>2349</v>
      </c>
    </row>
    <row r="32" spans="1:13" ht="27.95" customHeight="1">
      <c r="A32" s="405">
        <v>42614</v>
      </c>
      <c r="B32" s="181">
        <v>0</v>
      </c>
      <c r="C32" s="181">
        <v>0</v>
      </c>
      <c r="D32" s="180">
        <f t="shared" si="1"/>
        <v>77157.5</v>
      </c>
      <c r="E32" s="180">
        <f t="shared" si="2"/>
        <v>24912637.129999999</v>
      </c>
      <c r="F32" s="181"/>
      <c r="G32" s="180">
        <v>1247678.6000000001</v>
      </c>
      <c r="H32" s="776">
        <f t="shared" si="6"/>
        <v>0</v>
      </c>
      <c r="I32" s="1067">
        <v>500000</v>
      </c>
      <c r="J32" s="1072">
        <f t="shared" si="4"/>
        <v>19900000</v>
      </c>
      <c r="K32" s="226">
        <f t="shared" si="3"/>
        <v>3764959.5299999975</v>
      </c>
      <c r="L32" s="200">
        <f t="shared" si="0"/>
        <v>5012637.129999999</v>
      </c>
      <c r="M32" s="1067" t="s">
        <v>2350</v>
      </c>
    </row>
    <row r="33" spans="1:13" ht="27.95" customHeight="1">
      <c r="A33" s="405">
        <v>42675</v>
      </c>
      <c r="B33" s="181">
        <v>34</v>
      </c>
      <c r="C33" s="181">
        <v>10228</v>
      </c>
      <c r="D33" s="180">
        <f t="shared" si="1"/>
        <v>77191.5</v>
      </c>
      <c r="E33" s="180">
        <f t="shared" si="2"/>
        <v>24922865.129999999</v>
      </c>
      <c r="F33" s="181"/>
      <c r="G33" s="180">
        <v>1247679.6000000001</v>
      </c>
      <c r="H33" s="776">
        <f t="shared" si="6"/>
        <v>0</v>
      </c>
      <c r="I33" s="1067">
        <v>1000000</v>
      </c>
      <c r="J33" s="1072">
        <f t="shared" si="4"/>
        <v>20900000</v>
      </c>
      <c r="K33" s="226">
        <f t="shared" si="3"/>
        <v>2764959.5299999975</v>
      </c>
      <c r="L33" s="200">
        <f t="shared" si="0"/>
        <v>4022865.129999999</v>
      </c>
      <c r="M33" s="1067" t="s">
        <v>2351</v>
      </c>
    </row>
    <row r="34" spans="1:13" ht="27.95" customHeight="1">
      <c r="A34" s="405">
        <v>42705</v>
      </c>
      <c r="B34" s="181">
        <v>130.5</v>
      </c>
      <c r="C34" s="181">
        <v>39241</v>
      </c>
      <c r="D34" s="180">
        <f t="shared" si="1"/>
        <v>77322</v>
      </c>
      <c r="E34" s="180">
        <f t="shared" si="2"/>
        <v>24962106.129999999</v>
      </c>
      <c r="F34" s="181"/>
      <c r="G34" s="180">
        <v>1247680.6000000001</v>
      </c>
      <c r="H34" s="776">
        <f t="shared" si="6"/>
        <v>10228</v>
      </c>
      <c r="I34" s="1067">
        <v>1000000</v>
      </c>
      <c r="J34" s="1072">
        <f t="shared" si="4"/>
        <v>21900000</v>
      </c>
      <c r="K34" s="226">
        <f t="shared" si="3"/>
        <v>1775187.5299999975</v>
      </c>
      <c r="L34" s="200">
        <f t="shared" si="0"/>
        <v>3062106.129999999</v>
      </c>
      <c r="M34" s="1067" t="s">
        <v>2352</v>
      </c>
    </row>
    <row r="35" spans="1:13" ht="27.95" customHeight="1">
      <c r="A35" s="405" t="s">
        <v>2353</v>
      </c>
      <c r="B35" s="181">
        <v>127</v>
      </c>
      <c r="C35" s="181">
        <v>38767.51</v>
      </c>
      <c r="D35" s="180">
        <f t="shared" si="1"/>
        <v>77449</v>
      </c>
      <c r="E35" s="180">
        <f t="shared" si="2"/>
        <v>25000873.640000001</v>
      </c>
      <c r="F35" s="181"/>
      <c r="G35" s="180">
        <v>1247681.6000000001</v>
      </c>
      <c r="H35" s="776">
        <f t="shared" si="6"/>
        <v>39241</v>
      </c>
      <c r="I35" s="1067">
        <v>1000000</v>
      </c>
      <c r="J35" s="1072">
        <f t="shared" si="4"/>
        <v>22900000</v>
      </c>
      <c r="K35" s="226">
        <f t="shared" si="3"/>
        <v>814428.52999999747</v>
      </c>
      <c r="L35" s="200">
        <f t="shared" si="0"/>
        <v>2100873.6400000006</v>
      </c>
      <c r="M35" s="1067" t="s">
        <v>2354</v>
      </c>
    </row>
    <row r="36" spans="1:13" ht="27.95" customHeight="1">
      <c r="A36" s="405" t="s">
        <v>2355</v>
      </c>
      <c r="B36" s="181">
        <v>347</v>
      </c>
      <c r="C36" s="181">
        <v>103274</v>
      </c>
      <c r="D36" s="180">
        <f t="shared" si="1"/>
        <v>77796</v>
      </c>
      <c r="E36" s="180">
        <f t="shared" si="2"/>
        <v>25104147.640000001</v>
      </c>
      <c r="F36" s="181"/>
      <c r="G36" s="180">
        <v>1247682.6000000001</v>
      </c>
      <c r="H36" s="776">
        <f t="shared" si="6"/>
        <v>38767.51</v>
      </c>
      <c r="I36" s="1067">
        <v>850829.95</v>
      </c>
      <c r="J36" s="1072">
        <f t="shared" si="4"/>
        <v>23750829.949999999</v>
      </c>
      <c r="K36" s="226">
        <f t="shared" si="3"/>
        <v>2366.0899999975227</v>
      </c>
      <c r="L36" s="200">
        <f t="shared" si="0"/>
        <v>1353317.6900000013</v>
      </c>
      <c r="M36" s="1067" t="s">
        <v>2356</v>
      </c>
    </row>
    <row r="37" spans="1:13" ht="27.95" customHeight="1">
      <c r="A37" s="405"/>
      <c r="B37" s="181"/>
      <c r="C37" s="181"/>
      <c r="D37" s="180"/>
      <c r="E37" s="180"/>
      <c r="F37" s="181"/>
      <c r="G37" s="180"/>
      <c r="H37" s="776">
        <f t="shared" si="6"/>
        <v>103274</v>
      </c>
      <c r="I37" s="1067"/>
      <c r="J37" s="1072"/>
      <c r="K37" s="226">
        <f t="shared" si="3"/>
        <v>105640.08999999752</v>
      </c>
      <c r="L37" s="200"/>
      <c r="M37" s="1068"/>
    </row>
    <row r="38" spans="1:13" ht="27.95" customHeight="1">
      <c r="A38" s="405">
        <v>42979</v>
      </c>
      <c r="B38" s="181">
        <v>347</v>
      </c>
      <c r="C38" s="181">
        <v>103274</v>
      </c>
      <c r="D38" s="180">
        <v>77796</v>
      </c>
      <c r="E38" s="180">
        <v>25104147.640000001</v>
      </c>
      <c r="F38" s="181"/>
      <c r="G38" s="180">
        <v>1247682.6000000001</v>
      </c>
      <c r="H38" s="776">
        <v>38767.51</v>
      </c>
      <c r="I38" s="1067">
        <v>850829.95</v>
      </c>
      <c r="J38" s="1072">
        <v>23750829.949999999</v>
      </c>
      <c r="K38" s="226">
        <v>2366.0899999975227</v>
      </c>
      <c r="L38" s="200">
        <v>1353317.6900000013</v>
      </c>
      <c r="M38" s="1068" t="s">
        <v>2356</v>
      </c>
    </row>
    <row r="39" spans="1:13" ht="27.95" customHeight="1">
      <c r="A39" s="405"/>
      <c r="B39" s="181"/>
      <c r="C39" s="181"/>
      <c r="D39" s="180"/>
      <c r="E39" s="180"/>
      <c r="F39" s="181"/>
      <c r="G39" s="180"/>
      <c r="H39" s="776"/>
      <c r="I39" s="1067"/>
      <c r="J39" s="1072"/>
      <c r="K39" s="226"/>
      <c r="L39" s="200"/>
      <c r="M39" s="1068"/>
    </row>
    <row r="40" spans="1:13" ht="27.95" customHeight="1">
      <c r="A40" s="405"/>
      <c r="B40" s="181"/>
      <c r="C40" s="181"/>
      <c r="D40" s="180"/>
      <c r="E40" s="180"/>
      <c r="F40" s="181"/>
      <c r="G40" s="180"/>
      <c r="H40" s="776"/>
      <c r="I40" s="1067"/>
      <c r="J40" s="1072"/>
      <c r="K40" s="226"/>
      <c r="L40" s="200"/>
      <c r="M40" s="1068"/>
    </row>
    <row r="41" spans="1:13" ht="27.95" customHeight="1">
      <c r="A41" s="405"/>
      <c r="B41" s="181"/>
      <c r="C41" s="181"/>
      <c r="D41" s="180"/>
      <c r="E41" s="180"/>
      <c r="F41" s="181"/>
      <c r="G41" s="180"/>
      <c r="H41" s="776"/>
      <c r="I41" s="1067"/>
      <c r="J41" s="1067"/>
      <c r="K41" s="226"/>
      <c r="L41" s="200"/>
      <c r="M41" s="1068"/>
    </row>
  </sheetData>
  <mergeCells count="8">
    <mergeCell ref="B4:E4"/>
    <mergeCell ref="H4:L4"/>
    <mergeCell ref="C1:D1"/>
    <mergeCell ref="G1:H1"/>
    <mergeCell ref="J1:L1"/>
    <mergeCell ref="B2:C2"/>
    <mergeCell ref="E2:H2"/>
    <mergeCell ref="B3:C3"/>
  </mergeCells>
  <phoneticPr fontId="84" type="noConversion"/>
  <pageMargins left="0.75" right="0.75" top="1" bottom="1" header="0.51" footer="0.51"/>
  <pageSetup paperSize="9" orientation="portrait" verticalDpi="200"/>
  <headerFooter scaleWithDoc="0" alignWithMargins="0"/>
  <legacyDrawing r:id="rId1"/>
</worksheet>
</file>

<file path=xl/worksheets/sheet9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29"/>
  <sheetViews>
    <sheetView topLeftCell="A22" zoomScaleSheetLayoutView="100" workbookViewId="0">
      <selection activeCell="F29" sqref="F29"/>
    </sheetView>
  </sheetViews>
  <sheetFormatPr defaultColWidth="9" defaultRowHeight="14.25"/>
  <cols>
    <col min="1" max="1" width="13.625" customWidth="1"/>
    <col min="2" max="2" width="15.25" customWidth="1"/>
    <col min="3" max="3" width="14.875" customWidth="1"/>
    <col min="4" max="4" width="14.5" customWidth="1"/>
    <col min="5" max="5" width="13.375" customWidth="1"/>
    <col min="6" max="6" width="13.75" customWidth="1"/>
    <col min="7" max="7" width="11.125" customWidth="1"/>
    <col min="8" max="8" width="12.375" customWidth="1"/>
    <col min="9" max="9" width="14.375" customWidth="1"/>
    <col min="10" max="10" width="17.125" customWidth="1"/>
    <col min="11" max="11" width="15.875" customWidth="1"/>
    <col min="12" max="12" width="16.5" customWidth="1"/>
    <col min="13" max="13" width="37.125" customWidth="1"/>
  </cols>
  <sheetData>
    <row r="1" spans="1:13" ht="114" customHeight="1">
      <c r="A1" s="1054" t="s">
        <v>556</v>
      </c>
      <c r="B1" s="1055"/>
      <c r="C1" s="1987" t="s">
        <v>2357</v>
      </c>
      <c r="D1" s="1988"/>
      <c r="E1" s="1057" t="s">
        <v>236</v>
      </c>
      <c r="F1" s="1058"/>
      <c r="G1" s="1058"/>
      <c r="H1" s="1058"/>
      <c r="I1" s="1055" t="s">
        <v>2095</v>
      </c>
      <c r="J1" s="1820" t="s">
        <v>2358</v>
      </c>
      <c r="K1" s="1821"/>
      <c r="L1" s="1827"/>
      <c r="M1" s="1060" t="s">
        <v>2359</v>
      </c>
    </row>
    <row r="2" spans="1:13" ht="42" customHeight="1">
      <c r="A2" s="39" t="s">
        <v>240</v>
      </c>
      <c r="B2" s="1637" t="s">
        <v>2360</v>
      </c>
      <c r="C2" s="1637"/>
      <c r="D2" s="41" t="s">
        <v>242</v>
      </c>
      <c r="E2" s="1637" t="s">
        <v>2361</v>
      </c>
      <c r="F2" s="1637"/>
      <c r="G2" s="1637"/>
      <c r="H2" s="1637"/>
      <c r="I2" s="41" t="s">
        <v>243</v>
      </c>
      <c r="J2" s="41" t="s">
        <v>421</v>
      </c>
      <c r="K2" s="1061" t="s">
        <v>2362</v>
      </c>
      <c r="L2" s="90" t="s">
        <v>2102</v>
      </c>
      <c r="M2" s="104" t="s">
        <v>2363</v>
      </c>
    </row>
    <row r="3" spans="1:13" ht="45" customHeight="1">
      <c r="A3" s="39" t="s">
        <v>247</v>
      </c>
      <c r="B3" s="1637" t="s">
        <v>2364</v>
      </c>
      <c r="C3" s="1637"/>
      <c r="D3" s="41" t="s">
        <v>249</v>
      </c>
      <c r="E3" s="1059" t="s">
        <v>323</v>
      </c>
      <c r="F3" s="41" t="s">
        <v>251</v>
      </c>
      <c r="G3" s="41"/>
      <c r="H3" s="41" t="s">
        <v>252</v>
      </c>
      <c r="I3" s="41"/>
      <c r="J3" s="41" t="s">
        <v>565</v>
      </c>
      <c r="K3" s="40" t="s">
        <v>2365</v>
      </c>
      <c r="L3" s="90" t="s">
        <v>2106</v>
      </c>
      <c r="M3" s="40" t="s">
        <v>2366</v>
      </c>
    </row>
    <row r="4" spans="1:13" ht="62.1" customHeight="1">
      <c r="A4" s="39" t="s">
        <v>260</v>
      </c>
      <c r="B4" s="1820" t="s">
        <v>2367</v>
      </c>
      <c r="C4" s="1821"/>
      <c r="D4" s="1827"/>
      <c r="E4" s="1664" t="s">
        <v>2368</v>
      </c>
      <c r="F4" s="1664"/>
      <c r="G4" s="1747" t="s">
        <v>2369</v>
      </c>
      <c r="H4" s="1747"/>
      <c r="I4" s="1828" t="s">
        <v>2370</v>
      </c>
      <c r="J4" s="1836"/>
      <c r="K4" s="58"/>
      <c r="L4" s="1989"/>
      <c r="M4" s="1990"/>
    </row>
    <row r="5" spans="1:13" ht="42.75">
      <c r="A5" s="357" t="s">
        <v>266</v>
      </c>
      <c r="B5" s="20" t="s">
        <v>267</v>
      </c>
      <c r="C5" s="20" t="s">
        <v>268</v>
      </c>
      <c r="D5" s="20" t="s">
        <v>269</v>
      </c>
      <c r="E5" s="20" t="s">
        <v>270</v>
      </c>
      <c r="F5" s="20" t="s">
        <v>271</v>
      </c>
      <c r="G5" s="21" t="s">
        <v>272</v>
      </c>
      <c r="H5" s="22" t="s">
        <v>273</v>
      </c>
      <c r="I5" s="20" t="s">
        <v>274</v>
      </c>
      <c r="J5" s="70" t="s">
        <v>275</v>
      </c>
      <c r="K5" s="70" t="s">
        <v>276</v>
      </c>
      <c r="L5" s="20" t="s">
        <v>277</v>
      </c>
      <c r="M5" s="71" t="s">
        <v>278</v>
      </c>
    </row>
    <row r="6" spans="1:13" ht="30.95" customHeight="1">
      <c r="A6" s="324" t="s">
        <v>2371</v>
      </c>
      <c r="B6" s="181">
        <v>1275</v>
      </c>
      <c r="C6" s="181">
        <v>405491</v>
      </c>
      <c r="D6" s="181">
        <f>B6</f>
        <v>1275</v>
      </c>
      <c r="E6" s="181">
        <f>C6</f>
        <v>405491</v>
      </c>
      <c r="F6" s="181"/>
      <c r="G6" s="181"/>
      <c r="H6" s="360"/>
      <c r="I6" s="181"/>
      <c r="J6" s="181"/>
      <c r="K6" s="181"/>
      <c r="L6" s="181">
        <f t="shared" ref="L6:L25" si="0">E6-J6</f>
        <v>405491</v>
      </c>
      <c r="M6" s="266"/>
    </row>
    <row r="7" spans="1:13" ht="30.95" customHeight="1">
      <c r="A7" s="309">
        <v>41883</v>
      </c>
      <c r="B7" s="181">
        <v>73</v>
      </c>
      <c r="C7" s="181">
        <v>22265</v>
      </c>
      <c r="D7" s="181">
        <f t="shared" ref="D7:D25" si="1">D6+B7</f>
        <v>1348</v>
      </c>
      <c r="E7" s="181">
        <f t="shared" ref="E7:E25" si="2">E6+C7</f>
        <v>427756</v>
      </c>
      <c r="F7" s="181"/>
      <c r="G7" s="181"/>
      <c r="H7" s="360">
        <f>C6</f>
        <v>405491</v>
      </c>
      <c r="I7" s="181"/>
      <c r="J7" s="181"/>
      <c r="K7" s="181">
        <f>K6+H7-I7</f>
        <v>405491</v>
      </c>
      <c r="L7" s="181">
        <f t="shared" si="0"/>
        <v>427756</v>
      </c>
      <c r="M7" s="393"/>
    </row>
    <row r="8" spans="1:13" ht="30.95" customHeight="1">
      <c r="A8" s="309">
        <v>41913</v>
      </c>
      <c r="B8" s="181">
        <v>4598</v>
      </c>
      <c r="C8" s="181">
        <v>1462164</v>
      </c>
      <c r="D8" s="181">
        <f t="shared" si="1"/>
        <v>5946</v>
      </c>
      <c r="E8" s="181">
        <f t="shared" si="2"/>
        <v>1889920</v>
      </c>
      <c r="F8" s="181"/>
      <c r="G8" s="181"/>
      <c r="H8" s="360">
        <f>C7</f>
        <v>22265</v>
      </c>
      <c r="I8" s="181"/>
      <c r="J8" s="181"/>
      <c r="K8" s="181">
        <f t="shared" ref="K8:K25" si="3">K7+H8-I8</f>
        <v>427756</v>
      </c>
      <c r="L8" s="181">
        <f t="shared" si="0"/>
        <v>1889920</v>
      </c>
      <c r="M8" s="1062"/>
    </row>
    <row r="9" spans="1:13" ht="30.95" customHeight="1">
      <c r="A9" s="309">
        <v>41944</v>
      </c>
      <c r="B9" s="181">
        <v>6405</v>
      </c>
      <c r="C9" s="181">
        <v>2036621</v>
      </c>
      <c r="D9" s="181">
        <f t="shared" si="1"/>
        <v>12351</v>
      </c>
      <c r="E9" s="181">
        <f t="shared" si="2"/>
        <v>3926541</v>
      </c>
      <c r="F9" s="181"/>
      <c r="G9" s="181"/>
      <c r="H9" s="360">
        <f>C8</f>
        <v>1462164</v>
      </c>
      <c r="I9" s="181"/>
      <c r="J9" s="181"/>
      <c r="K9" s="181">
        <f t="shared" si="3"/>
        <v>1889920</v>
      </c>
      <c r="L9" s="181">
        <f t="shared" si="0"/>
        <v>3926541</v>
      </c>
      <c r="M9" s="393"/>
    </row>
    <row r="10" spans="1:13" ht="30.95" customHeight="1">
      <c r="A10" s="309">
        <v>41974</v>
      </c>
      <c r="B10" s="457">
        <v>1880</v>
      </c>
      <c r="C10" s="437">
        <v>678780</v>
      </c>
      <c r="D10" s="252">
        <f t="shared" si="1"/>
        <v>14231</v>
      </c>
      <c r="E10" s="181">
        <f t="shared" si="2"/>
        <v>4605321</v>
      </c>
      <c r="F10" s="457"/>
      <c r="G10" s="457"/>
      <c r="H10" s="360">
        <f>C9</f>
        <v>2036621</v>
      </c>
      <c r="I10" s="457"/>
      <c r="J10" s="437"/>
      <c r="K10" s="181">
        <f t="shared" si="3"/>
        <v>3926541</v>
      </c>
      <c r="L10" s="181">
        <f t="shared" si="0"/>
        <v>4605321</v>
      </c>
      <c r="M10" s="1063" t="s">
        <v>2372</v>
      </c>
    </row>
    <row r="11" spans="1:13" ht="30.95" customHeight="1">
      <c r="A11" s="359">
        <v>42005</v>
      </c>
      <c r="B11" s="457">
        <v>2162.5</v>
      </c>
      <c r="C11" s="437">
        <v>697167.5</v>
      </c>
      <c r="D11" s="252">
        <f t="shared" si="1"/>
        <v>16393.5</v>
      </c>
      <c r="E11" s="181">
        <f t="shared" si="2"/>
        <v>5302488.5</v>
      </c>
      <c r="F11" s="457"/>
      <c r="G11" s="457"/>
      <c r="H11" s="360">
        <f t="shared" ref="H11:H25" si="4">C10</f>
        <v>678780</v>
      </c>
      <c r="I11" s="457">
        <v>405720</v>
      </c>
      <c r="J11" s="437">
        <f t="shared" ref="J11:J25" si="5">J10+I11</f>
        <v>405720</v>
      </c>
      <c r="K11" s="181">
        <f t="shared" si="3"/>
        <v>4199601</v>
      </c>
      <c r="L11" s="181">
        <f t="shared" si="0"/>
        <v>4896768.5</v>
      </c>
      <c r="M11" s="1064"/>
    </row>
    <row r="12" spans="1:13" ht="30.95" customHeight="1">
      <c r="A12" s="359">
        <v>42037</v>
      </c>
      <c r="B12" s="457">
        <v>399</v>
      </c>
      <c r="C12" s="437">
        <v>126045</v>
      </c>
      <c r="D12" s="252">
        <f t="shared" si="1"/>
        <v>16792.5</v>
      </c>
      <c r="E12" s="181">
        <f t="shared" si="2"/>
        <v>5428533.5</v>
      </c>
      <c r="F12" s="457"/>
      <c r="G12" s="457"/>
      <c r="H12" s="360">
        <f t="shared" si="4"/>
        <v>697167.5</v>
      </c>
      <c r="I12" s="457">
        <v>1843420</v>
      </c>
      <c r="J12" s="437">
        <f t="shared" si="5"/>
        <v>2249140</v>
      </c>
      <c r="K12" s="181">
        <f t="shared" si="3"/>
        <v>3053348.5</v>
      </c>
      <c r="L12" s="181">
        <f t="shared" si="0"/>
        <v>3179393.5</v>
      </c>
      <c r="M12" s="1064" t="s">
        <v>2373</v>
      </c>
    </row>
    <row r="13" spans="1:13" ht="30.95" customHeight="1">
      <c r="A13" s="359">
        <v>42069</v>
      </c>
      <c r="B13" s="457">
        <v>389</v>
      </c>
      <c r="C13" s="437">
        <v>127152.5</v>
      </c>
      <c r="D13" s="252">
        <f t="shared" si="1"/>
        <v>17181.5</v>
      </c>
      <c r="E13" s="181">
        <f t="shared" si="2"/>
        <v>5555686</v>
      </c>
      <c r="F13" s="457"/>
      <c r="G13" s="457"/>
      <c r="H13" s="360">
        <f t="shared" si="4"/>
        <v>126045</v>
      </c>
      <c r="I13" s="457">
        <v>1203260</v>
      </c>
      <c r="J13" s="437">
        <f t="shared" si="5"/>
        <v>3452400</v>
      </c>
      <c r="K13" s="181">
        <f t="shared" si="3"/>
        <v>1976133.5</v>
      </c>
      <c r="L13" s="181">
        <f t="shared" si="0"/>
        <v>2103286</v>
      </c>
      <c r="M13" s="1064" t="s">
        <v>2374</v>
      </c>
    </row>
    <row r="14" spans="1:13" ht="30.95" customHeight="1">
      <c r="A14" s="359">
        <v>42100</v>
      </c>
      <c r="B14" s="181">
        <v>1017</v>
      </c>
      <c r="C14" s="181">
        <v>349045</v>
      </c>
      <c r="D14" s="252">
        <f t="shared" si="1"/>
        <v>18198.5</v>
      </c>
      <c r="E14" s="181">
        <f t="shared" si="2"/>
        <v>5904731</v>
      </c>
      <c r="F14" s="181"/>
      <c r="G14" s="181"/>
      <c r="H14" s="360">
        <f t="shared" si="4"/>
        <v>127152.5</v>
      </c>
      <c r="I14" s="181">
        <v>1152700</v>
      </c>
      <c r="J14" s="437">
        <f t="shared" si="5"/>
        <v>4605100</v>
      </c>
      <c r="K14" s="181">
        <f t="shared" si="3"/>
        <v>950586</v>
      </c>
      <c r="L14" s="181">
        <f t="shared" si="0"/>
        <v>1299631</v>
      </c>
      <c r="M14" s="360" t="s">
        <v>2375</v>
      </c>
    </row>
    <row r="15" spans="1:13" ht="30.95" customHeight="1">
      <c r="A15" s="359">
        <v>42130</v>
      </c>
      <c r="B15" s="181">
        <v>477.5</v>
      </c>
      <c r="C15" s="181">
        <v>163717.5</v>
      </c>
      <c r="D15" s="252">
        <f t="shared" si="1"/>
        <v>18676</v>
      </c>
      <c r="E15" s="181">
        <f t="shared" si="2"/>
        <v>6068448.5</v>
      </c>
      <c r="F15" s="181"/>
      <c r="G15" s="181"/>
      <c r="H15" s="360">
        <f t="shared" si="4"/>
        <v>349045</v>
      </c>
      <c r="I15" s="181"/>
      <c r="J15" s="437">
        <f t="shared" si="5"/>
        <v>4605100</v>
      </c>
      <c r="K15" s="181">
        <f t="shared" si="3"/>
        <v>1299631</v>
      </c>
      <c r="L15" s="181">
        <f t="shared" si="0"/>
        <v>1463348.5</v>
      </c>
      <c r="M15" s="412"/>
    </row>
    <row r="16" spans="1:13" ht="30.95" customHeight="1">
      <c r="A16" s="365">
        <v>42156</v>
      </c>
      <c r="B16" s="181">
        <v>526</v>
      </c>
      <c r="C16" s="181">
        <v>184805</v>
      </c>
      <c r="D16" s="252">
        <f t="shared" si="1"/>
        <v>19202</v>
      </c>
      <c r="E16" s="181">
        <f t="shared" si="2"/>
        <v>6253253.5</v>
      </c>
      <c r="F16" s="181"/>
      <c r="G16" s="181"/>
      <c r="H16" s="360">
        <f t="shared" si="4"/>
        <v>163717.5</v>
      </c>
      <c r="I16" s="181"/>
      <c r="J16" s="437">
        <f t="shared" si="5"/>
        <v>4605100</v>
      </c>
      <c r="K16" s="181">
        <f t="shared" si="3"/>
        <v>1463348.5</v>
      </c>
      <c r="L16" s="181">
        <f t="shared" si="0"/>
        <v>1648153.5</v>
      </c>
      <c r="M16" s="412"/>
    </row>
    <row r="17" spans="1:13" ht="30.95" customHeight="1">
      <c r="A17" s="365">
        <v>42186</v>
      </c>
      <c r="B17" s="181">
        <v>499.5</v>
      </c>
      <c r="C17" s="181">
        <v>169532.5</v>
      </c>
      <c r="D17" s="252">
        <f t="shared" si="1"/>
        <v>19701.5</v>
      </c>
      <c r="E17" s="181">
        <f t="shared" si="2"/>
        <v>6422786</v>
      </c>
      <c r="F17" s="181"/>
      <c r="G17" s="181"/>
      <c r="H17" s="360">
        <f t="shared" si="4"/>
        <v>184805</v>
      </c>
      <c r="I17" s="284">
        <v>697172.5</v>
      </c>
      <c r="J17" s="437">
        <f t="shared" si="5"/>
        <v>5302272.5</v>
      </c>
      <c r="K17" s="181">
        <f t="shared" si="3"/>
        <v>950981</v>
      </c>
      <c r="L17" s="181">
        <f t="shared" si="0"/>
        <v>1120513.5</v>
      </c>
      <c r="M17" s="412" t="s">
        <v>2376</v>
      </c>
    </row>
    <row r="18" spans="1:13" ht="30.95" customHeight="1">
      <c r="A18" s="365">
        <v>42217</v>
      </c>
      <c r="B18" s="181">
        <v>298</v>
      </c>
      <c r="C18" s="181">
        <v>100035</v>
      </c>
      <c r="D18" s="252">
        <f t="shared" si="1"/>
        <v>19999.5</v>
      </c>
      <c r="E18" s="181">
        <f t="shared" si="2"/>
        <v>6522821</v>
      </c>
      <c r="F18" s="181"/>
      <c r="G18" s="181"/>
      <c r="H18" s="360">
        <f t="shared" si="4"/>
        <v>169532.5</v>
      </c>
      <c r="I18" s="181"/>
      <c r="J18" s="437">
        <f t="shared" si="5"/>
        <v>5302272.5</v>
      </c>
      <c r="K18" s="181">
        <f t="shared" si="3"/>
        <v>1120513.5</v>
      </c>
      <c r="L18" s="181">
        <f t="shared" si="0"/>
        <v>1220548.5</v>
      </c>
      <c r="M18" s="412"/>
    </row>
    <row r="19" spans="1:13" ht="30.95" customHeight="1">
      <c r="A19" s="365">
        <v>42248</v>
      </c>
      <c r="B19" s="181">
        <v>751</v>
      </c>
      <c r="C19" s="181">
        <v>255495</v>
      </c>
      <c r="D19" s="252">
        <f t="shared" si="1"/>
        <v>20750.5</v>
      </c>
      <c r="E19" s="181">
        <f t="shared" si="2"/>
        <v>6778316</v>
      </c>
      <c r="F19" s="181"/>
      <c r="G19" s="181"/>
      <c r="H19" s="360">
        <f t="shared" si="4"/>
        <v>100035</v>
      </c>
      <c r="I19" s="181">
        <v>999790</v>
      </c>
      <c r="J19" s="437">
        <f t="shared" si="5"/>
        <v>6302062.5</v>
      </c>
      <c r="K19" s="181">
        <f t="shared" si="3"/>
        <v>220758.5</v>
      </c>
      <c r="L19" s="181">
        <f t="shared" si="0"/>
        <v>476253.5</v>
      </c>
      <c r="M19" s="412" t="s">
        <v>2377</v>
      </c>
    </row>
    <row r="20" spans="1:13" ht="30.95" customHeight="1">
      <c r="A20" s="365">
        <v>42278</v>
      </c>
      <c r="B20" s="181">
        <v>187</v>
      </c>
      <c r="C20" s="181">
        <v>63818</v>
      </c>
      <c r="D20" s="252">
        <f t="shared" si="1"/>
        <v>20937.5</v>
      </c>
      <c r="E20" s="181">
        <f t="shared" si="2"/>
        <v>6842134</v>
      </c>
      <c r="F20" s="181"/>
      <c r="G20" s="181"/>
      <c r="H20" s="360">
        <f t="shared" si="4"/>
        <v>255495</v>
      </c>
      <c r="I20" s="181"/>
      <c r="J20" s="437">
        <f t="shared" si="5"/>
        <v>6302062.5</v>
      </c>
      <c r="K20" s="181">
        <f t="shared" si="3"/>
        <v>476253.5</v>
      </c>
      <c r="L20" s="181">
        <f t="shared" si="0"/>
        <v>540071.5</v>
      </c>
      <c r="M20" s="412" t="s">
        <v>2378</v>
      </c>
    </row>
    <row r="21" spans="1:13" ht="30.95" customHeight="1">
      <c r="A21" s="365">
        <v>42309</v>
      </c>
      <c r="B21" s="181">
        <v>522.5</v>
      </c>
      <c r="C21" s="181">
        <v>195387.5</v>
      </c>
      <c r="D21" s="252">
        <f t="shared" si="1"/>
        <v>21460</v>
      </c>
      <c r="E21" s="181">
        <f t="shared" si="2"/>
        <v>7037521.5</v>
      </c>
      <c r="F21" s="181"/>
      <c r="G21" s="181"/>
      <c r="H21" s="360">
        <f t="shared" si="4"/>
        <v>63818</v>
      </c>
      <c r="I21" s="181">
        <v>219227.5</v>
      </c>
      <c r="J21" s="437">
        <f t="shared" si="5"/>
        <v>6521290</v>
      </c>
      <c r="K21" s="181">
        <f t="shared" si="3"/>
        <v>320844</v>
      </c>
      <c r="L21" s="181">
        <f t="shared" si="0"/>
        <v>516231.5</v>
      </c>
      <c r="M21" s="412"/>
    </row>
    <row r="22" spans="1:13" ht="30.95" customHeight="1">
      <c r="A22" s="365">
        <v>42340</v>
      </c>
      <c r="B22" s="181">
        <v>0</v>
      </c>
      <c r="C22" s="181">
        <v>0</v>
      </c>
      <c r="D22" s="252">
        <f t="shared" si="1"/>
        <v>21460</v>
      </c>
      <c r="E22" s="181">
        <f t="shared" si="2"/>
        <v>7037521.5</v>
      </c>
      <c r="F22" s="181"/>
      <c r="G22" s="181"/>
      <c r="H22" s="360">
        <f t="shared" si="4"/>
        <v>195387.5</v>
      </c>
      <c r="I22" s="181">
        <v>528120</v>
      </c>
      <c r="J22" s="437">
        <f t="shared" si="5"/>
        <v>7049410</v>
      </c>
      <c r="K22" s="181">
        <f t="shared" si="3"/>
        <v>-11888.5</v>
      </c>
      <c r="L22" s="181">
        <f t="shared" si="0"/>
        <v>-11888.5</v>
      </c>
      <c r="M22" s="412"/>
    </row>
    <row r="23" spans="1:13" ht="30.95" customHeight="1">
      <c r="A23" s="365">
        <v>42370</v>
      </c>
      <c r="B23" s="181">
        <v>100.5</v>
      </c>
      <c r="C23" s="181">
        <v>36180</v>
      </c>
      <c r="D23" s="252">
        <f t="shared" si="1"/>
        <v>21560.5</v>
      </c>
      <c r="E23" s="181">
        <f t="shared" si="2"/>
        <v>7073701.5</v>
      </c>
      <c r="F23" s="181"/>
      <c r="G23" s="181"/>
      <c r="H23" s="360">
        <f t="shared" si="4"/>
        <v>0</v>
      </c>
      <c r="I23" s="181">
        <v>282430</v>
      </c>
      <c r="J23" s="437">
        <f t="shared" si="5"/>
        <v>7331840</v>
      </c>
      <c r="K23" s="181">
        <f t="shared" si="3"/>
        <v>-294318.5</v>
      </c>
      <c r="L23" s="181">
        <f t="shared" si="0"/>
        <v>-258138.5</v>
      </c>
      <c r="M23" s="412"/>
    </row>
    <row r="24" spans="1:13" ht="30.95" customHeight="1">
      <c r="A24" s="365">
        <v>42401</v>
      </c>
      <c r="B24" s="181">
        <v>0</v>
      </c>
      <c r="C24" s="181">
        <v>0</v>
      </c>
      <c r="D24" s="252">
        <f t="shared" si="1"/>
        <v>21560.5</v>
      </c>
      <c r="E24" s="181">
        <f t="shared" si="2"/>
        <v>7073701.5</v>
      </c>
      <c r="F24" s="181"/>
      <c r="G24" s="181"/>
      <c r="H24" s="360">
        <f t="shared" si="4"/>
        <v>36180</v>
      </c>
      <c r="I24" s="200">
        <v>-145624</v>
      </c>
      <c r="J24" s="437">
        <f t="shared" si="5"/>
        <v>7186216</v>
      </c>
      <c r="K24" s="181">
        <f t="shared" si="3"/>
        <v>-112514.5</v>
      </c>
      <c r="L24" s="181">
        <f t="shared" si="0"/>
        <v>-112514.5</v>
      </c>
      <c r="M24" s="412" t="s">
        <v>2379</v>
      </c>
    </row>
    <row r="25" spans="1:13" ht="30.95" customHeight="1">
      <c r="A25" s="365"/>
      <c r="B25" s="181"/>
      <c r="C25" s="181"/>
      <c r="D25" s="252">
        <f t="shared" si="1"/>
        <v>21560.5</v>
      </c>
      <c r="E25" s="181">
        <f t="shared" si="2"/>
        <v>7073701.5</v>
      </c>
      <c r="F25" s="181"/>
      <c r="G25" s="181"/>
      <c r="H25" s="360">
        <f t="shared" si="4"/>
        <v>0</v>
      </c>
      <c r="I25" s="200">
        <v>280295</v>
      </c>
      <c r="J25" s="437">
        <f t="shared" si="5"/>
        <v>7466511</v>
      </c>
      <c r="K25" s="181">
        <f t="shared" si="3"/>
        <v>-392809.5</v>
      </c>
      <c r="L25" s="181">
        <f t="shared" si="0"/>
        <v>-392809.5</v>
      </c>
      <c r="M25" s="412" t="s">
        <v>2380</v>
      </c>
    </row>
    <row r="26" spans="1:13" ht="30.95" customHeight="1">
      <c r="A26" s="365"/>
      <c r="B26" s="181"/>
      <c r="C26" s="181"/>
      <c r="D26" s="181"/>
      <c r="E26" s="181"/>
      <c r="F26" s="181"/>
      <c r="G26" s="181"/>
      <c r="H26" s="360"/>
      <c r="I26" s="181"/>
      <c r="J26" s="181"/>
      <c r="K26" s="181"/>
      <c r="L26" s="181"/>
      <c r="M26" s="412"/>
    </row>
    <row r="27" spans="1:13" ht="30.95" customHeight="1">
      <c r="A27" s="365"/>
      <c r="B27" s="181"/>
      <c r="C27" s="181"/>
      <c r="D27" s="181"/>
      <c r="E27" s="181"/>
      <c r="F27" s="181"/>
      <c r="G27" s="181"/>
      <c r="H27" s="360"/>
      <c r="I27" s="181"/>
      <c r="J27" s="181"/>
      <c r="K27" s="181"/>
      <c r="L27" s="181"/>
      <c r="M27" s="412"/>
    </row>
    <row r="28" spans="1:13" ht="30.95" customHeight="1">
      <c r="A28" s="365"/>
      <c r="B28" s="181"/>
      <c r="C28" s="181"/>
      <c r="D28" s="181"/>
      <c r="E28" s="181"/>
      <c r="F28" s="181"/>
      <c r="G28" s="181"/>
      <c r="H28" s="360"/>
      <c r="I28" s="181"/>
      <c r="J28" s="181"/>
      <c r="K28" s="181"/>
      <c r="L28" s="181"/>
      <c r="M28" s="412"/>
    </row>
    <row r="29" spans="1:13" ht="30.95" customHeight="1">
      <c r="A29" s="365"/>
      <c r="B29" s="181"/>
      <c r="C29" s="181"/>
      <c r="D29" s="181"/>
      <c r="E29" s="181"/>
      <c r="F29" s="181"/>
      <c r="G29" s="181"/>
      <c r="H29" s="360"/>
      <c r="I29" s="181"/>
      <c r="J29" s="181"/>
      <c r="K29" s="181"/>
      <c r="L29" s="181"/>
      <c r="M29" s="412"/>
    </row>
  </sheetData>
  <mergeCells count="10">
    <mergeCell ref="C1:D1"/>
    <mergeCell ref="J1:L1"/>
    <mergeCell ref="B2:C2"/>
    <mergeCell ref="E2:H2"/>
    <mergeCell ref="B3:C3"/>
    <mergeCell ref="B4:D4"/>
    <mergeCell ref="E4:F4"/>
    <mergeCell ref="G4:H4"/>
    <mergeCell ref="I4:J4"/>
    <mergeCell ref="L4:M4"/>
  </mergeCells>
  <phoneticPr fontId="84" type="noConversion"/>
  <pageMargins left="0.75" right="0.75" top="1" bottom="1" header="0.51" footer="0.51"/>
  <pageSetup paperSize="9" orientation="portrait" horizontalDpi="200" verticalDpi="200"/>
  <headerFooter scaleWithDoc="0" alignWithMargins="0"/>
  <legacy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9"/>
  <sheetViews>
    <sheetView topLeftCell="A16" zoomScaleSheetLayoutView="100" workbookViewId="0">
      <selection activeCell="M26" sqref="M26"/>
    </sheetView>
  </sheetViews>
  <sheetFormatPr defaultColWidth="9" defaultRowHeight="14.25"/>
  <cols>
    <col min="1" max="1" width="13.75" customWidth="1"/>
    <col min="2" max="2" width="16.875" customWidth="1"/>
    <col min="3" max="3" width="14.375" customWidth="1"/>
    <col min="4" max="4" width="12.75" customWidth="1"/>
    <col min="5" max="5" width="14.875" customWidth="1"/>
    <col min="6" max="6" width="13.25" customWidth="1"/>
    <col min="7" max="7" width="14.25" customWidth="1"/>
    <col min="8" max="8" width="12.125" customWidth="1"/>
    <col min="9" max="9" width="17.75" customWidth="1"/>
    <col min="10" max="10" width="15.125" customWidth="1"/>
    <col min="11" max="11" width="13" customWidth="1"/>
    <col min="12" max="12" width="16.125" customWidth="1"/>
    <col min="13" max="13" width="35" customWidth="1"/>
  </cols>
  <sheetData>
    <row r="1" spans="1:24" ht="48.95" customHeight="1">
      <c r="A1" s="1032" t="s">
        <v>348</v>
      </c>
      <c r="B1" s="1033"/>
      <c r="C1" s="1882" t="s">
        <v>2381</v>
      </c>
      <c r="D1" s="1782"/>
      <c r="E1" s="1034" t="s">
        <v>236</v>
      </c>
      <c r="F1" s="2000"/>
      <c r="G1" s="1644"/>
      <c r="H1" s="1644"/>
      <c r="I1" s="1652" t="s">
        <v>237</v>
      </c>
      <c r="J1" s="1994" t="s">
        <v>2382</v>
      </c>
      <c r="K1" s="1995"/>
      <c r="L1" s="1996"/>
      <c r="M1" s="1992" t="s">
        <v>2383</v>
      </c>
      <c r="N1" s="1041" t="s">
        <v>2384</v>
      </c>
      <c r="O1" s="1041" t="s">
        <v>2385</v>
      </c>
      <c r="P1" s="1042" t="s">
        <v>2386</v>
      </c>
      <c r="Q1" s="1042" t="s">
        <v>2387</v>
      </c>
      <c r="R1" s="1041" t="s">
        <v>2388</v>
      </c>
      <c r="S1" s="1041" t="s">
        <v>2389</v>
      </c>
      <c r="T1" s="1041" t="s">
        <v>2390</v>
      </c>
      <c r="U1" s="1041" t="s">
        <v>2391</v>
      </c>
      <c r="V1" s="1042" t="s">
        <v>2392</v>
      </c>
      <c r="W1" s="1041" t="s">
        <v>2393</v>
      </c>
      <c r="X1" s="4"/>
    </row>
    <row r="2" spans="1:24" ht="74.099999999999994" customHeight="1">
      <c r="A2" s="39" t="s">
        <v>240</v>
      </c>
      <c r="B2" s="1637" t="s">
        <v>2394</v>
      </c>
      <c r="C2" s="1637"/>
      <c r="D2" s="41" t="s">
        <v>242</v>
      </c>
      <c r="E2" s="1662"/>
      <c r="F2" s="1663"/>
      <c r="G2" s="41" t="s">
        <v>243</v>
      </c>
      <c r="H2" s="1035"/>
      <c r="I2" s="1653"/>
      <c r="J2" s="1997"/>
      <c r="K2" s="1998"/>
      <c r="L2" s="1999"/>
      <c r="M2" s="1993"/>
      <c r="N2" s="1041" t="s">
        <v>2395</v>
      </c>
      <c r="O2" s="1043">
        <v>15</v>
      </c>
      <c r="P2" s="1043">
        <v>5</v>
      </c>
      <c r="Q2" s="1043">
        <v>10</v>
      </c>
      <c r="R2" s="1043">
        <v>15</v>
      </c>
      <c r="S2" s="1043">
        <v>10</v>
      </c>
      <c r="T2" s="1043">
        <v>10</v>
      </c>
      <c r="U2" s="1043">
        <v>30</v>
      </c>
      <c r="V2" s="1043">
        <v>40</v>
      </c>
      <c r="W2" s="1043">
        <v>10</v>
      </c>
      <c r="X2" s="4"/>
    </row>
    <row r="3" spans="1:24" ht="29.1" customHeight="1">
      <c r="A3" s="39" t="s">
        <v>247</v>
      </c>
      <c r="B3" s="1637" t="s">
        <v>2396</v>
      </c>
      <c r="C3" s="1637"/>
      <c r="D3" s="41" t="s">
        <v>249</v>
      </c>
      <c r="E3" s="186"/>
      <c r="F3" s="41" t="s">
        <v>251</v>
      </c>
      <c r="G3" s="41"/>
      <c r="H3" s="41" t="s">
        <v>252</v>
      </c>
      <c r="I3" s="90"/>
      <c r="J3" s="91" t="s">
        <v>253</v>
      </c>
      <c r="K3" s="105" t="s">
        <v>2397</v>
      </c>
      <c r="L3" s="15" t="s">
        <v>255</v>
      </c>
      <c r="M3" s="1044" t="s">
        <v>2398</v>
      </c>
      <c r="N3" s="4"/>
      <c r="O3" s="4"/>
      <c r="P3" s="4"/>
      <c r="Q3" s="4"/>
      <c r="R3" s="4"/>
      <c r="S3" s="4"/>
      <c r="T3" s="4"/>
      <c r="U3" s="4"/>
      <c r="V3" s="4"/>
      <c r="W3" s="4"/>
      <c r="X3" s="4"/>
    </row>
    <row r="4" spans="1:24" ht="81.75" customHeight="1">
      <c r="A4" s="39" t="s">
        <v>257</v>
      </c>
      <c r="B4" s="1637"/>
      <c r="C4" s="1637"/>
      <c r="D4" s="1637"/>
      <c r="E4" s="43" t="s">
        <v>2399</v>
      </c>
      <c r="F4" s="1832" t="s">
        <v>2400</v>
      </c>
      <c r="G4" s="1991"/>
      <c r="H4" s="1833"/>
      <c r="I4" s="1637"/>
      <c r="J4" s="1637"/>
      <c r="K4" s="15"/>
      <c r="L4" s="41" t="s">
        <v>245</v>
      </c>
      <c r="M4" s="105" t="s">
        <v>2401</v>
      </c>
      <c r="N4" s="1045"/>
      <c r="O4" s="1045"/>
      <c r="P4" s="1045"/>
      <c r="Q4" s="1045"/>
      <c r="R4" s="1045"/>
      <c r="S4" s="1045"/>
      <c r="T4" s="1045"/>
      <c r="U4" s="1045"/>
      <c r="V4" s="1045"/>
      <c r="W4" s="1045"/>
      <c r="X4" s="1045"/>
    </row>
    <row r="5" spans="1:24" ht="87" customHeight="1">
      <c r="A5" s="1036" t="s">
        <v>260</v>
      </c>
      <c r="B5" s="1647" t="s">
        <v>2402</v>
      </c>
      <c r="C5" s="1647"/>
      <c r="D5" s="1747" t="s">
        <v>2403</v>
      </c>
      <c r="E5" s="1747"/>
      <c r="F5" s="1747" t="s">
        <v>2404</v>
      </c>
      <c r="G5" s="1747"/>
      <c r="H5" s="1747"/>
      <c r="I5" s="1747"/>
      <c r="J5" s="1747"/>
      <c r="K5" s="1747"/>
      <c r="L5" s="1046"/>
      <c r="M5" s="151"/>
      <c r="N5" s="4"/>
      <c r="O5" s="4"/>
      <c r="P5" s="4"/>
      <c r="Q5" s="4"/>
      <c r="R5" s="4"/>
      <c r="S5" s="4"/>
      <c r="T5" s="4"/>
      <c r="U5" s="4"/>
      <c r="V5" s="4"/>
      <c r="W5" s="4"/>
      <c r="X5" s="4"/>
    </row>
    <row r="6" spans="1:24" ht="42.75">
      <c r="A6" s="19" t="s">
        <v>266</v>
      </c>
      <c r="B6" s="20" t="s">
        <v>267</v>
      </c>
      <c r="C6" s="20" t="s">
        <v>268</v>
      </c>
      <c r="D6" s="20" t="s">
        <v>269</v>
      </c>
      <c r="E6" s="20" t="s">
        <v>270</v>
      </c>
      <c r="F6" s="20" t="s">
        <v>271</v>
      </c>
      <c r="G6" s="21" t="s">
        <v>272</v>
      </c>
      <c r="H6" s="22" t="s">
        <v>273</v>
      </c>
      <c r="I6" s="20" t="s">
        <v>274</v>
      </c>
      <c r="J6" s="70" t="s">
        <v>275</v>
      </c>
      <c r="K6" s="70" t="s">
        <v>276</v>
      </c>
      <c r="L6" s="20" t="s">
        <v>277</v>
      </c>
      <c r="M6" s="1047" t="s">
        <v>278</v>
      </c>
      <c r="N6" s="4"/>
      <c r="O6" s="4"/>
      <c r="P6" s="4"/>
      <c r="Q6" s="4"/>
      <c r="R6" s="4"/>
      <c r="S6" s="4"/>
      <c r="T6" s="4"/>
      <c r="U6" s="4"/>
      <c r="V6" s="4"/>
      <c r="W6" s="4"/>
      <c r="X6" s="4"/>
    </row>
    <row r="7" spans="1:24" s="977" customFormat="1" ht="27" customHeight="1">
      <c r="A7" s="676" t="s">
        <v>2405</v>
      </c>
      <c r="B7" s="200">
        <v>320</v>
      </c>
      <c r="C7" s="211">
        <v>94120</v>
      </c>
      <c r="D7" s="211">
        <f>B7</f>
        <v>320</v>
      </c>
      <c r="E7" s="200">
        <f>C7</f>
        <v>94120</v>
      </c>
      <c r="F7" s="200"/>
      <c r="G7" s="180"/>
      <c r="H7" s="201"/>
      <c r="I7" s="200">
        <f>30000+20000</f>
        <v>50000</v>
      </c>
      <c r="J7" s="211">
        <f>I7</f>
        <v>50000</v>
      </c>
      <c r="K7" s="211"/>
      <c r="L7" s="211">
        <f t="shared" ref="L7:L23" si="0">E7-J7</f>
        <v>44120</v>
      </c>
      <c r="M7" s="1048" t="s">
        <v>2406</v>
      </c>
      <c r="N7" s="1049"/>
      <c r="O7" s="1049"/>
      <c r="P7" s="1049"/>
      <c r="Q7" s="1049"/>
      <c r="R7" s="1049"/>
      <c r="S7" s="1049"/>
      <c r="T7" s="1049"/>
      <c r="U7" s="1049"/>
      <c r="V7" s="1049"/>
      <c r="W7" s="1049"/>
      <c r="X7" s="1049"/>
    </row>
    <row r="8" spans="1:24" s="977" customFormat="1" ht="27" customHeight="1">
      <c r="A8" s="1037">
        <v>41974</v>
      </c>
      <c r="B8" s="213">
        <v>2184.5</v>
      </c>
      <c r="C8" s="200">
        <v>667637</v>
      </c>
      <c r="D8" s="200">
        <f t="shared" ref="D8:E10" si="1">D7+B8</f>
        <v>2504.5</v>
      </c>
      <c r="E8" s="200">
        <f t="shared" si="1"/>
        <v>761757</v>
      </c>
      <c r="F8" s="200"/>
      <c r="G8" s="180"/>
      <c r="H8" s="201"/>
      <c r="I8" s="213">
        <f>20000+100000+500000</f>
        <v>620000</v>
      </c>
      <c r="J8" s="211">
        <f t="shared" ref="J8:J23" si="2">J7+I8</f>
        <v>670000</v>
      </c>
      <c r="K8" s="211"/>
      <c r="L8" s="211">
        <f t="shared" si="0"/>
        <v>91757</v>
      </c>
      <c r="M8" s="1050" t="s">
        <v>2407</v>
      </c>
      <c r="N8" s="1049"/>
      <c r="O8" s="1049"/>
      <c r="P8" s="1049"/>
      <c r="Q8" s="1049"/>
      <c r="R8" s="1049"/>
      <c r="S8" s="1049"/>
      <c r="T8" s="1049"/>
      <c r="U8" s="1049"/>
      <c r="V8" s="1049"/>
      <c r="W8" s="1049"/>
      <c r="X8" s="1049"/>
    </row>
    <row r="9" spans="1:24" s="977" customFormat="1" ht="27" customHeight="1">
      <c r="A9" s="1038">
        <v>42005</v>
      </c>
      <c r="B9" s="494">
        <v>1522.5</v>
      </c>
      <c r="C9" s="200">
        <v>464659</v>
      </c>
      <c r="D9" s="211">
        <f t="shared" si="1"/>
        <v>4027</v>
      </c>
      <c r="E9" s="200">
        <f t="shared" si="1"/>
        <v>1226416</v>
      </c>
      <c r="F9" s="338"/>
      <c r="G9" s="340"/>
      <c r="H9" s="776"/>
      <c r="I9" s="243">
        <v>400000</v>
      </c>
      <c r="J9" s="200">
        <f t="shared" si="2"/>
        <v>1070000</v>
      </c>
      <c r="K9" s="200"/>
      <c r="L9" s="211">
        <f t="shared" si="0"/>
        <v>156416</v>
      </c>
      <c r="M9" s="1051" t="s">
        <v>2408</v>
      </c>
      <c r="N9" s="1049"/>
      <c r="O9" s="1049"/>
      <c r="P9" s="1049"/>
      <c r="Q9" s="1049"/>
      <c r="R9" s="1049"/>
      <c r="S9" s="1049"/>
      <c r="T9" s="1049"/>
      <c r="U9" s="1049"/>
      <c r="V9" s="1049"/>
      <c r="W9" s="1049"/>
      <c r="X9" s="1049"/>
    </row>
    <row r="10" spans="1:24" s="977" customFormat="1" ht="27" customHeight="1">
      <c r="A10" s="1038">
        <v>42037</v>
      </c>
      <c r="B10" s="494">
        <v>480.5</v>
      </c>
      <c r="C10" s="494">
        <v>141958</v>
      </c>
      <c r="D10" s="211">
        <f t="shared" si="1"/>
        <v>4507.5</v>
      </c>
      <c r="E10" s="200">
        <f t="shared" si="1"/>
        <v>1368374</v>
      </c>
      <c r="F10" s="338"/>
      <c r="G10" s="340"/>
      <c r="H10" s="776"/>
      <c r="I10" s="243">
        <f>100000+100000</f>
        <v>200000</v>
      </c>
      <c r="J10" s="200">
        <f t="shared" si="2"/>
        <v>1270000</v>
      </c>
      <c r="K10" s="200"/>
      <c r="L10" s="211">
        <f t="shared" si="0"/>
        <v>98374</v>
      </c>
      <c r="M10" s="1052" t="s">
        <v>2409</v>
      </c>
      <c r="N10" s="1049"/>
      <c r="O10" s="1049"/>
      <c r="P10" s="1049"/>
      <c r="Q10" s="1049"/>
      <c r="R10" s="1049"/>
      <c r="S10" s="1049"/>
      <c r="T10" s="1049"/>
      <c r="U10" s="1049"/>
      <c r="V10" s="1049"/>
      <c r="W10" s="1049"/>
      <c r="X10" s="1049"/>
    </row>
    <row r="11" spans="1:24" s="977" customFormat="1" ht="27" customHeight="1">
      <c r="A11" s="780">
        <v>42069</v>
      </c>
      <c r="B11" s="200">
        <v>443</v>
      </c>
      <c r="C11" s="973">
        <v>124968</v>
      </c>
      <c r="D11" s="211">
        <f t="shared" ref="D11:D23" si="3">D10+B11</f>
        <v>4950.5</v>
      </c>
      <c r="E11" s="200">
        <f t="shared" ref="E11:E23" si="4">E10+C11</f>
        <v>1493342</v>
      </c>
      <c r="F11" s="480"/>
      <c r="G11" s="1039"/>
      <c r="H11" s="1040"/>
      <c r="I11" s="211">
        <v>200000</v>
      </c>
      <c r="J11" s="200">
        <f t="shared" si="2"/>
        <v>1470000</v>
      </c>
      <c r="K11" s="211"/>
      <c r="L11" s="211">
        <f t="shared" si="0"/>
        <v>23342</v>
      </c>
      <c r="M11" s="1052" t="s">
        <v>2410</v>
      </c>
      <c r="N11" s="1049"/>
      <c r="O11" s="1049"/>
      <c r="P11" s="1049"/>
      <c r="Q11" s="1049"/>
      <c r="R11" s="1049"/>
      <c r="S11" s="1049"/>
      <c r="T11" s="1049"/>
      <c r="U11" s="1049"/>
      <c r="V11" s="1049"/>
      <c r="W11" s="1049"/>
      <c r="X11" s="1049"/>
    </row>
    <row r="12" spans="1:24" s="977" customFormat="1" ht="27" customHeight="1">
      <c r="A12" s="780">
        <v>42100</v>
      </c>
      <c r="B12" s="200">
        <v>1207</v>
      </c>
      <c r="C12" s="200">
        <v>373112</v>
      </c>
      <c r="D12" s="211">
        <f t="shared" si="3"/>
        <v>6157.5</v>
      </c>
      <c r="E12" s="200">
        <f t="shared" si="4"/>
        <v>1866454</v>
      </c>
      <c r="F12" s="200"/>
      <c r="G12" s="180"/>
      <c r="H12" s="201"/>
      <c r="I12" s="200">
        <v>200000</v>
      </c>
      <c r="J12" s="200">
        <f t="shared" si="2"/>
        <v>1670000</v>
      </c>
      <c r="K12" s="200"/>
      <c r="L12" s="211">
        <f t="shared" si="0"/>
        <v>196454</v>
      </c>
      <c r="M12" s="850" t="s">
        <v>2411</v>
      </c>
      <c r="N12" s="1049"/>
      <c r="O12" s="1049"/>
      <c r="P12" s="1049"/>
      <c r="Q12" s="1049"/>
      <c r="R12" s="1049"/>
      <c r="S12" s="1049"/>
      <c r="T12" s="1049"/>
      <c r="U12" s="1049"/>
      <c r="V12" s="1049"/>
      <c r="W12" s="1049"/>
      <c r="X12" s="1049"/>
    </row>
    <row r="13" spans="1:24" s="977" customFormat="1" ht="27" customHeight="1">
      <c r="A13" s="780">
        <v>42125</v>
      </c>
      <c r="B13" s="200">
        <v>2478.5</v>
      </c>
      <c r="C13" s="200">
        <v>861610</v>
      </c>
      <c r="D13" s="211">
        <f t="shared" si="3"/>
        <v>8636</v>
      </c>
      <c r="E13" s="200">
        <f t="shared" si="4"/>
        <v>2728064</v>
      </c>
      <c r="F13" s="200"/>
      <c r="G13" s="180"/>
      <c r="H13" s="201"/>
      <c r="I13" s="200">
        <f>400000+500000</f>
        <v>900000</v>
      </c>
      <c r="J13" s="200">
        <f t="shared" si="2"/>
        <v>2570000</v>
      </c>
      <c r="K13" s="200"/>
      <c r="L13" s="211">
        <f t="shared" si="0"/>
        <v>158064</v>
      </c>
      <c r="M13" s="850"/>
      <c r="N13" s="1049"/>
      <c r="O13" s="1049"/>
      <c r="P13" s="1049"/>
      <c r="Q13" s="1049"/>
      <c r="R13" s="1049"/>
      <c r="S13" s="1049"/>
      <c r="T13" s="1049"/>
      <c r="U13" s="1049"/>
      <c r="V13" s="1049"/>
      <c r="W13" s="1049"/>
      <c r="X13" s="1049"/>
    </row>
    <row r="14" spans="1:24" s="977" customFormat="1" ht="27" customHeight="1">
      <c r="A14" s="780">
        <v>42156</v>
      </c>
      <c r="B14" s="200">
        <v>1847</v>
      </c>
      <c r="C14" s="200">
        <v>608167</v>
      </c>
      <c r="D14" s="211">
        <f t="shared" si="3"/>
        <v>10483</v>
      </c>
      <c r="E14" s="200">
        <f t="shared" si="4"/>
        <v>3336231</v>
      </c>
      <c r="F14" s="200"/>
      <c r="G14" s="180"/>
      <c r="H14" s="201"/>
      <c r="I14" s="200">
        <v>400000</v>
      </c>
      <c r="J14" s="200">
        <f t="shared" si="2"/>
        <v>2970000</v>
      </c>
      <c r="K14" s="200"/>
      <c r="L14" s="211">
        <f t="shared" si="0"/>
        <v>366231</v>
      </c>
      <c r="M14" s="850" t="s">
        <v>2412</v>
      </c>
      <c r="N14" s="1049"/>
      <c r="O14" s="1049"/>
      <c r="P14" s="1049"/>
      <c r="Q14" s="1049"/>
      <c r="R14" s="1049"/>
      <c r="S14" s="1049"/>
      <c r="T14" s="1049"/>
      <c r="U14" s="1049"/>
      <c r="V14" s="1049"/>
      <c r="W14" s="1049"/>
      <c r="X14" s="1049"/>
    </row>
    <row r="15" spans="1:24" s="977" customFormat="1" ht="27" customHeight="1">
      <c r="A15" s="780">
        <v>42186</v>
      </c>
      <c r="B15" s="200">
        <v>2354.5</v>
      </c>
      <c r="C15" s="200">
        <v>762693.5</v>
      </c>
      <c r="D15" s="211">
        <f t="shared" si="3"/>
        <v>12837.5</v>
      </c>
      <c r="E15" s="200">
        <f t="shared" si="4"/>
        <v>4098924.5</v>
      </c>
      <c r="F15" s="200"/>
      <c r="G15" s="180"/>
      <c r="H15" s="201">
        <f t="shared" ref="H15:H23" si="5">C14</f>
        <v>608167</v>
      </c>
      <c r="I15" s="200">
        <v>200000</v>
      </c>
      <c r="J15" s="200">
        <f t="shared" si="2"/>
        <v>3170000</v>
      </c>
      <c r="K15" s="200">
        <f t="shared" ref="K15:K20" si="6">K14+H15-I15</f>
        <v>408167</v>
      </c>
      <c r="L15" s="211">
        <f t="shared" si="0"/>
        <v>928924.5</v>
      </c>
      <c r="M15" s="850" t="s">
        <v>2413</v>
      </c>
      <c r="N15" s="1049"/>
      <c r="O15" s="1049"/>
      <c r="P15" s="1049"/>
      <c r="Q15" s="1049"/>
      <c r="R15" s="1049"/>
      <c r="S15" s="1049"/>
      <c r="T15" s="1049"/>
      <c r="U15" s="1049"/>
      <c r="V15" s="1049"/>
      <c r="W15" s="1049"/>
      <c r="X15" s="1049"/>
    </row>
    <row r="16" spans="1:24" s="977" customFormat="1" ht="27" customHeight="1">
      <c r="A16" s="780">
        <v>42217</v>
      </c>
      <c r="B16" s="200">
        <v>1019</v>
      </c>
      <c r="C16" s="200">
        <v>304635</v>
      </c>
      <c r="D16" s="211">
        <f t="shared" si="3"/>
        <v>13856.5</v>
      </c>
      <c r="E16" s="200">
        <f t="shared" si="4"/>
        <v>4403559.5</v>
      </c>
      <c r="F16" s="200"/>
      <c r="G16" s="180"/>
      <c r="H16" s="201">
        <f t="shared" si="5"/>
        <v>762693.5</v>
      </c>
      <c r="I16" s="200">
        <v>50000</v>
      </c>
      <c r="J16" s="200">
        <f t="shared" si="2"/>
        <v>3220000</v>
      </c>
      <c r="K16" s="200">
        <f t="shared" si="6"/>
        <v>1120860.5</v>
      </c>
      <c r="L16" s="211">
        <f t="shared" si="0"/>
        <v>1183559.5</v>
      </c>
      <c r="M16" s="850" t="s">
        <v>2414</v>
      </c>
      <c r="N16" s="1049"/>
      <c r="O16" s="1049"/>
      <c r="P16" s="1049"/>
      <c r="Q16" s="1049"/>
      <c r="R16" s="1049"/>
      <c r="S16" s="1049"/>
      <c r="T16" s="1049"/>
      <c r="U16" s="1049"/>
      <c r="V16" s="1049"/>
      <c r="W16" s="1049"/>
      <c r="X16" s="1049"/>
    </row>
    <row r="17" spans="1:24" s="977" customFormat="1" ht="27" customHeight="1">
      <c r="A17" s="780">
        <v>42248</v>
      </c>
      <c r="B17" s="200">
        <v>509</v>
      </c>
      <c r="C17" s="200">
        <v>152872</v>
      </c>
      <c r="D17" s="211">
        <f t="shared" si="3"/>
        <v>14365.5</v>
      </c>
      <c r="E17" s="200">
        <f t="shared" si="4"/>
        <v>4556431.5</v>
      </c>
      <c r="F17" s="200"/>
      <c r="G17" s="180"/>
      <c r="H17" s="201">
        <f t="shared" si="5"/>
        <v>304635</v>
      </c>
      <c r="I17" s="727">
        <v>116231</v>
      </c>
      <c r="J17" s="200">
        <f t="shared" si="2"/>
        <v>3336231</v>
      </c>
      <c r="K17" s="200">
        <f t="shared" si="6"/>
        <v>1309264.5</v>
      </c>
      <c r="L17" s="211">
        <f t="shared" si="0"/>
        <v>1220200.5</v>
      </c>
      <c r="M17" s="850"/>
      <c r="N17" s="1049"/>
      <c r="O17" s="1049"/>
      <c r="P17" s="1049"/>
      <c r="Q17" s="1049"/>
      <c r="R17" s="1049"/>
      <c r="S17" s="1049"/>
      <c r="T17" s="1049"/>
      <c r="U17" s="1049"/>
      <c r="V17" s="1049"/>
      <c r="W17" s="1049"/>
      <c r="X17" s="1049"/>
    </row>
    <row r="18" spans="1:24" s="977" customFormat="1" ht="27" customHeight="1">
      <c r="A18" s="780">
        <v>42278</v>
      </c>
      <c r="B18" s="200">
        <v>98.5</v>
      </c>
      <c r="C18" s="200">
        <v>28900.5</v>
      </c>
      <c r="D18" s="211">
        <f t="shared" si="3"/>
        <v>14464</v>
      </c>
      <c r="E18" s="200">
        <f t="shared" si="4"/>
        <v>4585332</v>
      </c>
      <c r="F18" s="200"/>
      <c r="G18" s="180"/>
      <c r="H18" s="201">
        <f t="shared" si="5"/>
        <v>152872</v>
      </c>
      <c r="I18" s="200">
        <f>304635+762693.5</f>
        <v>1067328.5</v>
      </c>
      <c r="J18" s="200">
        <f t="shared" si="2"/>
        <v>4403559.5</v>
      </c>
      <c r="K18" s="200">
        <f t="shared" si="6"/>
        <v>394808</v>
      </c>
      <c r="L18" s="211">
        <f t="shared" si="0"/>
        <v>181772.5</v>
      </c>
      <c r="M18" s="850" t="s">
        <v>2415</v>
      </c>
      <c r="N18" s="1049"/>
      <c r="O18" s="1049"/>
      <c r="P18" s="1049"/>
      <c r="Q18" s="1049"/>
      <c r="R18" s="1049"/>
      <c r="S18" s="1049"/>
      <c r="T18" s="1049"/>
      <c r="U18" s="1049"/>
      <c r="V18" s="1049"/>
      <c r="W18" s="1049"/>
      <c r="X18" s="1049"/>
    </row>
    <row r="19" spans="1:24" s="977" customFormat="1" ht="27" customHeight="1">
      <c r="A19" s="780">
        <v>42309</v>
      </c>
      <c r="B19" s="200">
        <v>584</v>
      </c>
      <c r="C19" s="200">
        <v>177983</v>
      </c>
      <c r="D19" s="211">
        <f t="shared" si="3"/>
        <v>15048</v>
      </c>
      <c r="E19" s="200">
        <f t="shared" si="4"/>
        <v>4763315</v>
      </c>
      <c r="F19" s="200"/>
      <c r="G19" s="180"/>
      <c r="H19" s="201">
        <f t="shared" si="5"/>
        <v>28900.5</v>
      </c>
      <c r="I19" s="200"/>
      <c r="J19" s="200">
        <f t="shared" si="2"/>
        <v>4403559.5</v>
      </c>
      <c r="K19" s="200">
        <f t="shared" si="6"/>
        <v>423708.5</v>
      </c>
      <c r="L19" s="211">
        <f t="shared" si="0"/>
        <v>359755.5</v>
      </c>
      <c r="M19" s="850" t="s">
        <v>2416</v>
      </c>
      <c r="N19" s="1049"/>
      <c r="O19" s="1049"/>
      <c r="P19" s="1049"/>
      <c r="Q19" s="1049"/>
      <c r="R19" s="1049"/>
      <c r="S19" s="1049"/>
      <c r="T19" s="1049"/>
      <c r="U19" s="1049"/>
      <c r="V19" s="1049"/>
      <c r="W19" s="1049"/>
      <c r="X19" s="1049"/>
    </row>
    <row r="20" spans="1:24" s="977" customFormat="1" ht="27" customHeight="1">
      <c r="A20" s="780">
        <v>42339</v>
      </c>
      <c r="B20" s="200">
        <v>276</v>
      </c>
      <c r="C20" s="200">
        <v>82260</v>
      </c>
      <c r="D20" s="211">
        <f t="shared" si="3"/>
        <v>15324</v>
      </c>
      <c r="E20" s="200">
        <f t="shared" si="4"/>
        <v>4845575</v>
      </c>
      <c r="F20" s="200"/>
      <c r="G20" s="180"/>
      <c r="H20" s="201">
        <f t="shared" si="5"/>
        <v>177983</v>
      </c>
      <c r="I20" s="200">
        <f>152872+206883.5</f>
        <v>359755.5</v>
      </c>
      <c r="J20" s="200">
        <f t="shared" si="2"/>
        <v>4763315</v>
      </c>
      <c r="K20" s="200">
        <f t="shared" si="6"/>
        <v>241936</v>
      </c>
      <c r="L20" s="211">
        <f t="shared" si="0"/>
        <v>82260</v>
      </c>
      <c r="M20" s="850" t="s">
        <v>2417</v>
      </c>
      <c r="N20" s="1049"/>
      <c r="O20" s="1049"/>
      <c r="P20" s="1049"/>
      <c r="Q20" s="1049"/>
      <c r="R20" s="1049"/>
      <c r="S20" s="1049"/>
      <c r="T20" s="1049"/>
      <c r="U20" s="1049"/>
      <c r="V20" s="1049"/>
      <c r="W20" s="1049"/>
      <c r="X20" s="1049"/>
    </row>
    <row r="21" spans="1:24" s="977" customFormat="1" ht="27" customHeight="1">
      <c r="A21" s="780">
        <v>42370</v>
      </c>
      <c r="B21" s="200">
        <v>454</v>
      </c>
      <c r="C21" s="200">
        <v>137782</v>
      </c>
      <c r="D21" s="211">
        <f t="shared" si="3"/>
        <v>15778</v>
      </c>
      <c r="E21" s="200">
        <f t="shared" si="4"/>
        <v>4983357</v>
      </c>
      <c r="F21" s="200"/>
      <c r="G21" s="180"/>
      <c r="H21" s="201">
        <f t="shared" si="5"/>
        <v>82260</v>
      </c>
      <c r="I21" s="200">
        <v>50000</v>
      </c>
      <c r="J21" s="200">
        <f t="shared" si="2"/>
        <v>4813315</v>
      </c>
      <c r="K21" s="200">
        <f>H21-I21</f>
        <v>32260</v>
      </c>
      <c r="L21" s="211">
        <f t="shared" si="0"/>
        <v>170042</v>
      </c>
      <c r="M21" s="850" t="s">
        <v>2418</v>
      </c>
      <c r="N21" s="1049"/>
      <c r="O21" s="1049"/>
      <c r="P21" s="1049"/>
      <c r="Q21" s="1049"/>
      <c r="R21" s="1049"/>
      <c r="S21" s="1049"/>
      <c r="T21" s="1049"/>
      <c r="U21" s="1049"/>
      <c r="V21" s="1049"/>
      <c r="W21" s="1049"/>
      <c r="X21" s="1049"/>
    </row>
    <row r="22" spans="1:24" s="977" customFormat="1" ht="27" customHeight="1">
      <c r="A22" s="780">
        <v>42430</v>
      </c>
      <c r="B22" s="200">
        <v>0</v>
      </c>
      <c r="C22" s="200">
        <v>0</v>
      </c>
      <c r="D22" s="211">
        <f t="shared" si="3"/>
        <v>15778</v>
      </c>
      <c r="E22" s="200">
        <f t="shared" si="4"/>
        <v>4983357</v>
      </c>
      <c r="F22" s="200"/>
      <c r="G22" s="180"/>
      <c r="H22" s="201">
        <f t="shared" si="5"/>
        <v>137782</v>
      </c>
      <c r="I22" s="200">
        <v>50000</v>
      </c>
      <c r="J22" s="200">
        <f t="shared" si="2"/>
        <v>4863315</v>
      </c>
      <c r="K22" s="200">
        <f>H22-I22</f>
        <v>87782</v>
      </c>
      <c r="L22" s="211">
        <f t="shared" si="0"/>
        <v>120042</v>
      </c>
      <c r="M22" s="850" t="s">
        <v>2419</v>
      </c>
      <c r="N22" s="1049"/>
      <c r="O22" s="1049"/>
      <c r="P22" s="1049"/>
      <c r="Q22" s="1049"/>
      <c r="R22" s="1049"/>
      <c r="S22" s="1049"/>
      <c r="T22" s="1049"/>
      <c r="U22" s="1049"/>
      <c r="V22" s="1049"/>
      <c r="W22" s="1049"/>
      <c r="X22" s="1049"/>
    </row>
    <row r="23" spans="1:24" s="977" customFormat="1" ht="27" customHeight="1">
      <c r="A23" s="780">
        <v>42887</v>
      </c>
      <c r="B23" s="200">
        <v>0</v>
      </c>
      <c r="C23" s="200">
        <v>0</v>
      </c>
      <c r="D23" s="211">
        <f t="shared" si="3"/>
        <v>15778</v>
      </c>
      <c r="E23" s="200">
        <f t="shared" si="4"/>
        <v>4983357</v>
      </c>
      <c r="F23" s="200"/>
      <c r="G23" s="180"/>
      <c r="H23" s="201">
        <f t="shared" si="5"/>
        <v>0</v>
      </c>
      <c r="I23" s="200">
        <v>60883.16</v>
      </c>
      <c r="J23" s="200">
        <f t="shared" si="2"/>
        <v>4924198.16</v>
      </c>
      <c r="K23" s="200"/>
      <c r="L23" s="211">
        <f t="shared" si="0"/>
        <v>59158.839999999851</v>
      </c>
      <c r="M23" s="1053" t="s">
        <v>2420</v>
      </c>
      <c r="N23" s="1049"/>
      <c r="O23" s="1049"/>
      <c r="P23" s="1049"/>
      <c r="Q23" s="1049"/>
      <c r="R23" s="1049"/>
      <c r="S23" s="1049"/>
      <c r="T23" s="1049"/>
      <c r="U23" s="1049"/>
      <c r="V23" s="1049"/>
      <c r="W23" s="1049"/>
      <c r="X23" s="1049"/>
    </row>
    <row r="24" spans="1:24" s="977" customFormat="1" ht="27" customHeight="1">
      <c r="A24" s="780"/>
      <c r="B24" s="200"/>
      <c r="C24" s="200"/>
      <c r="D24" s="200"/>
      <c r="E24" s="200"/>
      <c r="F24" s="200"/>
      <c r="G24" s="180"/>
      <c r="H24" s="201"/>
      <c r="I24" s="200"/>
      <c r="J24" s="200"/>
      <c r="K24" s="200"/>
      <c r="L24" s="200"/>
      <c r="M24" s="850" t="s">
        <v>2421</v>
      </c>
      <c r="N24" s="1049"/>
      <c r="O24" s="1049"/>
      <c r="P24" s="1049"/>
      <c r="Q24" s="1049"/>
      <c r="R24" s="1049"/>
      <c r="S24" s="1049"/>
      <c r="T24" s="1049"/>
      <c r="U24" s="1049"/>
      <c r="V24" s="1049"/>
      <c r="W24" s="1049"/>
      <c r="X24" s="1049"/>
    </row>
    <row r="25" spans="1:24" s="977" customFormat="1" ht="27" customHeight="1">
      <c r="A25" s="780"/>
      <c r="B25" s="200"/>
      <c r="C25" s="200"/>
      <c r="D25" s="200"/>
      <c r="E25" s="200"/>
      <c r="F25" s="200"/>
      <c r="G25" s="180"/>
      <c r="H25" s="201"/>
      <c r="I25" s="200"/>
      <c r="J25" s="200"/>
      <c r="K25" s="200"/>
      <c r="L25" s="200"/>
      <c r="M25" s="850"/>
      <c r="N25" s="1049"/>
      <c r="O25" s="1049"/>
      <c r="P25" s="1049"/>
      <c r="Q25" s="1049"/>
      <c r="R25" s="1049"/>
      <c r="S25" s="1049"/>
      <c r="T25" s="1049"/>
      <c r="U25" s="1049"/>
      <c r="V25" s="1049"/>
      <c r="W25" s="1049"/>
      <c r="X25" s="1049"/>
    </row>
    <row r="26" spans="1:24" s="977" customFormat="1" ht="27" customHeight="1">
      <c r="A26" s="780"/>
      <c r="B26" s="200"/>
      <c r="C26" s="200"/>
      <c r="D26" s="200"/>
      <c r="E26" s="200"/>
      <c r="F26" s="200"/>
      <c r="G26" s="180"/>
      <c r="H26" s="201"/>
      <c r="I26" s="200"/>
      <c r="J26" s="200"/>
      <c r="K26" s="200"/>
      <c r="L26" s="200"/>
      <c r="M26" s="850"/>
      <c r="N26" s="1049"/>
      <c r="O26" s="1049"/>
      <c r="P26" s="1049"/>
      <c r="Q26" s="1049"/>
      <c r="R26" s="1049"/>
      <c r="S26" s="1049"/>
      <c r="T26" s="1049"/>
      <c r="U26" s="1049"/>
      <c r="V26" s="1049"/>
      <c r="W26" s="1049"/>
      <c r="X26" s="1049"/>
    </row>
    <row r="27" spans="1:24" s="977" customFormat="1" ht="27" customHeight="1">
      <c r="A27" s="780"/>
      <c r="B27" s="200"/>
      <c r="C27" s="200"/>
      <c r="D27" s="200"/>
      <c r="E27" s="200"/>
      <c r="F27" s="200"/>
      <c r="G27" s="180"/>
      <c r="H27" s="201"/>
      <c r="I27" s="200"/>
      <c r="J27" s="200"/>
      <c r="K27" s="200"/>
      <c r="L27" s="200"/>
      <c r="M27" s="850"/>
      <c r="N27" s="1049"/>
      <c r="O27" s="1049"/>
      <c r="P27" s="1049"/>
      <c r="Q27" s="1049"/>
      <c r="R27" s="1049"/>
      <c r="S27" s="1049"/>
      <c r="T27" s="1049"/>
      <c r="U27" s="1049"/>
      <c r="V27" s="1049"/>
      <c r="W27" s="1049"/>
      <c r="X27" s="1049"/>
    </row>
    <row r="28" spans="1:24" s="977" customFormat="1" ht="27" customHeight="1">
      <c r="A28" s="780"/>
      <c r="B28" s="200"/>
      <c r="C28" s="200"/>
      <c r="D28" s="200"/>
      <c r="E28" s="200"/>
      <c r="F28" s="200"/>
      <c r="G28" s="180"/>
      <c r="H28" s="201"/>
      <c r="I28" s="200"/>
      <c r="J28" s="200"/>
      <c r="K28" s="200"/>
      <c r="L28" s="200"/>
      <c r="M28" s="850"/>
      <c r="N28" s="1049"/>
      <c r="O28" s="1049"/>
      <c r="P28" s="1049"/>
      <c r="Q28" s="1049"/>
      <c r="R28" s="1049"/>
      <c r="S28" s="1049"/>
      <c r="T28" s="1049"/>
      <c r="U28" s="1049"/>
      <c r="V28" s="1049"/>
      <c r="W28" s="1049"/>
      <c r="X28" s="1049"/>
    </row>
    <row r="29" spans="1:24" s="977" customFormat="1" ht="27" customHeight="1">
      <c r="A29" s="780"/>
      <c r="B29" s="200"/>
      <c r="C29" s="200"/>
      <c r="D29" s="200"/>
      <c r="E29" s="200"/>
      <c r="F29" s="200"/>
      <c r="G29" s="180"/>
      <c r="H29" s="201"/>
      <c r="I29" s="200"/>
      <c r="J29" s="200"/>
      <c r="K29" s="200"/>
      <c r="L29" s="200"/>
      <c r="M29" s="850"/>
      <c r="N29" s="1049"/>
      <c r="O29" s="1049"/>
      <c r="P29" s="1049"/>
      <c r="Q29" s="1049"/>
      <c r="R29" s="1049"/>
      <c r="S29" s="1049"/>
      <c r="T29" s="1049"/>
      <c r="U29" s="1049"/>
      <c r="V29" s="1049"/>
      <c r="W29" s="1049"/>
      <c r="X29" s="1049"/>
    </row>
  </sheetData>
  <mergeCells count="14">
    <mergeCell ref="M1:M2"/>
    <mergeCell ref="J1:L2"/>
    <mergeCell ref="C1:D1"/>
    <mergeCell ref="F1:H1"/>
    <mergeCell ref="B2:C2"/>
    <mergeCell ref="E2:F2"/>
    <mergeCell ref="B3:C3"/>
    <mergeCell ref="B4:D4"/>
    <mergeCell ref="F4:H4"/>
    <mergeCell ref="I4:J4"/>
    <mergeCell ref="B5:C5"/>
    <mergeCell ref="D5:E5"/>
    <mergeCell ref="F5:K5"/>
    <mergeCell ref="I1:I2"/>
  </mergeCells>
  <phoneticPr fontId="84" type="noConversion"/>
  <pageMargins left="0.75" right="0.75" top="1" bottom="1" header="0.51" footer="0.51"/>
  <pageSetup paperSize="9" orientation="portrait" horizontalDpi="200" verticalDpi="200"/>
  <headerFooter scaleWithDoc="0" alignWithMargins="0"/>
</worksheet>
</file>

<file path=xl/worksheets/sheet9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33"/>
  <sheetViews>
    <sheetView topLeftCell="A25" zoomScaleSheetLayoutView="100" workbookViewId="0">
      <selection activeCell="C30" sqref="C30:M30"/>
    </sheetView>
  </sheetViews>
  <sheetFormatPr defaultColWidth="9" defaultRowHeight="14.25"/>
  <cols>
    <col min="1" max="1" width="12.625" bestFit="1" customWidth="1"/>
    <col min="2" max="2" width="16.125" customWidth="1"/>
    <col min="3" max="3" width="14.125" customWidth="1"/>
    <col min="4" max="4" width="13.75" customWidth="1"/>
    <col min="5" max="5" width="18" customWidth="1"/>
    <col min="6" max="6" width="13.375" customWidth="1"/>
    <col min="7" max="7" width="11.5" customWidth="1"/>
    <col min="8" max="9" width="11.625" customWidth="1"/>
    <col min="10" max="10" width="12.25" customWidth="1"/>
    <col min="11" max="11" width="13.75" customWidth="1"/>
    <col min="12" max="12" width="13.625" customWidth="1"/>
    <col min="13" max="13" width="37.125" customWidth="1"/>
  </cols>
  <sheetData>
    <row r="1" spans="1:14" ht="45" customHeight="1">
      <c r="A1" s="1008" t="s">
        <v>348</v>
      </c>
      <c r="B1" s="1009"/>
      <c r="C1" s="1822" t="s">
        <v>2422</v>
      </c>
      <c r="D1" s="1822"/>
      <c r="E1" s="1008" t="s">
        <v>236</v>
      </c>
      <c r="F1" s="1029">
        <v>42331</v>
      </c>
      <c r="G1" s="1010" t="s">
        <v>351</v>
      </c>
      <c r="H1" s="1010"/>
      <c r="I1" s="1638" t="s">
        <v>237</v>
      </c>
      <c r="J1" s="1665" t="s">
        <v>2423</v>
      </c>
      <c r="K1" s="1665"/>
      <c r="L1" s="1665"/>
      <c r="M1" s="2002" t="s">
        <v>2424</v>
      </c>
      <c r="N1" t="s">
        <v>2425</v>
      </c>
    </row>
    <row r="2" spans="1:14" ht="42" customHeight="1">
      <c r="A2" s="41" t="s">
        <v>240</v>
      </c>
      <c r="B2" s="1637" t="s">
        <v>2426</v>
      </c>
      <c r="C2" s="1637"/>
      <c r="D2" s="41" t="s">
        <v>242</v>
      </c>
      <c r="E2" s="1638" t="s">
        <v>1379</v>
      </c>
      <c r="F2" s="1638"/>
      <c r="G2" s="41" t="s">
        <v>243</v>
      </c>
      <c r="H2" s="997">
        <v>0.04</v>
      </c>
      <c r="I2" s="1652"/>
      <c r="J2" s="1665"/>
      <c r="K2" s="1665"/>
      <c r="L2" s="1665"/>
      <c r="M2" s="2002"/>
    </row>
    <row r="3" spans="1:14" ht="75" customHeight="1">
      <c r="A3" s="41" t="s">
        <v>247</v>
      </c>
      <c r="B3" s="1637" t="s">
        <v>2427</v>
      </c>
      <c r="C3" s="1637"/>
      <c r="D3" s="41" t="s">
        <v>249</v>
      </c>
      <c r="E3" s="186">
        <v>65000</v>
      </c>
      <c r="F3" s="41" t="s">
        <v>251</v>
      </c>
      <c r="G3" s="41" t="s">
        <v>2428</v>
      </c>
      <c r="H3" s="1021" t="s">
        <v>2429</v>
      </c>
      <c r="I3" s="40" t="s">
        <v>425</v>
      </c>
      <c r="J3" s="2003" t="s">
        <v>2430</v>
      </c>
      <c r="K3" s="2003"/>
      <c r="L3" s="2003"/>
      <c r="M3" s="2004"/>
    </row>
    <row r="4" spans="1:14" ht="35.1" customHeight="1">
      <c r="A4" s="41" t="s">
        <v>1107</v>
      </c>
      <c r="B4" s="1637" t="s">
        <v>2431</v>
      </c>
      <c r="C4" s="1637"/>
      <c r="D4" s="1637"/>
      <c r="E4" s="43" t="s">
        <v>258</v>
      </c>
      <c r="F4" s="1638" t="s">
        <v>2432</v>
      </c>
      <c r="G4" s="1638"/>
      <c r="H4" s="1638"/>
      <c r="I4" s="1031"/>
      <c r="J4" s="91" t="s">
        <v>253</v>
      </c>
      <c r="K4" s="40" t="s">
        <v>2433</v>
      </c>
      <c r="L4" s="15" t="s">
        <v>255</v>
      </c>
      <c r="M4" s="271" t="s">
        <v>2434</v>
      </c>
    </row>
    <row r="5" spans="1:14" ht="90.95" customHeight="1">
      <c r="A5" s="41" t="s">
        <v>260</v>
      </c>
      <c r="B5" s="2001" t="s">
        <v>2435</v>
      </c>
      <c r="C5" s="2001"/>
      <c r="D5" s="2001"/>
      <c r="E5" s="2001"/>
      <c r="F5" s="1647" t="s">
        <v>2436</v>
      </c>
      <c r="G5" s="1647"/>
      <c r="H5" s="1647"/>
      <c r="I5" s="1647"/>
      <c r="J5" s="1647"/>
      <c r="K5" s="1647"/>
      <c r="L5" s="41" t="s">
        <v>245</v>
      </c>
      <c r="M5" s="41" t="s">
        <v>2437</v>
      </c>
    </row>
    <row r="6" spans="1:14" ht="42.75">
      <c r="A6" s="999" t="s">
        <v>266</v>
      </c>
      <c r="B6" s="1000" t="s">
        <v>267</v>
      </c>
      <c r="C6" s="1000" t="s">
        <v>268</v>
      </c>
      <c r="D6" s="1000" t="s">
        <v>269</v>
      </c>
      <c r="E6" s="1000" t="s">
        <v>270</v>
      </c>
      <c r="F6" s="1000" t="s">
        <v>271</v>
      </c>
      <c r="G6" s="1001" t="s">
        <v>272</v>
      </c>
      <c r="H6" s="1000" t="s">
        <v>273</v>
      </c>
      <c r="I6" s="1000" t="s">
        <v>274</v>
      </c>
      <c r="J6" s="1000" t="s">
        <v>275</v>
      </c>
      <c r="K6" s="1000" t="s">
        <v>276</v>
      </c>
      <c r="L6" s="1000" t="s">
        <v>277</v>
      </c>
      <c r="M6" s="999" t="s">
        <v>278</v>
      </c>
    </row>
    <row r="7" spans="1:14" s="977" customFormat="1" ht="36" customHeight="1">
      <c r="A7" s="365">
        <v>42309</v>
      </c>
      <c r="B7" s="360">
        <v>75</v>
      </c>
      <c r="C7" s="360">
        <v>17475</v>
      </c>
      <c r="D7" s="360">
        <f>B7</f>
        <v>75</v>
      </c>
      <c r="E7" s="360">
        <f>C7</f>
        <v>17475</v>
      </c>
      <c r="F7" s="360"/>
      <c r="G7" s="360">
        <f>C7</f>
        <v>17475</v>
      </c>
      <c r="H7" s="360"/>
      <c r="I7" s="360"/>
      <c r="J7" s="360"/>
      <c r="K7" s="360"/>
      <c r="L7" s="360">
        <f t="shared" ref="L7:L29" si="0">E7-J7</f>
        <v>17475</v>
      </c>
      <c r="M7" s="360"/>
    </row>
    <row r="8" spans="1:14" s="977" customFormat="1" ht="36" customHeight="1">
      <c r="A8" s="365">
        <v>42339</v>
      </c>
      <c r="B8" s="360">
        <v>1265.5</v>
      </c>
      <c r="C8" s="360">
        <v>336471.5</v>
      </c>
      <c r="D8" s="360">
        <f t="shared" ref="D8:D29" si="1">B8+D7</f>
        <v>1340.5</v>
      </c>
      <c r="E8" s="360">
        <f t="shared" ref="E8:E29" si="2">C8+E7</f>
        <v>353946.5</v>
      </c>
      <c r="F8" s="360"/>
      <c r="G8" s="360">
        <f>E8</f>
        <v>353946.5</v>
      </c>
      <c r="H8" s="360"/>
      <c r="I8" s="360"/>
      <c r="J8" s="360"/>
      <c r="K8" s="360">
        <f t="shared" ref="K8:K29" si="3">K7+H8-I8</f>
        <v>0</v>
      </c>
      <c r="L8" s="360">
        <f t="shared" si="0"/>
        <v>353946.5</v>
      </c>
      <c r="M8" s="360"/>
    </row>
    <row r="9" spans="1:14" s="977" customFormat="1" ht="36" customHeight="1">
      <c r="A9" s="365">
        <v>42370</v>
      </c>
      <c r="B9" s="360">
        <v>860.5</v>
      </c>
      <c r="C9" s="360">
        <v>237539</v>
      </c>
      <c r="D9" s="360">
        <f t="shared" si="1"/>
        <v>2201</v>
      </c>
      <c r="E9" s="360">
        <f t="shared" si="2"/>
        <v>591485.5</v>
      </c>
      <c r="F9" s="360"/>
      <c r="G9" s="360">
        <f>E9</f>
        <v>591485.5</v>
      </c>
      <c r="H9" s="360"/>
      <c r="I9" s="360"/>
      <c r="J9" s="360"/>
      <c r="K9" s="360">
        <f t="shared" si="3"/>
        <v>0</v>
      </c>
      <c r="L9" s="360">
        <f t="shared" si="0"/>
        <v>591485.5</v>
      </c>
      <c r="M9" s="360"/>
    </row>
    <row r="10" spans="1:14" s="977" customFormat="1" ht="36" customHeight="1">
      <c r="A10" s="365">
        <v>42401</v>
      </c>
      <c r="B10" s="360">
        <v>259</v>
      </c>
      <c r="C10" s="360">
        <v>67612</v>
      </c>
      <c r="D10" s="360">
        <f t="shared" si="1"/>
        <v>2460</v>
      </c>
      <c r="E10" s="360">
        <f t="shared" si="2"/>
        <v>659097.5</v>
      </c>
      <c r="F10" s="360"/>
      <c r="G10" s="360">
        <f>E8*0.25+C9+C10</f>
        <v>393637.625</v>
      </c>
      <c r="H10" s="360"/>
      <c r="I10" s="360"/>
      <c r="J10" s="360"/>
      <c r="K10" s="360">
        <f t="shared" si="3"/>
        <v>0</v>
      </c>
      <c r="L10" s="360">
        <f t="shared" si="0"/>
        <v>659097.5</v>
      </c>
      <c r="M10" s="360"/>
    </row>
    <row r="11" spans="1:14" s="1028" customFormat="1" ht="36" customHeight="1">
      <c r="A11" s="1030">
        <v>42430</v>
      </c>
      <c r="B11" s="385">
        <v>16715.5</v>
      </c>
      <c r="C11" s="385">
        <v>4593751.5</v>
      </c>
      <c r="D11" s="360">
        <f t="shared" si="1"/>
        <v>19175.5</v>
      </c>
      <c r="E11" s="360">
        <f t="shared" si="2"/>
        <v>5252849</v>
      </c>
      <c r="F11" s="385"/>
      <c r="G11" s="360">
        <f>E8*0.25+C9+C10</f>
        <v>393637.625</v>
      </c>
      <c r="H11" s="385">
        <f>(C7+C8)*0.75</f>
        <v>265459.875</v>
      </c>
      <c r="I11" s="385"/>
      <c r="J11" s="385"/>
      <c r="K11" s="294">
        <f t="shared" si="3"/>
        <v>265459.875</v>
      </c>
      <c r="L11" s="360">
        <f t="shared" si="0"/>
        <v>5252849</v>
      </c>
      <c r="M11" s="385"/>
    </row>
    <row r="12" spans="1:14" s="1028" customFormat="1" ht="36" customHeight="1">
      <c r="A12" s="1030">
        <v>42461</v>
      </c>
      <c r="B12" s="385">
        <v>13939.5</v>
      </c>
      <c r="C12" s="385">
        <v>3892091</v>
      </c>
      <c r="D12" s="360">
        <f t="shared" si="1"/>
        <v>33115</v>
      </c>
      <c r="E12" s="360">
        <f t="shared" si="2"/>
        <v>9144940</v>
      </c>
      <c r="F12" s="385"/>
      <c r="G12" s="360">
        <f>E10*0.25+C11+C12</f>
        <v>8650616.875</v>
      </c>
      <c r="H12" s="385">
        <v>0</v>
      </c>
      <c r="I12" s="385">
        <v>265459</v>
      </c>
      <c r="J12" s="385">
        <f>I12</f>
        <v>265459</v>
      </c>
      <c r="K12" s="294">
        <f t="shared" si="3"/>
        <v>0.875</v>
      </c>
      <c r="L12" s="360">
        <f t="shared" si="0"/>
        <v>8879481</v>
      </c>
      <c r="M12" s="385" t="s">
        <v>2438</v>
      </c>
    </row>
    <row r="13" spans="1:14" s="977" customFormat="1" ht="36" customHeight="1">
      <c r="A13" s="1030">
        <v>42491</v>
      </c>
      <c r="B13" s="360">
        <v>9540.5</v>
      </c>
      <c r="C13" s="360">
        <v>2681146.5</v>
      </c>
      <c r="D13" s="360">
        <f t="shared" si="1"/>
        <v>42655.5</v>
      </c>
      <c r="E13" s="360">
        <f t="shared" si="2"/>
        <v>11826086.5</v>
      </c>
      <c r="F13" s="360"/>
      <c r="G13" s="360">
        <f>E10*0.25+C11+C12</f>
        <v>8650616.875</v>
      </c>
      <c r="H13" s="385">
        <f>(C9+C10)*0.75</f>
        <v>228863.25</v>
      </c>
      <c r="I13" s="360">
        <v>228788</v>
      </c>
      <c r="J13" s="385">
        <f t="shared" ref="J13:J29" si="4">I13+J12</f>
        <v>494247</v>
      </c>
      <c r="K13" s="294">
        <f t="shared" si="3"/>
        <v>76.125</v>
      </c>
      <c r="L13" s="360">
        <f t="shared" si="0"/>
        <v>11331839.5</v>
      </c>
      <c r="M13" s="360" t="s">
        <v>2439</v>
      </c>
    </row>
    <row r="14" spans="1:14" s="977" customFormat="1" ht="36" customHeight="1">
      <c r="A14" s="365">
        <v>42522</v>
      </c>
      <c r="B14" s="360">
        <v>8307.5</v>
      </c>
      <c r="C14" s="360">
        <v>2269065</v>
      </c>
      <c r="D14" s="360">
        <f t="shared" si="1"/>
        <v>50963</v>
      </c>
      <c r="E14" s="360">
        <f t="shared" si="2"/>
        <v>14095151.5</v>
      </c>
      <c r="F14" s="360"/>
      <c r="G14" s="360">
        <f>E12*0.25+C13+C14</f>
        <v>7236446.5</v>
      </c>
      <c r="H14" s="385">
        <v>0</v>
      </c>
      <c r="I14" s="360">
        <v>3445310</v>
      </c>
      <c r="J14" s="385">
        <f t="shared" si="4"/>
        <v>3939557</v>
      </c>
      <c r="K14" s="294">
        <f t="shared" si="3"/>
        <v>-3445233.875</v>
      </c>
      <c r="L14" s="360">
        <f t="shared" si="0"/>
        <v>10155594.5</v>
      </c>
      <c r="M14" s="360" t="s">
        <v>2440</v>
      </c>
    </row>
    <row r="15" spans="1:14" s="977" customFormat="1" ht="36" customHeight="1">
      <c r="A15" s="365">
        <v>42552</v>
      </c>
      <c r="B15" s="360">
        <v>9462.5</v>
      </c>
      <c r="C15" s="360">
        <v>2503300</v>
      </c>
      <c r="D15" s="360">
        <f t="shared" si="1"/>
        <v>60425.5</v>
      </c>
      <c r="E15" s="360">
        <f t="shared" si="2"/>
        <v>16598451.5</v>
      </c>
      <c r="F15" s="360"/>
      <c r="G15" s="360">
        <f>E12*0.25+C14+C13+C15</f>
        <v>9739746.5</v>
      </c>
      <c r="H15" s="385">
        <f>(C11+C12)*0.75</f>
        <v>6364381.875</v>
      </c>
      <c r="I15" s="360"/>
      <c r="J15" s="385">
        <f t="shared" si="4"/>
        <v>3939557</v>
      </c>
      <c r="K15" s="294">
        <f t="shared" si="3"/>
        <v>2919148</v>
      </c>
      <c r="L15" s="360">
        <f t="shared" si="0"/>
        <v>12658894.5</v>
      </c>
      <c r="M15" s="360" t="s">
        <v>179</v>
      </c>
    </row>
    <row r="16" spans="1:14" s="977" customFormat="1" ht="36" customHeight="1">
      <c r="A16" s="365">
        <v>42583</v>
      </c>
      <c r="B16" s="360">
        <v>6920</v>
      </c>
      <c r="C16" s="360">
        <v>1805420</v>
      </c>
      <c r="D16" s="360">
        <f t="shared" si="1"/>
        <v>67345.5</v>
      </c>
      <c r="E16" s="360">
        <f t="shared" si="2"/>
        <v>18403871.5</v>
      </c>
      <c r="F16" s="360"/>
      <c r="G16" s="360">
        <f>E14*0.25+C15+C16</f>
        <v>7832507.875</v>
      </c>
      <c r="H16" s="385">
        <v>0</v>
      </c>
      <c r="I16" s="360"/>
      <c r="J16" s="385">
        <f t="shared" si="4"/>
        <v>3939557</v>
      </c>
      <c r="K16" s="294">
        <f t="shared" si="3"/>
        <v>2919148</v>
      </c>
      <c r="L16" s="360">
        <f t="shared" si="0"/>
        <v>14464314.5</v>
      </c>
      <c r="M16" s="360" t="s">
        <v>2441</v>
      </c>
    </row>
    <row r="17" spans="1:13" s="977" customFormat="1" ht="36" customHeight="1">
      <c r="A17" s="365">
        <v>42614</v>
      </c>
      <c r="B17" s="360">
        <v>2481</v>
      </c>
      <c r="C17" s="360">
        <v>639405.5</v>
      </c>
      <c r="D17" s="360">
        <f t="shared" si="1"/>
        <v>69826.5</v>
      </c>
      <c r="E17" s="360">
        <f t="shared" si="2"/>
        <v>19043277</v>
      </c>
      <c r="F17" s="360"/>
      <c r="G17" s="360">
        <f>E14*0.25+C15+C16+C17</f>
        <v>8471913.375</v>
      </c>
      <c r="H17" s="385">
        <f>(C13+C14)*0.75</f>
        <v>3712658.625</v>
      </c>
      <c r="I17" s="360">
        <v>2918940</v>
      </c>
      <c r="J17" s="385">
        <f t="shared" si="4"/>
        <v>6858497</v>
      </c>
      <c r="K17" s="294">
        <f t="shared" si="3"/>
        <v>3712866.625</v>
      </c>
      <c r="L17" s="360">
        <f t="shared" si="0"/>
        <v>12184780</v>
      </c>
      <c r="M17" s="412" t="s">
        <v>2442</v>
      </c>
    </row>
    <row r="18" spans="1:13" s="977" customFormat="1" ht="36" customHeight="1">
      <c r="A18" s="365">
        <v>42644</v>
      </c>
      <c r="B18" s="360">
        <v>267.5</v>
      </c>
      <c r="C18" s="360">
        <v>70115</v>
      </c>
      <c r="D18" s="360">
        <f t="shared" si="1"/>
        <v>70094</v>
      </c>
      <c r="E18" s="360">
        <f t="shared" si="2"/>
        <v>19113392</v>
      </c>
      <c r="F18" s="360"/>
      <c r="G18" s="360">
        <f>E16*0.25+C17+C18</f>
        <v>5310488.375</v>
      </c>
      <c r="H18" s="385">
        <v>0</v>
      </c>
      <c r="I18" s="360">
        <f>2011360+1701720</f>
        <v>3713080</v>
      </c>
      <c r="J18" s="385">
        <f t="shared" si="4"/>
        <v>10571577</v>
      </c>
      <c r="K18" s="294">
        <f t="shared" si="3"/>
        <v>-213.375</v>
      </c>
      <c r="L18" s="360">
        <f t="shared" si="0"/>
        <v>8541815</v>
      </c>
      <c r="M18" s="360"/>
    </row>
    <row r="19" spans="1:13" s="977" customFormat="1" ht="36" customHeight="1">
      <c r="A19" s="365">
        <v>42675</v>
      </c>
      <c r="B19" s="360">
        <v>414.5</v>
      </c>
      <c r="C19" s="360">
        <v>110596</v>
      </c>
      <c r="D19" s="360">
        <f t="shared" si="1"/>
        <v>70508.5</v>
      </c>
      <c r="E19" s="360">
        <f t="shared" si="2"/>
        <v>19223988</v>
      </c>
      <c r="F19" s="360"/>
      <c r="G19" s="360">
        <f>E16*0.25+C18+C19+C17</f>
        <v>5421084.375</v>
      </c>
      <c r="H19" s="385">
        <f>(C15+C16)*0.75</f>
        <v>3231540</v>
      </c>
      <c r="I19" s="360"/>
      <c r="J19" s="385">
        <f t="shared" si="4"/>
        <v>10571577</v>
      </c>
      <c r="K19" s="294">
        <f t="shared" si="3"/>
        <v>3231326.625</v>
      </c>
      <c r="L19" s="360">
        <f t="shared" si="0"/>
        <v>8652411</v>
      </c>
      <c r="M19" s="360" t="s">
        <v>2443</v>
      </c>
    </row>
    <row r="20" spans="1:13" s="977" customFormat="1" ht="36" customHeight="1">
      <c r="A20" s="365">
        <v>42705</v>
      </c>
      <c r="B20" s="360">
        <v>1243</v>
      </c>
      <c r="C20" s="360">
        <v>329414</v>
      </c>
      <c r="D20" s="360">
        <f t="shared" si="1"/>
        <v>71751.5</v>
      </c>
      <c r="E20" s="360">
        <f t="shared" si="2"/>
        <v>19553402</v>
      </c>
      <c r="F20" s="360"/>
      <c r="G20" s="360">
        <f>E18*0.25+C19+C20</f>
        <v>5218358</v>
      </c>
      <c r="H20" s="385">
        <v>0</v>
      </c>
      <c r="I20" s="360">
        <v>1877400</v>
      </c>
      <c r="J20" s="385">
        <f t="shared" si="4"/>
        <v>12448977</v>
      </c>
      <c r="K20" s="294">
        <f t="shared" si="3"/>
        <v>1353926.625</v>
      </c>
      <c r="L20" s="360">
        <f t="shared" si="0"/>
        <v>7104425</v>
      </c>
      <c r="M20" s="360" t="s">
        <v>2444</v>
      </c>
    </row>
    <row r="21" spans="1:13" s="977" customFormat="1" ht="36" customHeight="1">
      <c r="A21" s="365">
        <v>42736</v>
      </c>
      <c r="B21" s="360">
        <v>1005.5</v>
      </c>
      <c r="C21" s="360">
        <v>269284</v>
      </c>
      <c r="D21" s="360">
        <f t="shared" si="1"/>
        <v>72757</v>
      </c>
      <c r="E21" s="360">
        <f t="shared" si="2"/>
        <v>19822686</v>
      </c>
      <c r="F21" s="360"/>
      <c r="G21" s="360">
        <f>E18*0.25+C19+C20+C21</f>
        <v>5487642</v>
      </c>
      <c r="H21" s="385">
        <f>(C17+C18)*0.75</f>
        <v>532140.375</v>
      </c>
      <c r="I21" s="360">
        <v>1968670</v>
      </c>
      <c r="J21" s="385">
        <f t="shared" si="4"/>
        <v>14417647</v>
      </c>
      <c r="K21" s="294">
        <f t="shared" si="3"/>
        <v>-82603</v>
      </c>
      <c r="L21" s="360">
        <f t="shared" si="0"/>
        <v>5405039</v>
      </c>
      <c r="M21" s="360" t="s">
        <v>2445</v>
      </c>
    </row>
    <row r="22" spans="1:13" s="977" customFormat="1" ht="36" customHeight="1">
      <c r="A22" s="365">
        <v>42767</v>
      </c>
      <c r="B22" s="360">
        <v>183</v>
      </c>
      <c r="C22" s="360">
        <v>49154</v>
      </c>
      <c r="D22" s="360">
        <f t="shared" si="1"/>
        <v>72940</v>
      </c>
      <c r="E22" s="360">
        <f t="shared" si="2"/>
        <v>19871840</v>
      </c>
      <c r="F22" s="360"/>
      <c r="G22" s="360">
        <f>E20*0.25+C21+C22</f>
        <v>5206788.5</v>
      </c>
      <c r="H22" s="385">
        <v>0</v>
      </c>
      <c r="I22" s="360"/>
      <c r="J22" s="385">
        <f t="shared" si="4"/>
        <v>14417647</v>
      </c>
      <c r="K22" s="294">
        <f t="shared" si="3"/>
        <v>-82603</v>
      </c>
      <c r="L22" s="360">
        <f t="shared" si="0"/>
        <v>5454193</v>
      </c>
      <c r="M22" s="360"/>
    </row>
    <row r="23" spans="1:13" s="977" customFormat="1" ht="36" customHeight="1">
      <c r="A23" s="365">
        <v>42795</v>
      </c>
      <c r="B23" s="360">
        <v>279</v>
      </c>
      <c r="C23" s="360">
        <v>71807</v>
      </c>
      <c r="D23" s="360">
        <f t="shared" si="1"/>
        <v>73219</v>
      </c>
      <c r="E23" s="360">
        <f t="shared" si="2"/>
        <v>19943647</v>
      </c>
      <c r="F23" s="360"/>
      <c r="G23" s="360">
        <f>E20*0.25+C21+C22+C23</f>
        <v>5278595.5</v>
      </c>
      <c r="H23" s="385">
        <f>(C20+C19)*0.75</f>
        <v>330007.5</v>
      </c>
      <c r="I23" s="360"/>
      <c r="J23" s="385">
        <f t="shared" si="4"/>
        <v>14417647</v>
      </c>
      <c r="K23" s="294">
        <f t="shared" si="3"/>
        <v>247404.5</v>
      </c>
      <c r="L23" s="360">
        <f t="shared" si="0"/>
        <v>5526000</v>
      </c>
      <c r="M23" s="360"/>
    </row>
    <row r="24" spans="1:13" s="977" customFormat="1" ht="36" customHeight="1">
      <c r="A24" s="365">
        <v>42826</v>
      </c>
      <c r="B24" s="360">
        <v>36</v>
      </c>
      <c r="C24" s="360">
        <v>9533</v>
      </c>
      <c r="D24" s="360">
        <f t="shared" si="1"/>
        <v>73255</v>
      </c>
      <c r="E24" s="360">
        <f t="shared" si="2"/>
        <v>19953180</v>
      </c>
      <c r="F24" s="360"/>
      <c r="G24" s="360"/>
      <c r="H24" s="385">
        <v>0</v>
      </c>
      <c r="I24" s="360"/>
      <c r="J24" s="385">
        <f t="shared" si="4"/>
        <v>14417647</v>
      </c>
      <c r="K24" s="294">
        <f t="shared" si="3"/>
        <v>247404.5</v>
      </c>
      <c r="L24" s="360">
        <f t="shared" si="0"/>
        <v>5535533</v>
      </c>
      <c r="M24" s="421" t="s">
        <v>2446</v>
      </c>
    </row>
    <row r="25" spans="1:13" s="977" customFormat="1" ht="36" customHeight="1">
      <c r="A25" s="365" t="s">
        <v>1760</v>
      </c>
      <c r="B25" s="360"/>
      <c r="C25" s="360">
        <v>28000</v>
      </c>
      <c r="D25" s="360">
        <f t="shared" si="1"/>
        <v>73255</v>
      </c>
      <c r="E25" s="360">
        <f t="shared" si="2"/>
        <v>19981180</v>
      </c>
      <c r="F25" s="360"/>
      <c r="G25" s="360"/>
      <c r="H25" s="385">
        <f>C25</f>
        <v>28000</v>
      </c>
      <c r="I25" s="360"/>
      <c r="J25" s="385">
        <f t="shared" si="4"/>
        <v>14417647</v>
      </c>
      <c r="K25" s="294">
        <f t="shared" si="3"/>
        <v>275404.5</v>
      </c>
      <c r="L25" s="360">
        <f t="shared" si="0"/>
        <v>5563533</v>
      </c>
      <c r="M25" s="360"/>
    </row>
    <row r="26" spans="1:13" s="977" customFormat="1" ht="51" customHeight="1">
      <c r="A26" s="405" t="s">
        <v>2447</v>
      </c>
      <c r="B26" s="360"/>
      <c r="C26" s="360">
        <v>106016.01</v>
      </c>
      <c r="D26" s="360">
        <f t="shared" si="1"/>
        <v>73255</v>
      </c>
      <c r="E26" s="360">
        <f t="shared" si="2"/>
        <v>20087196.010000002</v>
      </c>
      <c r="F26" s="360"/>
      <c r="G26" s="360">
        <f>E22*0.25+C23+C24</f>
        <v>5049300</v>
      </c>
      <c r="H26" s="385">
        <f>C26</f>
        <v>106016.01</v>
      </c>
      <c r="I26" s="360">
        <v>3000000</v>
      </c>
      <c r="J26" s="385">
        <f t="shared" si="4"/>
        <v>17417647</v>
      </c>
      <c r="K26" s="294">
        <f t="shared" si="3"/>
        <v>-2618579.4900000002</v>
      </c>
      <c r="L26" s="360">
        <f t="shared" si="0"/>
        <v>2669549.0100000016</v>
      </c>
      <c r="M26" s="360"/>
    </row>
    <row r="27" spans="1:13" s="977" customFormat="1" ht="36" customHeight="1">
      <c r="A27" s="365">
        <v>42856</v>
      </c>
      <c r="B27" s="360">
        <v>42</v>
      </c>
      <c r="C27" s="360">
        <v>11256</v>
      </c>
      <c r="D27" s="360">
        <f t="shared" si="1"/>
        <v>73297</v>
      </c>
      <c r="E27" s="360">
        <f t="shared" si="2"/>
        <v>20098452.010000002</v>
      </c>
      <c r="F27" s="360"/>
      <c r="G27" s="360">
        <f>E22*0.25+C23+C24+C27</f>
        <v>5060556</v>
      </c>
      <c r="H27" s="360">
        <f>(C21+C22)*0.75</f>
        <v>238828.5</v>
      </c>
      <c r="I27" s="360">
        <v>700000</v>
      </c>
      <c r="J27" s="385">
        <f t="shared" si="4"/>
        <v>18117647</v>
      </c>
      <c r="K27" s="294">
        <f t="shared" si="3"/>
        <v>-3079750.99</v>
      </c>
      <c r="L27" s="360">
        <f t="shared" si="0"/>
        <v>1980805.0100000016</v>
      </c>
      <c r="M27" s="360" t="s">
        <v>2448</v>
      </c>
    </row>
    <row r="28" spans="1:13" s="977" customFormat="1" ht="36" customHeight="1">
      <c r="A28" s="365">
        <v>42917</v>
      </c>
      <c r="B28" s="385">
        <v>11</v>
      </c>
      <c r="C28" s="385">
        <v>2728</v>
      </c>
      <c r="D28" s="360">
        <f t="shared" si="1"/>
        <v>73308</v>
      </c>
      <c r="E28" s="360">
        <f t="shared" si="2"/>
        <v>20101180.010000002</v>
      </c>
      <c r="F28" s="385"/>
      <c r="G28" s="385">
        <f>E24*0.25+C27+C28</f>
        <v>5002279</v>
      </c>
      <c r="H28" s="385">
        <v>0</v>
      </c>
      <c r="I28" s="385"/>
      <c r="J28" s="385">
        <f t="shared" si="4"/>
        <v>18117647</v>
      </c>
      <c r="K28" s="294">
        <f t="shared" si="3"/>
        <v>-3079750.99</v>
      </c>
      <c r="L28" s="360">
        <f t="shared" si="0"/>
        <v>1983533.0100000016</v>
      </c>
      <c r="M28" s="385"/>
    </row>
    <row r="29" spans="1:13" s="977" customFormat="1" ht="36" customHeight="1">
      <c r="A29" s="365" t="s">
        <v>2449</v>
      </c>
      <c r="B29" s="385"/>
      <c r="C29" s="385">
        <v>14736.28</v>
      </c>
      <c r="D29" s="360">
        <f t="shared" si="1"/>
        <v>73308</v>
      </c>
      <c r="E29" s="360">
        <f t="shared" si="2"/>
        <v>20115916.290000003</v>
      </c>
      <c r="F29" s="385"/>
      <c r="G29" s="385"/>
      <c r="H29" s="385">
        <f>(C23+C24)*0.75</f>
        <v>61005</v>
      </c>
      <c r="I29" s="385">
        <f>1957968+301</f>
        <v>1958269</v>
      </c>
      <c r="J29" s="385">
        <f t="shared" si="4"/>
        <v>20075916</v>
      </c>
      <c r="K29" s="294">
        <f t="shared" si="3"/>
        <v>-4977014.99</v>
      </c>
      <c r="L29" s="360">
        <f t="shared" si="0"/>
        <v>40000.290000002831</v>
      </c>
      <c r="M29" s="385" t="s">
        <v>2450</v>
      </c>
    </row>
    <row r="30" spans="1:13" s="977" customFormat="1" ht="36" customHeight="1">
      <c r="A30" s="365">
        <v>42979</v>
      </c>
      <c r="B30" s="1618"/>
      <c r="C30" s="385">
        <v>14736.28</v>
      </c>
      <c r="D30" s="360">
        <v>73308</v>
      </c>
      <c r="E30" s="360">
        <v>20115916.290000003</v>
      </c>
      <c r="F30" s="385"/>
      <c r="G30" s="385"/>
      <c r="H30" s="385">
        <v>61005</v>
      </c>
      <c r="I30" s="385">
        <v>1958269</v>
      </c>
      <c r="J30" s="385">
        <v>20075916</v>
      </c>
      <c r="K30" s="385">
        <v>-4977014.99</v>
      </c>
      <c r="L30" s="385">
        <v>40000.290000002831</v>
      </c>
      <c r="M30" s="385" t="s">
        <v>2450</v>
      </c>
    </row>
    <row r="31" spans="1:13" s="977" customFormat="1" ht="36" customHeight="1">
      <c r="A31" s="365"/>
      <c r="B31" s="385"/>
      <c r="C31" s="385"/>
      <c r="D31" s="385"/>
      <c r="E31" s="385"/>
      <c r="F31" s="385"/>
      <c r="G31" s="385"/>
      <c r="H31" s="385"/>
      <c r="I31" s="385"/>
      <c r="J31" s="385"/>
      <c r="K31" s="385"/>
      <c r="L31" s="385"/>
      <c r="M31" s="385"/>
    </row>
    <row r="32" spans="1:13" s="977" customFormat="1" ht="36" customHeight="1">
      <c r="A32" s="365"/>
      <c r="B32" s="385"/>
      <c r="C32" s="385"/>
      <c r="D32" s="385"/>
      <c r="E32" s="385"/>
      <c r="F32" s="385"/>
      <c r="G32" s="385"/>
      <c r="H32" s="385"/>
      <c r="I32" s="385"/>
      <c r="J32" s="385"/>
      <c r="K32" s="385"/>
      <c r="L32" s="385"/>
      <c r="M32" s="385"/>
    </row>
    <row r="33" ht="36" customHeight="1"/>
  </sheetData>
  <mergeCells count="12">
    <mergeCell ref="B3:C3"/>
    <mergeCell ref="J3:M3"/>
    <mergeCell ref="B4:D4"/>
    <mergeCell ref="F4:H4"/>
    <mergeCell ref="B5:E5"/>
    <mergeCell ref="F5:K5"/>
    <mergeCell ref="I1:I2"/>
    <mergeCell ref="M1:M2"/>
    <mergeCell ref="J1:L2"/>
    <mergeCell ref="C1:D1"/>
    <mergeCell ref="B2:C2"/>
    <mergeCell ref="E2:F2"/>
  </mergeCells>
  <phoneticPr fontId="84" type="noConversion"/>
  <pageMargins left="0.75" right="0.75" top="1" bottom="1" header="0.51" footer="0.51"/>
  <pageSetup paperSize="9" orientation="portrait" verticalDpi="200"/>
  <headerFooter scaleWithDoc="0" alignWithMargins="0"/>
  <legacyDrawing r:id="rId1"/>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工作表</vt:lpstr>
      </vt:variant>
      <vt:variant>
        <vt:i4>216</vt:i4>
      </vt:variant>
      <vt:variant>
        <vt:lpstr>命名范围</vt:lpstr>
      </vt:variant>
      <vt:variant>
        <vt:i4>2</vt:i4>
      </vt:variant>
    </vt:vector>
  </HeadingPairs>
  <TitlesOfParts>
    <vt:vector size="218" baseType="lpstr">
      <vt:lpstr>总 </vt:lpstr>
      <vt:lpstr>Sheet1</vt:lpstr>
      <vt:lpstr>广新品牌</vt:lpstr>
      <vt:lpstr>画院</vt:lpstr>
      <vt:lpstr>1015工程项目</vt:lpstr>
      <vt:lpstr>广佛线</vt:lpstr>
      <vt:lpstr>花地河治理</vt:lpstr>
      <vt:lpstr>商业楼主体项目</vt:lpstr>
      <vt:lpstr>商业楼主体项目 (长兴)</vt:lpstr>
      <vt:lpstr>会展中心-商学院</vt:lpstr>
      <vt:lpstr>荔港南湾</vt:lpstr>
      <vt:lpstr>合鸿达大厦</vt:lpstr>
      <vt:lpstr>金沙洲</vt:lpstr>
      <vt:lpstr>大坦沙</vt:lpstr>
      <vt:lpstr>猎德、西朗</vt:lpstr>
      <vt:lpstr>广钢新城</vt:lpstr>
      <vt:lpstr>广钢新城 (2期)</vt:lpstr>
      <vt:lpstr>广钢振业城</vt:lpstr>
      <vt:lpstr>复星南方总部</vt:lpstr>
      <vt:lpstr>复星南方总部 (长兴)</vt:lpstr>
      <vt:lpstr>广商中心</vt:lpstr>
      <vt:lpstr>亚运城</vt:lpstr>
      <vt:lpstr>人和保障性住房（三个标段）</vt:lpstr>
      <vt:lpstr>华盛大学城</vt:lpstr>
      <vt:lpstr>五眼桥</vt:lpstr>
      <vt:lpstr>富林</vt:lpstr>
      <vt:lpstr>武警BC栋</vt:lpstr>
      <vt:lpstr>金沙洲B37E02</vt:lpstr>
      <vt:lpstr>数字家庭</vt:lpstr>
      <vt:lpstr>珠岛花园</vt:lpstr>
      <vt:lpstr>百信广场</vt:lpstr>
      <vt:lpstr>赫基国际大厦</vt:lpstr>
      <vt:lpstr>贵州武警公寓楼</vt:lpstr>
      <vt:lpstr>瑞华武警公寓楼房</vt:lpstr>
      <vt:lpstr>星港国际</vt:lpstr>
      <vt:lpstr>石井污水</vt:lpstr>
      <vt:lpstr>菠萝山二标（标段四）</vt:lpstr>
      <vt:lpstr>污水处理系统管网</vt:lpstr>
      <vt:lpstr>黄埔八标</vt:lpstr>
      <vt:lpstr>奥园国际中心</vt:lpstr>
      <vt:lpstr>钟落潭校区</vt:lpstr>
      <vt:lpstr>大坦沙污水处理</vt:lpstr>
      <vt:lpstr>石井-环西</vt:lpstr>
      <vt:lpstr>云产业园</vt:lpstr>
      <vt:lpstr>东沙大道</vt:lpstr>
      <vt:lpstr>下西关涌</vt:lpstr>
      <vt:lpstr>电白 艺术博物馆</vt:lpstr>
      <vt:lpstr>红棉一标、六标大道</vt:lpstr>
      <vt:lpstr>沥滘马涌</vt:lpstr>
      <vt:lpstr>黄埔东延线七标</vt:lpstr>
      <vt:lpstr>菠萝山三标（南区）</vt:lpstr>
      <vt:lpstr>龙苑城</vt:lpstr>
      <vt:lpstr>南方钢厂</vt:lpstr>
      <vt:lpstr>南方钢厂标段四</vt:lpstr>
      <vt:lpstr>新华污水</vt:lpstr>
      <vt:lpstr>第八医院</vt:lpstr>
      <vt:lpstr>琶洲A区</vt:lpstr>
      <vt:lpstr>动物园工程</vt:lpstr>
      <vt:lpstr>上诚万科新隆沙</vt:lpstr>
      <vt:lpstr>芳村高尔夫地块</vt:lpstr>
      <vt:lpstr>太和镇医院</vt:lpstr>
      <vt:lpstr>新广从路二标</vt:lpstr>
      <vt:lpstr>天宸原著</vt:lpstr>
      <vt:lpstr>中国人民军</vt:lpstr>
      <vt:lpstr>科学城香山路道路</vt:lpstr>
      <vt:lpstr>小谷围大学城二标</vt:lpstr>
      <vt:lpstr>小谷围大学城一标</vt:lpstr>
      <vt:lpstr>小谷围大学城三标</vt:lpstr>
      <vt:lpstr>第一中学</vt:lpstr>
      <vt:lpstr>小东景</vt:lpstr>
      <vt:lpstr>菠萝山</vt:lpstr>
      <vt:lpstr>石榴岗</vt:lpstr>
      <vt:lpstr>科研办公楼</vt:lpstr>
      <vt:lpstr>科研办公楼 (恒盛)</vt:lpstr>
      <vt:lpstr>白云机场商务航空</vt:lpstr>
      <vt:lpstr>医药研究</vt:lpstr>
      <vt:lpstr>天河干休所</vt:lpstr>
      <vt:lpstr>执信中学</vt:lpstr>
      <vt:lpstr>真光中学</vt:lpstr>
      <vt:lpstr>海珠生态城1标</vt:lpstr>
      <vt:lpstr>海珠生态城2标</vt:lpstr>
      <vt:lpstr>生物岛</vt:lpstr>
      <vt:lpstr>上城南站</vt:lpstr>
      <vt:lpstr>花地河</vt:lpstr>
      <vt:lpstr>一江两岸</vt:lpstr>
      <vt:lpstr>美术馆</vt:lpstr>
      <vt:lpstr>呼吸中心</vt:lpstr>
      <vt:lpstr>逸彩中心</vt:lpstr>
      <vt:lpstr>江高镇</vt:lpstr>
      <vt:lpstr>白云嘉禾火车南站</vt:lpstr>
      <vt:lpstr>脑科医院</vt:lpstr>
      <vt:lpstr>保瑞抗癌</vt:lpstr>
      <vt:lpstr>保利琶洲</vt:lpstr>
      <vt:lpstr>石湖停车场</vt:lpstr>
      <vt:lpstr>坑口</vt:lpstr>
      <vt:lpstr>番禺 天骄时代</vt:lpstr>
      <vt:lpstr>雅瑶</vt:lpstr>
      <vt:lpstr>水博苑</vt:lpstr>
      <vt:lpstr>中海广钢幼儿园</vt:lpstr>
      <vt:lpstr>南通广钢</vt:lpstr>
      <vt:lpstr>中太广钢</vt:lpstr>
      <vt:lpstr>恒辉广钢</vt:lpstr>
      <vt:lpstr>红云涂料厂</vt:lpstr>
      <vt:lpstr>东新高速公路</vt:lpstr>
      <vt:lpstr>鸣翠花园</vt:lpstr>
      <vt:lpstr>广铝、远大总部经济大厦</vt:lpstr>
      <vt:lpstr>广纸地块项目</vt:lpstr>
      <vt:lpstr>中诚广钢</vt:lpstr>
      <vt:lpstr>唯品会</vt:lpstr>
      <vt:lpstr>星河湾</vt:lpstr>
      <vt:lpstr>芳村唯品会</vt:lpstr>
      <vt:lpstr>芳村唯品会主体</vt:lpstr>
      <vt:lpstr>江海大厦</vt:lpstr>
      <vt:lpstr>保利广钢</vt:lpstr>
      <vt:lpstr>广钢 0809</vt:lpstr>
      <vt:lpstr>110KV番禺新城</vt:lpstr>
      <vt:lpstr>百花香料厂</vt:lpstr>
      <vt:lpstr>猎德</vt:lpstr>
      <vt:lpstr>华发中央公园</vt:lpstr>
      <vt:lpstr>二沙岛</vt:lpstr>
      <vt:lpstr>省人民医院</vt:lpstr>
      <vt:lpstr>大塘商业中心</vt:lpstr>
      <vt:lpstr>茂达天骄时代</vt:lpstr>
      <vt:lpstr>哥弟总部</vt:lpstr>
      <vt:lpstr>涛景国际 </vt:lpstr>
      <vt:lpstr>南方医院</vt:lpstr>
      <vt:lpstr>侨建 大厦</vt:lpstr>
      <vt:lpstr>盛邦大厦</vt:lpstr>
      <vt:lpstr>海航酒店</vt:lpstr>
      <vt:lpstr>海航酒店 (2期)</vt:lpstr>
      <vt:lpstr>金融城</vt:lpstr>
      <vt:lpstr>慧源山庄</vt:lpstr>
      <vt:lpstr>时代天骄广场</vt:lpstr>
      <vt:lpstr>中岱国际品牌广场</vt:lpstr>
      <vt:lpstr>科技楼</vt:lpstr>
      <vt:lpstr>芳村高尔夫</vt:lpstr>
      <vt:lpstr>变电站及输电监测中心</vt:lpstr>
      <vt:lpstr>冼村</vt:lpstr>
      <vt:lpstr>科大讯飞</vt:lpstr>
      <vt:lpstr>冰交易市场</vt:lpstr>
      <vt:lpstr>云城花海</vt:lpstr>
      <vt:lpstr>华南理工大学</vt:lpstr>
      <vt:lpstr>航空护林</vt:lpstr>
      <vt:lpstr>红十字会</vt:lpstr>
      <vt:lpstr>杨箕村</vt:lpstr>
      <vt:lpstr>杨箕村D栋</vt:lpstr>
      <vt:lpstr>富力海珠城</vt:lpstr>
      <vt:lpstr>天力金沙洲保障房</vt:lpstr>
      <vt:lpstr>金沙洲商业用房</vt:lpstr>
      <vt:lpstr>金沙洲公建五栋</vt:lpstr>
      <vt:lpstr>中煤金沙洲保障房桩部位</vt:lpstr>
      <vt:lpstr>金沙洲保障性住房</vt:lpstr>
      <vt:lpstr>南方钢厂二期二标</vt:lpstr>
      <vt:lpstr>中建三局杨箕村</vt:lpstr>
      <vt:lpstr>广发证券</vt:lpstr>
      <vt:lpstr>小新塘</vt:lpstr>
      <vt:lpstr>小新塘 主体</vt:lpstr>
      <vt:lpstr>碧讯幼儿园</vt:lpstr>
      <vt:lpstr>中慧睿元</vt:lpstr>
      <vt:lpstr>笔村项目</vt:lpstr>
      <vt:lpstr>解放军深圳旭生</vt:lpstr>
      <vt:lpstr>大学城足球训练基地</vt:lpstr>
      <vt:lpstr>广钢新城开拓</vt:lpstr>
      <vt:lpstr>生物岛二地块</vt:lpstr>
      <vt:lpstr>西郊村</vt:lpstr>
      <vt:lpstr>220千伏隧道</vt:lpstr>
      <vt:lpstr>保利M1S2 </vt:lpstr>
      <vt:lpstr>大洲车辆段</vt:lpstr>
      <vt:lpstr>大洲车辆段施工2标</vt:lpstr>
      <vt:lpstr>龙门苑</vt:lpstr>
      <vt:lpstr>兴业国际仓储</vt:lpstr>
      <vt:lpstr>合祥供电项目</vt:lpstr>
      <vt:lpstr>超级计算中心基坑</vt:lpstr>
      <vt:lpstr>超算中心总工程</vt:lpstr>
      <vt:lpstr>国际金融城</vt:lpstr>
      <vt:lpstr>中山大学球场</vt:lpstr>
      <vt:lpstr>农垦科技中心</vt:lpstr>
      <vt:lpstr>佛教文化</vt:lpstr>
      <vt:lpstr>南洲路</vt:lpstr>
      <vt:lpstr>中山大学</vt:lpstr>
      <vt:lpstr>南方航空</vt:lpstr>
      <vt:lpstr>广州大桥</vt:lpstr>
      <vt:lpstr>正升东圃项目</vt:lpstr>
      <vt:lpstr>正升东圃项目 (三期)</vt:lpstr>
      <vt:lpstr>华发广钢新城</vt:lpstr>
      <vt:lpstr>白云国际机场第三跑道</vt:lpstr>
      <vt:lpstr>白云国际机场东区西地块</vt:lpstr>
      <vt:lpstr>第二高速公路</vt:lpstr>
      <vt:lpstr>珠三角广佛线</vt:lpstr>
      <vt:lpstr>侨建大厦</vt:lpstr>
      <vt:lpstr>联合交易园</vt:lpstr>
      <vt:lpstr>菠萝山二标</vt:lpstr>
      <vt:lpstr>金沙洲地块</vt:lpstr>
      <vt:lpstr>新墟村复建</vt:lpstr>
      <vt:lpstr>东圃公交改造工程</vt:lpstr>
      <vt:lpstr>名车博览会</vt:lpstr>
      <vt:lpstr>中三保利广钢新城</vt:lpstr>
      <vt:lpstr>中建三中海广钢</vt:lpstr>
      <vt:lpstr>中交集团南方总部</vt:lpstr>
      <vt:lpstr>国际港航</vt:lpstr>
      <vt:lpstr>出入境边防</vt:lpstr>
      <vt:lpstr>大塘小区</vt:lpstr>
      <vt:lpstr>花都都湖</vt:lpstr>
      <vt:lpstr>小米科技</vt:lpstr>
      <vt:lpstr>恒基中心</vt:lpstr>
      <vt:lpstr>泰康商住楼</vt:lpstr>
      <vt:lpstr>保利广钢0809</vt:lpstr>
      <vt:lpstr>北亭大社涌</vt:lpstr>
      <vt:lpstr>南亭大社涌</vt:lpstr>
      <vt:lpstr>迎宾大道</vt:lpstr>
      <vt:lpstr>医药港</vt:lpstr>
      <vt:lpstr>国光智能电子</vt:lpstr>
      <vt:lpstr>国光智能电子 (泵车费)</vt:lpstr>
      <vt:lpstr>山河广钢</vt:lpstr>
      <vt:lpstr>范围强</vt:lpstr>
      <vt:lpstr>起诉工地</vt:lpstr>
      <vt:lpstr>富力海珠城!Print_Area</vt:lpstr>
      <vt:lpstr>'人和保障性住房（三个标段）'!Print_Area</vt:lpstr>
    </vt:vector>
  </TitlesOfParts>
  <Manager/>
  <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yaoxiang xu</cp:lastModifiedBy>
  <cp:revision>1</cp:revision>
  <cp:lastPrinted>2015-07-06T12:02:06Z</cp:lastPrinted>
  <dcterms:created xsi:type="dcterms:W3CDTF">2015-02-09T08:04:55Z</dcterms:created>
  <dcterms:modified xsi:type="dcterms:W3CDTF">2017-10-21T08:05:34Z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y fmtid="{D5CDD505-2E9C-101B-9397-08002B2CF9AE}" pid="3" name="KSOReadingLayout">
    <vt:bool>false</vt:bool>
  </property>
</Properties>
</file>