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vaigunthan_puvanenthiram_aalto_fi/Documents/SSIs Course/Semester USN/MEMS Design/Design Project/Reference Sources/Accelerometer Design Paramaters and Analysis/"/>
    </mc:Choice>
  </mc:AlternateContent>
  <xr:revisionPtr revIDLastSave="1157" documentId="11_F25DC773A252ABDACC10486089DA71325BDE58E7" xr6:coauthVersionLast="47" xr6:coauthVersionMax="47" xr10:uidLastSave="{FE0DC84F-DDCB-4CFE-BFAC-FE1A9B4D5CB9}"/>
  <bookViews>
    <workbookView xWindow="-108" yWindow="-108" windowWidth="23256" windowHeight="12456" firstSheet="1" xr2:uid="{00000000-000D-0000-FFFF-FFFF00000000}"/>
  </bookViews>
  <sheets>
    <sheet name="Calculations - SpringReDesigned" sheetId="3" r:id="rId1"/>
    <sheet name="Slide Damp Coefficien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B66" i="3"/>
  <c r="I38" i="4"/>
  <c r="B26" i="3"/>
  <c r="H12" i="3"/>
  <c r="B20" i="3"/>
  <c r="G77" i="3"/>
  <c r="J84" i="3"/>
  <c r="J83" i="3"/>
  <c r="B35" i="3"/>
  <c r="J85" i="3"/>
  <c r="J86" i="3" s="1"/>
  <c r="J81" i="3"/>
  <c r="G85" i="3"/>
  <c r="I34" i="4"/>
  <c r="I32" i="4"/>
  <c r="I31" i="4"/>
  <c r="H8" i="4"/>
  <c r="I29" i="4"/>
  <c r="I33" i="4" s="1"/>
  <c r="I27" i="4"/>
  <c r="I26" i="4"/>
  <c r="I25" i="4"/>
  <c r="B58" i="4"/>
  <c r="B32" i="4"/>
  <c r="B26" i="4"/>
  <c r="B20" i="4"/>
  <c r="H17" i="4"/>
  <c r="H15" i="4"/>
  <c r="H14" i="4"/>
  <c r="H12" i="4"/>
  <c r="H4" i="4"/>
  <c r="B22" i="4" s="1"/>
  <c r="B58" i="3"/>
  <c r="B32" i="3"/>
  <c r="H17" i="3"/>
  <c r="H15" i="3"/>
  <c r="H14" i="3"/>
  <c r="H4" i="3"/>
  <c r="B22" i="3" l="1"/>
  <c r="G76" i="3"/>
  <c r="I101" i="3"/>
  <c r="I96" i="3" s="1"/>
  <c r="B56" i="3" s="1"/>
  <c r="G87" i="3"/>
  <c r="G88" i="3" s="1"/>
  <c r="G94" i="3"/>
  <c r="G92" i="3"/>
  <c r="I37" i="4"/>
  <c r="I36" i="4"/>
  <c r="B30" i="4"/>
  <c r="B28" i="4"/>
  <c r="F21" i="4"/>
  <c r="B51" i="4"/>
  <c r="B45" i="4"/>
  <c r="B41" i="4"/>
  <c r="B39" i="4"/>
  <c r="B35" i="4"/>
  <c r="B47" i="4"/>
  <c r="B24" i="4"/>
  <c r="B61" i="4"/>
  <c r="B60" i="4"/>
  <c r="B59" i="4"/>
  <c r="B30" i="3"/>
  <c r="B31" i="3" s="1"/>
  <c r="B51" i="3"/>
  <c r="B45" i="3"/>
  <c r="B41" i="3"/>
  <c r="B39" i="3"/>
  <c r="B47" i="3"/>
  <c r="B24" i="3"/>
  <c r="B61" i="3"/>
  <c r="B60" i="3"/>
  <c r="B59" i="3"/>
  <c r="J88" i="3" l="1"/>
  <c r="L84" i="3"/>
  <c r="J92" i="3" s="1"/>
  <c r="B28" i="3"/>
  <c r="F21" i="3"/>
  <c r="F22" i="3" s="1"/>
  <c r="B62" i="4"/>
  <c r="B63" i="4" s="1"/>
  <c r="B43" i="4"/>
  <c r="D42" i="4"/>
  <c r="F20" i="4"/>
  <c r="F23" i="3"/>
  <c r="B48" i="3"/>
  <c r="B62" i="3"/>
  <c r="B63" i="3" s="1"/>
  <c r="B43" i="3"/>
  <c r="F23" i="4" l="1"/>
  <c r="F22" i="4"/>
  <c r="B48" i="4" s="1"/>
</calcChain>
</file>

<file path=xl/sharedStrings.xml><?xml version="1.0" encoding="utf-8"?>
<sst xmlns="http://schemas.openxmlformats.org/spreadsheetml/2006/main" count="445" uniqueCount="217">
  <si>
    <t>Parameter</t>
  </si>
  <si>
    <t>Symbol</t>
  </si>
  <si>
    <t>Value</t>
  </si>
  <si>
    <t>Unit</t>
  </si>
  <si>
    <t xml:space="preserve">Secondary Parameters </t>
  </si>
  <si>
    <t>Spring Length</t>
  </si>
  <si>
    <t>Lb</t>
  </si>
  <si>
    <t>m</t>
  </si>
  <si>
    <t>Number of Holes</t>
  </si>
  <si>
    <t>n</t>
  </si>
  <si>
    <t xml:space="preserve"> NA</t>
  </si>
  <si>
    <t>Spring Width</t>
  </si>
  <si>
    <t>Wb</t>
  </si>
  <si>
    <t>Size of Hole - Square Side</t>
  </si>
  <si>
    <t>Lp</t>
  </si>
  <si>
    <t>Proof Mass Length</t>
  </si>
  <si>
    <t>Lm</t>
  </si>
  <si>
    <t>Volume of one Hole</t>
  </si>
  <si>
    <t>Vp</t>
  </si>
  <si>
    <t>m^3</t>
  </si>
  <si>
    <t>Proof Mass Width</t>
  </si>
  <si>
    <t>Wm</t>
  </si>
  <si>
    <t>Sensing Fingers</t>
  </si>
  <si>
    <t>Ns</t>
  </si>
  <si>
    <t>Spring</t>
  </si>
  <si>
    <t>Finger</t>
  </si>
  <si>
    <t>Driving Fingers</t>
  </si>
  <si>
    <t>Nd</t>
  </si>
  <si>
    <t>Spring Constant</t>
  </si>
  <si>
    <t>K</t>
  </si>
  <si>
    <t>N/m</t>
  </si>
  <si>
    <t>Capacitance Gap</t>
  </si>
  <si>
    <t>d</t>
  </si>
  <si>
    <t>Air viscosity</t>
  </si>
  <si>
    <t>mu</t>
  </si>
  <si>
    <t>P.a.s</t>
  </si>
  <si>
    <t>Anchor Size</t>
  </si>
  <si>
    <t>17*17</t>
  </si>
  <si>
    <t>um^2</t>
  </si>
  <si>
    <t>Finger overalp</t>
  </si>
  <si>
    <t>L</t>
  </si>
  <si>
    <t>Length of Fingers</t>
  </si>
  <si>
    <t>Lf</t>
  </si>
  <si>
    <t>Finger thickness</t>
  </si>
  <si>
    <t>h</t>
  </si>
  <si>
    <t>Width of Fingers</t>
  </si>
  <si>
    <t>Wf</t>
  </si>
  <si>
    <t>Area overlap</t>
  </si>
  <si>
    <t>A</t>
  </si>
  <si>
    <t>m2</t>
  </si>
  <si>
    <t>Acceleration due to gravity</t>
  </si>
  <si>
    <t>g</t>
  </si>
  <si>
    <t>m/s^2</t>
  </si>
  <si>
    <t>Device Thickness</t>
  </si>
  <si>
    <t>Temperature</t>
  </si>
  <si>
    <t>T</t>
  </si>
  <si>
    <t>Boltzmann constant</t>
  </si>
  <si>
    <t>Kb</t>
  </si>
  <si>
    <t>J/K</t>
  </si>
  <si>
    <t>Young's Modulus</t>
  </si>
  <si>
    <t>E</t>
  </si>
  <si>
    <t>Pa</t>
  </si>
  <si>
    <t>Effective Viscosity of Air</t>
  </si>
  <si>
    <t>neff</t>
  </si>
  <si>
    <t>Density of Si</t>
  </si>
  <si>
    <t>De</t>
  </si>
  <si>
    <t>Kg/m^3</t>
  </si>
  <si>
    <t>permittivity of free space</t>
  </si>
  <si>
    <t>e</t>
  </si>
  <si>
    <t>m-3 kg-1 s4 A2</t>
  </si>
  <si>
    <t>Acceleration on earth</t>
  </si>
  <si>
    <t>ms-2</t>
  </si>
  <si>
    <t>1g</t>
  </si>
  <si>
    <t>x</t>
  </si>
  <si>
    <t>xcomsol</t>
  </si>
  <si>
    <t>Mass of Perforated proof Mass with electrodes</t>
  </si>
  <si>
    <t>M</t>
  </si>
  <si>
    <t>F = Ma</t>
  </si>
  <si>
    <t>(Lm*Wm*h-n*Vp+(Ns+Nd)*Lf*Wf*h)*De</t>
  </si>
  <si>
    <t>Kg</t>
  </si>
  <si>
    <t xml:space="preserve">k </t>
  </si>
  <si>
    <t>Resonance Frequency</t>
  </si>
  <si>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</rPr>
      <t>r</t>
    </r>
  </si>
  <si>
    <t>delC</t>
  </si>
  <si>
    <t>2Cxd/d^2-x^2</t>
  </si>
  <si>
    <t>Sqrt(K/M)</t>
  </si>
  <si>
    <t>Hz</t>
  </si>
  <si>
    <t>mV/g</t>
  </si>
  <si>
    <t>Damping Coefficient</t>
  </si>
  <si>
    <t>10um</t>
  </si>
  <si>
    <r>
      <rPr>
        <strike/>
        <sz val="11"/>
        <color rgb="FF000000"/>
        <rFont val="Calibri"/>
        <scheme val="minor"/>
      </rPr>
      <t xml:space="preserve">Nf*neff*Lb*(h/d)^3  </t>
    </r>
    <r>
      <rPr>
        <sz val="11"/>
        <color rgb="FF000000"/>
        <rFont val="Calibri"/>
        <scheme val="minor"/>
      </rPr>
      <t xml:space="preserve"> From Simulation</t>
    </r>
  </si>
  <si>
    <t>Quality Factor</t>
  </si>
  <si>
    <t>Q</t>
  </si>
  <si>
    <t xml:space="preserve">increase xa =&gt; decrease k =&gt; </t>
  </si>
  <si>
    <t>Sqrt(M*K)/D</t>
  </si>
  <si>
    <t>Sensitivity</t>
  </si>
  <si>
    <t>S</t>
  </si>
  <si>
    <t>S = displacement/acceleration = M/K</t>
  </si>
  <si>
    <t>s^2</t>
  </si>
  <si>
    <t>Delta X / g</t>
  </si>
  <si>
    <t>m/g</t>
  </si>
  <si>
    <t>Brownian Noise</t>
  </si>
  <si>
    <t>B = mu * Lh^3/d^3</t>
  </si>
  <si>
    <t>capacitance</t>
  </si>
  <si>
    <t>C</t>
  </si>
  <si>
    <t>eA/d * 42</t>
  </si>
  <si>
    <t>F</t>
  </si>
  <si>
    <t>beacuse there are 54 fingers</t>
  </si>
  <si>
    <t>No we have 42 sense finger where capacitance matters</t>
  </si>
  <si>
    <t>Displacement</t>
  </si>
  <si>
    <t>Actual Displacement needs to found out, then only C values will be correct</t>
  </si>
  <si>
    <t>this is actual displacement</t>
  </si>
  <si>
    <t>Fapplied/K = M*a/k</t>
  </si>
  <si>
    <t>Fapplied = 1e-6</t>
  </si>
  <si>
    <t>Cleft</t>
  </si>
  <si>
    <t xml:space="preserve"> Wed, 17, 2024</t>
  </si>
  <si>
    <t>eA*54/(d+x)</t>
  </si>
  <si>
    <t>Cright</t>
  </si>
  <si>
    <t>vout</t>
  </si>
  <si>
    <t>Mapping mesh (distribution) - Spring</t>
  </si>
  <si>
    <t>Customized Mesh Analysis</t>
  </si>
  <si>
    <t>in comsol</t>
  </si>
  <si>
    <t>Ashutosh</t>
  </si>
  <si>
    <t>eA*54/(d-x)</t>
  </si>
  <si>
    <t>V/g</t>
  </si>
  <si>
    <t>Eigen Frequency Diagnosis</t>
  </si>
  <si>
    <t>Vaigun</t>
  </si>
  <si>
    <t>ChangeInCapacitance</t>
  </si>
  <si>
    <t>Stiffness, Eigen Feq - Analytical vs Comsol</t>
  </si>
  <si>
    <t>Comsol</t>
  </si>
  <si>
    <t>Nabeel</t>
  </si>
  <si>
    <t>Cleft-Cright</t>
  </si>
  <si>
    <t>Pull-in Voltages (Sweep) - Difference of applied vs External Potential</t>
  </si>
  <si>
    <t>Sensitivity (Capacitance change due to acceleration a )</t>
  </si>
  <si>
    <t>F/g</t>
  </si>
  <si>
    <t>increase mass or decrease k</t>
  </si>
  <si>
    <t>Layout for Report - Documentation</t>
  </si>
  <si>
    <t>LateX</t>
  </si>
  <si>
    <t>dC/da = eAm/(d^2*K)</t>
  </si>
  <si>
    <t>Pull-in Voltage</t>
  </si>
  <si>
    <t>V</t>
  </si>
  <si>
    <t>1um</t>
  </si>
  <si>
    <t>((8/27)*k*(d)^3/(e*A))^0.5</t>
  </si>
  <si>
    <t>2.5mV</t>
  </si>
  <si>
    <t>5nm for 4g</t>
  </si>
  <si>
    <t>0.66um</t>
  </si>
  <si>
    <t>rmsVelocity</t>
  </si>
  <si>
    <t>(kb*T/M)^0.5</t>
  </si>
  <si>
    <t>Noise spectral density</t>
  </si>
  <si>
    <t>Voltage v/s a</t>
  </si>
  <si>
    <t>F = eAV*V/2g*g)</t>
  </si>
  <si>
    <t>I</t>
  </si>
  <si>
    <t>ab^3/12</t>
  </si>
  <si>
    <t>K2</t>
  </si>
  <si>
    <t>knetfrom2 = K2/2*2</t>
  </si>
  <si>
    <t xml:space="preserve">k1 </t>
  </si>
  <si>
    <t>1/knet = 2/k1 + 1/k2</t>
  </si>
  <si>
    <t>knet</t>
  </si>
  <si>
    <t>Sensitivity (Capacitanc )</t>
  </si>
  <si>
    <t>2EpAx/d^2</t>
  </si>
  <si>
    <t>Mass</t>
  </si>
  <si>
    <t>a</t>
  </si>
  <si>
    <t>Spring Constant Calculation</t>
  </si>
  <si>
    <t>L1</t>
  </si>
  <si>
    <t>L2</t>
  </si>
  <si>
    <t>W</t>
  </si>
  <si>
    <t>Pi^4/6</t>
  </si>
  <si>
    <t>K1</t>
  </si>
  <si>
    <t>Nm-1</t>
  </si>
  <si>
    <t>k for simple guided beak - K</t>
  </si>
  <si>
    <t>Keff</t>
  </si>
  <si>
    <t>KT</t>
  </si>
  <si>
    <t>The single unit K' - 0.8K</t>
  </si>
  <si>
    <t>Six such springs in series - K'/6</t>
  </si>
  <si>
    <t>d for g</t>
  </si>
  <si>
    <t>15 nm/g</t>
  </si>
  <si>
    <t>COMSOL</t>
  </si>
  <si>
    <t>Analytically</t>
  </si>
  <si>
    <t>K/3</t>
  </si>
  <si>
    <t>2.7K</t>
  </si>
  <si>
    <t>KB</t>
  </si>
  <si>
    <t>D</t>
  </si>
  <si>
    <t>Ns/m</t>
  </si>
  <si>
    <t>Beam Length</t>
  </si>
  <si>
    <t>Beam Width</t>
  </si>
  <si>
    <t>Gap between substrate and Proof-mass</t>
  </si>
  <si>
    <t>dp</t>
  </si>
  <si>
    <t>Kinematic Viscosity of air at 298K</t>
  </si>
  <si>
    <t>*mu</t>
  </si>
  <si>
    <t>Nm-2s or Pa s</t>
  </si>
  <si>
    <t>Rho-density of air</t>
  </si>
  <si>
    <t>Kgm-3</t>
  </si>
  <si>
    <t>Gap between Top cover and Proof-mass</t>
  </si>
  <si>
    <t>delta</t>
  </si>
  <si>
    <t>w - Frequency of motion</t>
  </si>
  <si>
    <t>Top gap</t>
  </si>
  <si>
    <t>4g</t>
  </si>
  <si>
    <t>0.5Eh(Wb/Lb)^3</t>
  </si>
  <si>
    <t>D (b)</t>
  </si>
  <si>
    <t>Surface Area of Proof-of-Mass</t>
  </si>
  <si>
    <t>m^2</t>
  </si>
  <si>
    <t>Nf*neff*Lb*(h/d)^3</t>
  </si>
  <si>
    <t>Surface Area Moving fingers</t>
  </si>
  <si>
    <t>Total Surface Area - Top or Bottom</t>
  </si>
  <si>
    <t>Total Sidewall Area</t>
  </si>
  <si>
    <t>mu*Ap/dp</t>
  </si>
  <si>
    <t>Coefficient of slide film damping - Bottom</t>
  </si>
  <si>
    <t>mu*Ap/delta</t>
  </si>
  <si>
    <t>Coefficient of slide film damping - Top (considering no coverslip closer)</t>
  </si>
  <si>
    <t>mu*Ap/ds</t>
  </si>
  <si>
    <t>Coefficient of slide film damping - Sidewall</t>
  </si>
  <si>
    <t>Coefficient of slide film damping - Top (covered)</t>
  </si>
  <si>
    <t>Total Slide film Damping Coefficient</t>
  </si>
  <si>
    <t>Total Slide film Damping Coefficient - Covered</t>
  </si>
  <si>
    <t>32/3*mu*l</t>
  </si>
  <si>
    <t>Air Drag Daming Coefficient</t>
  </si>
  <si>
    <t>l = 0.5 * Width of Perforated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</si>
</sst>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E+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11"/>
      <color rgb="FF000000"/>
      <name val="Calibri"/>
      <charset val="1"/>
    </font>
    <font>
      <sz val="11"/>
      <color rgb="FFFFC000"/>
      <name val="Calibri"/>
      <family val="2"/>
      <scheme val="minor"/>
    </font>
    <font>
      <sz val="11"/>
      <color rgb="FF202122"/>
      <name val="Arial"/>
    </font>
    <font>
      <sz val="11"/>
      <color rgb="FFFF0000"/>
      <name val="Calibri"/>
      <family val="2"/>
      <scheme val="minor"/>
    </font>
    <font>
      <strike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242424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1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/>
    <xf numFmtId="0" fontId="0" fillId="4" borderId="0" xfId="0" applyFill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2" fillId="0" borderId="0" xfId="0" applyNumberFormat="1" applyFont="1"/>
    <xf numFmtId="11" fontId="0" fillId="0" borderId="0" xfId="0" applyNumberFormat="1" applyAlignment="1">
      <alignment horizontal="center"/>
    </xf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5" fillId="5" borderId="0" xfId="0" applyFont="1" applyFill="1" applyAlignment="1">
      <alignment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164" fontId="4" fillId="0" borderId="0" xfId="0" applyNumberFormat="1" applyFont="1"/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1" fillId="3" borderId="0" xfId="0" applyFont="1" applyFill="1"/>
    <xf numFmtId="14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11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8" xfId="0" applyBorder="1"/>
    <xf numFmtId="0" fontId="0" fillId="0" borderId="9" xfId="0" applyBorder="1" applyAlignment="1">
      <alignment horizontal="center" wrapText="1"/>
    </xf>
    <xf numFmtId="164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11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0" xfId="0" applyNumberFormat="1"/>
    <xf numFmtId="165" fontId="0" fillId="3" borderId="0" xfId="0" applyNumberFormat="1" applyFill="1"/>
    <xf numFmtId="0" fontId="9" fillId="0" borderId="0" xfId="0" applyFont="1"/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10" fillId="0" borderId="0" xfId="0" applyFont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48</xdr:row>
      <xdr:rowOff>95250</xdr:rowOff>
    </xdr:from>
    <xdr:to>
      <xdr:col>10</xdr:col>
      <xdr:colOff>219075</xdr:colOff>
      <xdr:row>68</xdr:row>
      <xdr:rowOff>66675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37D0666C-8A36-33E1-616C-0849A77CF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0" y="9658350"/>
          <a:ext cx="5048250" cy="3781425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71</xdr:row>
      <xdr:rowOff>66675</xdr:rowOff>
    </xdr:from>
    <xdr:to>
      <xdr:col>17</xdr:col>
      <xdr:colOff>161925</xdr:colOff>
      <xdr:row>78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0FFC15-5EAD-68E6-B741-58B33123B009}"/>
            </a:ext>
            <a:ext uri="{147F2762-F138-4A5C-976F-8EAC2B608ADB}">
              <a16:predDERef xmlns:a16="http://schemas.microsoft.com/office/drawing/2014/main" pred="{37D0666C-8A36-33E1-616C-0849A77CF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97050" y="14011275"/>
          <a:ext cx="4572000" cy="140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1828800</xdr:colOff>
      <xdr:row>48</xdr:row>
      <xdr:rowOff>95250</xdr:rowOff>
    </xdr:from>
    <xdr:to>
      <xdr:col>11</xdr:col>
      <xdr:colOff>361950</xdr:colOff>
      <xdr:row>70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6527C3-CFB1-4D16-84A2-69586F9FA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9658350"/>
          <a:ext cx="5667375" cy="423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643E-F3FD-4F0F-A8CD-EFF7B2AD6E05}">
  <dimension ref="A1:M101"/>
  <sheetViews>
    <sheetView tabSelected="1" topLeftCell="A36" workbookViewId="0">
      <selection activeCell="D43" sqref="D43"/>
    </sheetView>
  </sheetViews>
  <sheetFormatPr defaultRowHeight="15"/>
  <cols>
    <col min="1" max="1" width="47.5703125" customWidth="1"/>
    <col min="2" max="2" width="18.42578125" customWidth="1"/>
    <col min="3" max="3" width="10.85546875" customWidth="1"/>
    <col min="4" max="4" width="12.42578125" customWidth="1"/>
    <col min="5" max="5" width="13.42578125" customWidth="1"/>
    <col min="6" max="6" width="34.7109375" customWidth="1"/>
    <col min="7" max="7" width="30.42578125" customWidth="1"/>
    <col min="8" max="8" width="17.5703125" customWidth="1"/>
    <col min="9" max="9" width="12.85546875" customWidth="1"/>
    <col min="10" max="10" width="12.7109375" style="64" customWidth="1"/>
    <col min="12" max="12" width="13.7109375" bestFit="1" customWidth="1"/>
    <col min="13" max="13" width="13.140625" customWidth="1"/>
  </cols>
  <sheetData>
    <row r="1" spans="1:9">
      <c r="A1" s="2" t="s">
        <v>0</v>
      </c>
      <c r="B1" s="18" t="s">
        <v>1</v>
      </c>
      <c r="C1" s="3" t="s">
        <v>2</v>
      </c>
      <c r="D1" s="29" t="s">
        <v>3</v>
      </c>
      <c r="F1" s="2" t="s">
        <v>4</v>
      </c>
      <c r="G1" s="2" t="s">
        <v>1</v>
      </c>
      <c r="H1" s="3" t="s">
        <v>2</v>
      </c>
      <c r="I1" s="3" t="s">
        <v>3</v>
      </c>
    </row>
    <row r="2" spans="1:9">
      <c r="A2" s="4" t="s">
        <v>5</v>
      </c>
      <c r="B2" s="19" t="s">
        <v>6</v>
      </c>
      <c r="C2" s="6">
        <v>4.2000000000000002E-4</v>
      </c>
      <c r="D2" s="30" t="s">
        <v>7</v>
      </c>
      <c r="F2" s="4" t="s">
        <v>8</v>
      </c>
      <c r="G2" s="4" t="s">
        <v>9</v>
      </c>
      <c r="H2" s="6">
        <v>110</v>
      </c>
      <c r="I2" s="5" t="s">
        <v>10</v>
      </c>
    </row>
    <row r="3" spans="1:9">
      <c r="A3" s="4" t="s">
        <v>11</v>
      </c>
      <c r="B3" s="19" t="s">
        <v>12</v>
      </c>
      <c r="C3" s="6">
        <v>1.9999999999999999E-6</v>
      </c>
      <c r="D3" s="30" t="s">
        <v>7</v>
      </c>
      <c r="F3" s="4" t="s">
        <v>13</v>
      </c>
      <c r="G3" s="4" t="s">
        <v>14</v>
      </c>
      <c r="H3" s="6">
        <v>3.9999999999999998E-6</v>
      </c>
      <c r="I3" s="5" t="s">
        <v>7</v>
      </c>
    </row>
    <row r="4" spans="1:9">
      <c r="A4" s="4" t="s">
        <v>15</v>
      </c>
      <c r="B4" s="19" t="s">
        <v>16</v>
      </c>
      <c r="C4" s="6">
        <v>4.4799999999999999E-4</v>
      </c>
      <c r="D4" s="30" t="s">
        <v>7</v>
      </c>
      <c r="F4" s="4" t="s">
        <v>17</v>
      </c>
      <c r="G4" s="4" t="s">
        <v>18</v>
      </c>
      <c r="H4" s="6">
        <f>(H3^2)*C14</f>
        <v>3.1999999999999996E-17</v>
      </c>
      <c r="I4" s="5" t="s">
        <v>19</v>
      </c>
    </row>
    <row r="5" spans="1:9">
      <c r="A5" s="4" t="s">
        <v>20</v>
      </c>
      <c r="B5" s="19" t="s">
        <v>21</v>
      </c>
      <c r="C5" s="6">
        <v>2.0000000000000001E-4</v>
      </c>
      <c r="D5" s="30" t="s">
        <v>7</v>
      </c>
      <c r="H5" s="1"/>
      <c r="I5" s="1"/>
    </row>
    <row r="6" spans="1:9">
      <c r="A6" s="4" t="s">
        <v>22</v>
      </c>
      <c r="B6" s="19" t="s">
        <v>23</v>
      </c>
      <c r="C6" s="5">
        <v>42</v>
      </c>
      <c r="D6" s="30"/>
      <c r="F6" t="s">
        <v>24</v>
      </c>
      <c r="G6" t="s">
        <v>25</v>
      </c>
      <c r="H6" s="1"/>
      <c r="I6" s="1"/>
    </row>
    <row r="7" spans="1:9">
      <c r="A7" s="4" t="s">
        <v>26</v>
      </c>
      <c r="B7" s="19" t="s">
        <v>27</v>
      </c>
      <c r="C7" s="5">
        <v>12</v>
      </c>
      <c r="D7" s="30"/>
      <c r="H7" s="1"/>
      <c r="I7" s="1"/>
    </row>
    <row r="8" spans="1:9">
      <c r="A8" s="4" t="s">
        <v>28</v>
      </c>
      <c r="B8" s="19" t="s">
        <v>29</v>
      </c>
      <c r="C8" s="5"/>
      <c r="D8" s="30" t="s">
        <v>30</v>
      </c>
      <c r="H8" s="1"/>
      <c r="I8" s="1"/>
    </row>
    <row r="9" spans="1:9">
      <c r="A9" s="4" t="s">
        <v>31</v>
      </c>
      <c r="B9" s="19" t="s">
        <v>32</v>
      </c>
      <c r="C9" s="6">
        <v>9.9999999999999995E-7</v>
      </c>
      <c r="D9" s="30" t="s">
        <v>7</v>
      </c>
      <c r="F9" t="s">
        <v>33</v>
      </c>
      <c r="G9" t="s">
        <v>34</v>
      </c>
      <c r="H9" s="22">
        <v>1.8099999999999999E-5</v>
      </c>
      <c r="I9" s="1" t="s">
        <v>35</v>
      </c>
    </row>
    <row r="10" spans="1:9">
      <c r="A10" s="4" t="s">
        <v>36</v>
      </c>
      <c r="B10" s="19"/>
      <c r="C10" s="5" t="s">
        <v>37</v>
      </c>
      <c r="D10" s="30" t="s">
        <v>38</v>
      </c>
      <c r="F10" t="s">
        <v>39</v>
      </c>
      <c r="G10" t="s">
        <v>40</v>
      </c>
      <c r="H10" s="24">
        <v>0.01</v>
      </c>
      <c r="I10" s="1" t="s">
        <v>7</v>
      </c>
    </row>
    <row r="11" spans="1:9">
      <c r="A11" s="4" t="s">
        <v>41</v>
      </c>
      <c r="B11" s="19" t="s">
        <v>42</v>
      </c>
      <c r="C11" s="6">
        <v>1.3999999999999999E-4</v>
      </c>
      <c r="D11" s="30" t="s">
        <v>7</v>
      </c>
      <c r="F11" t="s">
        <v>43</v>
      </c>
      <c r="G11" t="s">
        <v>44</v>
      </c>
      <c r="H11" s="24">
        <v>1.9999999999999999E-6</v>
      </c>
      <c r="I11" s="1" t="s">
        <v>7</v>
      </c>
    </row>
    <row r="12" spans="1:9">
      <c r="A12" s="4" t="s">
        <v>45</v>
      </c>
      <c r="B12" s="19" t="s">
        <v>46</v>
      </c>
      <c r="C12" s="6">
        <v>3.9999999999999998E-6</v>
      </c>
      <c r="D12" s="30" t="s">
        <v>7</v>
      </c>
      <c r="F12" t="s">
        <v>47</v>
      </c>
      <c r="G12" t="s">
        <v>48</v>
      </c>
      <c r="H12" s="24">
        <f xml:space="preserve"> 0.000114 * 0.000002</f>
        <v>2.2800000000000001E-10</v>
      </c>
      <c r="I12" s="1" t="s">
        <v>49</v>
      </c>
    </row>
    <row r="13" spans="1:9">
      <c r="A13" s="4" t="s">
        <v>50</v>
      </c>
      <c r="B13" s="19" t="s">
        <v>51</v>
      </c>
      <c r="C13" s="5">
        <v>9.8000000000000007</v>
      </c>
      <c r="D13" s="30" t="s">
        <v>52</v>
      </c>
      <c r="H13" s="1"/>
      <c r="I13" s="1"/>
    </row>
    <row r="14" spans="1:9">
      <c r="A14" s="4" t="s">
        <v>53</v>
      </c>
      <c r="B14" s="19" t="s">
        <v>44</v>
      </c>
      <c r="C14" s="6">
        <v>1.9999999999999999E-6</v>
      </c>
      <c r="D14" s="30" t="s">
        <v>7</v>
      </c>
      <c r="F14" t="s">
        <v>54</v>
      </c>
      <c r="G14" t="s">
        <v>55</v>
      </c>
      <c r="H14">
        <f>300</f>
        <v>300</v>
      </c>
      <c r="I14" s="1" t="s">
        <v>29</v>
      </c>
    </row>
    <row r="15" spans="1:9">
      <c r="B15" s="22"/>
      <c r="C15" s="1"/>
      <c r="D15" s="27"/>
      <c r="F15" t="s">
        <v>56</v>
      </c>
      <c r="G15" t="s">
        <v>57</v>
      </c>
      <c r="H15" s="34">
        <f xml:space="preserve"> 1.380649*10^(-23)</f>
        <v>1.3806490000000001E-23</v>
      </c>
      <c r="I15" s="1" t="s">
        <v>58</v>
      </c>
    </row>
    <row r="16" spans="1:9">
      <c r="A16" s="8" t="s">
        <v>59</v>
      </c>
      <c r="B16" s="20" t="s">
        <v>60</v>
      </c>
      <c r="C16" s="10">
        <v>170000000000</v>
      </c>
      <c r="D16" s="31" t="s">
        <v>61</v>
      </c>
      <c r="F16" s="8" t="s">
        <v>62</v>
      </c>
      <c r="G16" s="9" t="s">
        <v>63</v>
      </c>
      <c r="H16" s="15">
        <v>1.7799999999999999E-5</v>
      </c>
      <c r="I16" s="11"/>
    </row>
    <row r="17" spans="1:9">
      <c r="A17" s="12" t="s">
        <v>64</v>
      </c>
      <c r="B17" s="21" t="s">
        <v>65</v>
      </c>
      <c r="C17" s="14">
        <v>2329</v>
      </c>
      <c r="D17" s="32" t="s">
        <v>66</v>
      </c>
      <c r="F17" s="12" t="s">
        <v>67</v>
      </c>
      <c r="G17" s="13" t="s">
        <v>68</v>
      </c>
      <c r="H17" s="14">
        <f>8.85418782 * 0.000000000001</f>
        <v>8.8541878200000004E-12</v>
      </c>
      <c r="I17" s="25" t="s">
        <v>69</v>
      </c>
    </row>
    <row r="18" spans="1:9">
      <c r="A18" t="s">
        <v>70</v>
      </c>
      <c r="B18" s="22" t="s">
        <v>51</v>
      </c>
      <c r="C18" s="1">
        <v>9.81</v>
      </c>
      <c r="D18" s="1" t="s">
        <v>71</v>
      </c>
      <c r="H18" s="1"/>
      <c r="I18" s="1"/>
    </row>
    <row r="19" spans="1:9">
      <c r="A19" s="7" t="s">
        <v>28</v>
      </c>
      <c r="B19" s="22" t="s">
        <v>29</v>
      </c>
      <c r="C19" s="1"/>
      <c r="D19" s="1"/>
      <c r="F19" t="s">
        <v>72</v>
      </c>
      <c r="H19" s="1"/>
      <c r="I19" s="1"/>
    </row>
    <row r="20" spans="1:9">
      <c r="B20" s="22">
        <f>J86</f>
        <v>0.25464764341520857</v>
      </c>
      <c r="C20" s="27" t="s">
        <v>30</v>
      </c>
      <c r="D20" s="1"/>
      <c r="E20" t="s">
        <v>73</v>
      </c>
      <c r="F20" s="22">
        <v>1.5630000000000002E-8</v>
      </c>
      <c r="H20" s="1" t="s">
        <v>74</v>
      </c>
      <c r="I20" s="1"/>
    </row>
    <row r="21" spans="1:9">
      <c r="A21" s="7" t="s">
        <v>75</v>
      </c>
      <c r="B21" s="22" t="s">
        <v>76</v>
      </c>
      <c r="C21" s="27"/>
      <c r="D21" s="1"/>
      <c r="E21" t="s">
        <v>77</v>
      </c>
      <c r="F21" s="22">
        <f xml:space="preserve"> B22*1*9.8</f>
        <v>5.3901630719999996E-9</v>
      </c>
      <c r="H21" s="1"/>
      <c r="I21" s="1"/>
    </row>
    <row r="22" spans="1:9">
      <c r="A22" t="s">
        <v>78</v>
      </c>
      <c r="B22" s="22">
        <f>(C4*C5*C14-H2*H4+(C6+C7)*C11*C12*C14)*C17</f>
        <v>5.5001663999999995E-10</v>
      </c>
      <c r="C22" s="27" t="s">
        <v>79</v>
      </c>
      <c r="D22" s="1"/>
      <c r="E22" t="s">
        <v>80</v>
      </c>
      <c r="F22" s="22">
        <f xml:space="preserve"> F21/F20</f>
        <v>0.34486008138195773</v>
      </c>
      <c r="G22" t="s">
        <v>30</v>
      </c>
      <c r="H22" s="1"/>
      <c r="I22" s="1"/>
    </row>
    <row r="23" spans="1:9">
      <c r="A23" s="7" t="s">
        <v>81</v>
      </c>
      <c r="B23" s="23" t="s">
        <v>82</v>
      </c>
      <c r="C23" s="27"/>
      <c r="D23" s="1" t="s">
        <v>83</v>
      </c>
      <c r="E23" t="s">
        <v>84</v>
      </c>
      <c r="F23" s="26">
        <f xml:space="preserve"> 2*B35*F20*C9/((C9)^2-(F20)^2)</f>
        <v>2.6511112404182327E-15</v>
      </c>
      <c r="H23" s="1"/>
      <c r="I23" s="1"/>
    </row>
    <row r="24" spans="1:9">
      <c r="A24" t="s">
        <v>85</v>
      </c>
      <c r="B24" s="22">
        <f>SQRT(B20/B22)</f>
        <v>21517.009736467797</v>
      </c>
      <c r="C24" s="27" t="s">
        <v>86</v>
      </c>
      <c r="D24" s="1"/>
      <c r="E24" s="26" t="s">
        <v>87</v>
      </c>
      <c r="F24" s="26">
        <v>1.1999999999999999E-12</v>
      </c>
      <c r="H24" s="1"/>
      <c r="I24" s="1"/>
    </row>
    <row r="25" spans="1:9">
      <c r="A25" s="7" t="s">
        <v>88</v>
      </c>
      <c r="B25" s="22">
        <v>1.5400000000000002E-5</v>
      </c>
      <c r="C25" s="27"/>
      <c r="D25" s="1" t="s">
        <v>89</v>
      </c>
      <c r="H25" s="1"/>
      <c r="I25" s="1"/>
    </row>
    <row r="26" spans="1:9">
      <c r="A26" s="66" t="s">
        <v>90</v>
      </c>
      <c r="B26" s="22">
        <f>(C6+C7)*H16*C2*((C14/C9)^3)</f>
        <v>3.229632E-6</v>
      </c>
      <c r="C26" s="27"/>
      <c r="D26" s="1"/>
      <c r="H26" s="1"/>
      <c r="I26" s="1"/>
    </row>
    <row r="27" spans="1:9">
      <c r="A27" s="7" t="s">
        <v>91</v>
      </c>
      <c r="B27" s="22" t="s">
        <v>92</v>
      </c>
      <c r="C27" s="27"/>
      <c r="D27" s="1"/>
      <c r="F27" s="39" t="s">
        <v>93</v>
      </c>
      <c r="H27" s="1"/>
      <c r="I27" s="1"/>
    </row>
    <row r="28" spans="1:9">
      <c r="A28" t="s">
        <v>94</v>
      </c>
      <c r="B28" s="22">
        <f>SQRT(B22*B20)/B25</f>
        <v>0.76848788299346105</v>
      </c>
      <c r="C28" s="27"/>
      <c r="D28" s="1"/>
      <c r="H28" s="1"/>
      <c r="I28" s="1"/>
    </row>
    <row r="29" spans="1:9">
      <c r="A29" s="7" t="s">
        <v>95</v>
      </c>
      <c r="B29" s="22" t="s">
        <v>96</v>
      </c>
      <c r="D29" s="1"/>
      <c r="H29" s="1"/>
      <c r="I29" s="1"/>
    </row>
    <row r="30" spans="1:9">
      <c r="A30" t="s">
        <v>97</v>
      </c>
      <c r="B30" s="22">
        <f>(B22/B20)</f>
        <v>2.1599125466996203E-9</v>
      </c>
      <c r="C30" s="27" t="s">
        <v>98</v>
      </c>
      <c r="D30" s="1"/>
      <c r="H30" s="1"/>
      <c r="I30" s="1"/>
    </row>
    <row r="31" spans="1:9">
      <c r="A31" t="s">
        <v>99</v>
      </c>
      <c r="B31" s="22">
        <f>B30*C18</f>
        <v>2.1188742083123276E-8</v>
      </c>
      <c r="C31" s="1" t="s">
        <v>100</v>
      </c>
      <c r="D31" s="1"/>
      <c r="H31" s="1"/>
      <c r="I31" s="1"/>
    </row>
    <row r="32" spans="1:9">
      <c r="A32" s="17" t="s">
        <v>101</v>
      </c>
      <c r="B32" s="33">
        <f>H9*H10*(H11)^3/((C9)^3)</f>
        <v>1.4479999999999999E-6</v>
      </c>
      <c r="C32" s="1"/>
      <c r="D32" s="1"/>
      <c r="H32" s="1"/>
      <c r="I32" s="1"/>
    </row>
    <row r="33" spans="1:10">
      <c r="A33" t="s">
        <v>102</v>
      </c>
      <c r="B33" s="22"/>
      <c r="C33" s="1"/>
      <c r="D33" s="1"/>
      <c r="H33" s="1"/>
      <c r="I33" s="1"/>
    </row>
    <row r="34" spans="1:10" ht="12" customHeight="1">
      <c r="A34" s="7" t="s">
        <v>103</v>
      </c>
      <c r="B34" t="s">
        <v>104</v>
      </c>
      <c r="C34" s="1"/>
      <c r="H34" s="1"/>
      <c r="I34" s="1"/>
    </row>
    <row r="35" spans="1:10">
      <c r="A35" t="s">
        <v>105</v>
      </c>
      <c r="B35" s="26">
        <f xml:space="preserve"> H17*H12*42/C9</f>
        <v>8.4787702564319999E-14</v>
      </c>
      <c r="C35" t="s">
        <v>106</v>
      </c>
      <c r="D35" s="1" t="s">
        <v>107</v>
      </c>
      <c r="E35" s="38" t="s">
        <v>108</v>
      </c>
      <c r="F35" s="16"/>
      <c r="H35" s="1"/>
      <c r="I35" s="1"/>
    </row>
    <row r="36" spans="1:10" ht="51" customHeight="1">
      <c r="A36" s="7" t="s">
        <v>109</v>
      </c>
      <c r="B36" t="s">
        <v>73</v>
      </c>
      <c r="C36" t="s">
        <v>7</v>
      </c>
      <c r="D36" s="28" t="s">
        <v>110</v>
      </c>
      <c r="E36" t="s">
        <v>111</v>
      </c>
      <c r="H36" s="1"/>
      <c r="I36" s="1"/>
    </row>
    <row r="37" spans="1:10">
      <c r="A37" t="s">
        <v>112</v>
      </c>
      <c r="B37" s="69">
        <v>1.5630000000000002E-8</v>
      </c>
      <c r="C37" t="s">
        <v>7</v>
      </c>
      <c r="D37" s="1"/>
      <c r="H37" s="1"/>
      <c r="I37" s="1"/>
    </row>
    <row r="38" spans="1:10">
      <c r="A38" s="27" t="s">
        <v>113</v>
      </c>
      <c r="D38" s="1"/>
      <c r="H38" s="1"/>
      <c r="I38" s="1"/>
    </row>
    <row r="39" spans="1:10">
      <c r="A39" s="7" t="s">
        <v>114</v>
      </c>
      <c r="B39" s="26">
        <f>(H17*H12*54)/(C9+B37)</f>
        <v>1.0733511262944183E-13</v>
      </c>
      <c r="C39" t="s">
        <v>106</v>
      </c>
      <c r="D39" s="1"/>
      <c r="H39" s="37" t="s">
        <v>115</v>
      </c>
      <c r="I39" s="1"/>
    </row>
    <row r="40" spans="1:10">
      <c r="A40" t="s">
        <v>116</v>
      </c>
      <c r="D40" s="1"/>
      <c r="H40" s="1"/>
      <c r="I40" s="1"/>
    </row>
    <row r="41" spans="1:10">
      <c r="A41" s="7" t="s">
        <v>117</v>
      </c>
      <c r="B41" s="26">
        <f>(H17*H12*54)/(C9-B37)</f>
        <v>1.1074368422426529E-13</v>
      </c>
      <c r="C41" t="s">
        <v>106</v>
      </c>
      <c r="D41" s="1" t="s">
        <v>118</v>
      </c>
      <c r="F41" t="s">
        <v>119</v>
      </c>
      <c r="G41" s="16">
        <v>1</v>
      </c>
      <c r="H41" s="36" t="s">
        <v>120</v>
      </c>
      <c r="I41" s="36" t="s">
        <v>121</v>
      </c>
      <c r="J41" s="65" t="s">
        <v>122</v>
      </c>
    </row>
    <row r="42" spans="1:10">
      <c r="A42" t="s">
        <v>123</v>
      </c>
      <c r="D42" s="24">
        <f xml:space="preserve"> ((B41-B39)/(B41+B39))*5</f>
        <v>7.815000000000033E-2</v>
      </c>
      <c r="E42" t="s">
        <v>124</v>
      </c>
      <c r="G42" s="16">
        <v>2</v>
      </c>
      <c r="H42" s="36" t="s">
        <v>125</v>
      </c>
      <c r="I42" s="36" t="s">
        <v>121</v>
      </c>
      <c r="J42" s="65" t="s">
        <v>126</v>
      </c>
    </row>
    <row r="43" spans="1:10">
      <c r="A43" s="7" t="s">
        <v>127</v>
      </c>
      <c r="B43" s="26">
        <f xml:space="preserve"> B41-B39</f>
        <v>3.4085715948234567E-15</v>
      </c>
      <c r="C43" t="s">
        <v>106</v>
      </c>
      <c r="D43" s="1"/>
      <c r="G43" s="16">
        <v>3</v>
      </c>
      <c r="H43" s="36" t="s">
        <v>128</v>
      </c>
      <c r="I43" s="36" t="s">
        <v>129</v>
      </c>
      <c r="J43" s="65" t="s">
        <v>130</v>
      </c>
    </row>
    <row r="44" spans="1:10">
      <c r="A44" t="s">
        <v>131</v>
      </c>
      <c r="D44" s="1"/>
      <c r="G44">
        <v>4</v>
      </c>
      <c r="H44" s="1" t="s">
        <v>132</v>
      </c>
      <c r="I44" s="1"/>
    </row>
    <row r="45" spans="1:10">
      <c r="A45" s="7" t="s">
        <v>133</v>
      </c>
      <c r="B45" s="22">
        <f xml:space="preserve"> H17*H12*B22/(C9*C9*B20)*9.8</f>
        <v>4.2731271934052413E-17</v>
      </c>
      <c r="C45" s="27" t="s">
        <v>134</v>
      </c>
      <c r="D45" s="1" t="s">
        <v>135</v>
      </c>
      <c r="G45">
        <v>5</v>
      </c>
      <c r="H45" s="1" t="s">
        <v>136</v>
      </c>
      <c r="I45" s="1" t="s">
        <v>137</v>
      </c>
    </row>
    <row r="46" spans="1:10">
      <c r="A46" t="s">
        <v>138</v>
      </c>
      <c r="D46" s="1"/>
      <c r="H46" s="1"/>
      <c r="I46" s="1"/>
    </row>
    <row r="47" spans="1:10">
      <c r="A47" s="7" t="s">
        <v>139</v>
      </c>
      <c r="B47" s="22">
        <f>((8/27)*B20*(C9)^3/(H17*H12))^0.5</f>
        <v>6.1135174127397676</v>
      </c>
      <c r="C47" t="s">
        <v>140</v>
      </c>
      <c r="D47" t="s">
        <v>141</v>
      </c>
    </row>
    <row r="48" spans="1:10">
      <c r="A48" t="s">
        <v>142</v>
      </c>
      <c r="B48" s="22">
        <f>((8/27)*F22*(C9)^3/(H17*H12))^0.5</f>
        <v>7.1144738263626008</v>
      </c>
      <c r="C48" t="s">
        <v>140</v>
      </c>
      <c r="D48" t="s">
        <v>143</v>
      </c>
    </row>
    <row r="49" spans="1:5">
      <c r="D49" t="s">
        <v>144</v>
      </c>
      <c r="E49" t="s">
        <v>145</v>
      </c>
    </row>
    <row r="50" spans="1:5">
      <c r="A50" s="7" t="s">
        <v>146</v>
      </c>
    </row>
    <row r="51" spans="1:5">
      <c r="A51" t="s">
        <v>147</v>
      </c>
      <c r="B51" s="22">
        <f>(H15*H14/B22)^0.5</f>
        <v>2.7441911181347753E-6</v>
      </c>
    </row>
    <row r="53" spans="1:5">
      <c r="A53" s="7" t="s">
        <v>148</v>
      </c>
    </row>
    <row r="55" spans="1:5">
      <c r="A55" t="s">
        <v>149</v>
      </c>
      <c r="B55" t="s">
        <v>150</v>
      </c>
    </row>
    <row r="56" spans="1:5">
      <c r="A56" s="7" t="s">
        <v>101</v>
      </c>
      <c r="B56">
        <f>I96</f>
        <v>2.1461008026576852E-8</v>
      </c>
    </row>
    <row r="57" spans="1:5">
      <c r="A57" t="s">
        <v>151</v>
      </c>
    </row>
    <row r="58" spans="1:5">
      <c r="A58" t="s">
        <v>152</v>
      </c>
      <c r="B58" s="26">
        <f xml:space="preserve"> C14*(C12)^3/12</f>
        <v>1.0666666666666666E-23</v>
      </c>
    </row>
    <row r="59" spans="1:5">
      <c r="A59" t="s">
        <v>153</v>
      </c>
      <c r="B59" s="26">
        <f xml:space="preserve"> 12*C16*B58/(0.0001315)^3</f>
        <v>9.56933222519352</v>
      </c>
    </row>
    <row r="60" spans="1:5">
      <c r="A60" t="s">
        <v>154</v>
      </c>
      <c r="B60" s="26">
        <f xml:space="preserve"> 12*C16*B58/(0.0001315)^3</f>
        <v>9.56933222519352</v>
      </c>
    </row>
    <row r="61" spans="1:5">
      <c r="A61" t="s">
        <v>155</v>
      </c>
      <c r="B61" s="26">
        <f xml:space="preserve"> 3*C16*B58/(0.000285)</f>
        <v>1.9087719298245613E-8</v>
      </c>
    </row>
    <row r="62" spans="1:5">
      <c r="A62" t="s">
        <v>156</v>
      </c>
      <c r="B62" s="26">
        <f>2/B61 + 1/B59</f>
        <v>104779411.86920638</v>
      </c>
    </row>
    <row r="63" spans="1:5">
      <c r="A63" t="s">
        <v>157</v>
      </c>
      <c r="B63" s="26">
        <f xml:space="preserve"> 1/B62</f>
        <v>9.5438596396043515E-9</v>
      </c>
    </row>
    <row r="65" spans="1:10">
      <c r="A65" s="7" t="s">
        <v>158</v>
      </c>
    </row>
    <row r="66" spans="1:10">
      <c r="A66" t="s">
        <v>159</v>
      </c>
      <c r="B66" s="26">
        <f>(2*(C6+C7)*H17*H12*B31)/(C9^2)</f>
        <v>4.6196865294581501E-15</v>
      </c>
    </row>
    <row r="76" spans="1:10">
      <c r="F76" t="s">
        <v>160</v>
      </c>
      <c r="G76" s="22">
        <f>B22</f>
        <v>5.5001663999999995E-10</v>
      </c>
    </row>
    <row r="77" spans="1:10">
      <c r="F77" t="s">
        <v>161</v>
      </c>
      <c r="G77">
        <f>1*9.81</f>
        <v>9.81</v>
      </c>
      <c r="I77" s="70" t="s">
        <v>162</v>
      </c>
      <c r="J77" s="70"/>
    </row>
    <row r="79" spans="1:10">
      <c r="F79" t="s">
        <v>60</v>
      </c>
      <c r="G79" s="26">
        <v>170000000000</v>
      </c>
      <c r="I79" t="s">
        <v>163</v>
      </c>
      <c r="J79" s="64">
        <v>1.9900000000000001E-4</v>
      </c>
    </row>
    <row r="80" spans="1:10">
      <c r="F80" t="s">
        <v>40</v>
      </c>
      <c r="G80" s="26">
        <v>4.2000000000000002E-4</v>
      </c>
      <c r="I80" t="s">
        <v>164</v>
      </c>
      <c r="J80" s="64">
        <v>1.5899999999999999E-4</v>
      </c>
    </row>
    <row r="81" spans="6:13">
      <c r="F81" t="s">
        <v>165</v>
      </c>
      <c r="G81" s="26">
        <v>1.9999999999999999E-6</v>
      </c>
      <c r="I81" t="s">
        <v>166</v>
      </c>
      <c r="J81" s="64">
        <f>((22/7)^4)/6</f>
        <v>16.261002360127723</v>
      </c>
    </row>
    <row r="82" spans="6:13">
      <c r="F82" t="s">
        <v>44</v>
      </c>
      <c r="G82" s="26">
        <v>1.9999999999999999E-6</v>
      </c>
    </row>
    <row r="83" spans="6:13">
      <c r="I83" t="s">
        <v>167</v>
      </c>
      <c r="J83" s="64">
        <f>(J81*G79*G81*(G82^3))/((2*J79)^3+(2*J79)^3)</f>
        <v>0.35078176179522796</v>
      </c>
      <c r="K83" t="s">
        <v>168</v>
      </c>
    </row>
    <row r="84" spans="6:13">
      <c r="I84" t="s">
        <v>153</v>
      </c>
      <c r="J84" s="64">
        <f>(J81*G79*G81*(G82^3))/((2*J79)^3+(2*J80)^3)</f>
        <v>0.46458921400352365</v>
      </c>
      <c r="L84" s="22">
        <f>(G76*G77)/0.000000015</f>
        <v>0.35971088256</v>
      </c>
    </row>
    <row r="85" spans="6:13">
      <c r="F85" t="s">
        <v>169</v>
      </c>
      <c r="G85" s="26">
        <f>G79*G81*(G82^3)/(G80^3)</f>
        <v>3.6713097937587723E-2</v>
      </c>
      <c r="H85" t="s">
        <v>30</v>
      </c>
      <c r="I85" t="s">
        <v>170</v>
      </c>
      <c r="J85" s="64">
        <f>(J83*J84)/(J83+2*J84)</f>
        <v>0.12732382170760428</v>
      </c>
    </row>
    <row r="86" spans="6:13">
      <c r="I86" t="s">
        <v>171</v>
      </c>
      <c r="J86" s="64">
        <f>2*J85</f>
        <v>0.25464764341520857</v>
      </c>
    </row>
    <row r="87" spans="6:13">
      <c r="F87" t="s">
        <v>172</v>
      </c>
      <c r="G87" s="26">
        <f>0.8*G85</f>
        <v>2.937047835007018E-2</v>
      </c>
    </row>
    <row r="88" spans="6:13">
      <c r="F88" t="s">
        <v>173</v>
      </c>
      <c r="G88" s="26">
        <f>(1/6)*G87</f>
        <v>4.8950797250116966E-3</v>
      </c>
      <c r="I88" t="s">
        <v>174</v>
      </c>
      <c r="J88" s="65">
        <f>(G76*G77)/J86</f>
        <v>2.1188742083123276E-8</v>
      </c>
      <c r="L88" t="s">
        <v>175</v>
      </c>
      <c r="M88" t="s">
        <v>176</v>
      </c>
    </row>
    <row r="89" spans="6:13">
      <c r="L89" s="64"/>
      <c r="M89" t="s">
        <v>177</v>
      </c>
    </row>
    <row r="91" spans="6:13">
      <c r="F91" t="s">
        <v>178</v>
      </c>
    </row>
    <row r="92" spans="6:13">
      <c r="G92" s="26">
        <f>(1/3)*G85</f>
        <v>1.223769931252924E-2</v>
      </c>
      <c r="J92" s="64">
        <f>L84-J86</f>
        <v>0.10506323914479143</v>
      </c>
    </row>
    <row r="94" spans="6:13">
      <c r="F94" t="s">
        <v>179</v>
      </c>
      <c r="G94" s="26">
        <f>2.7*G85</f>
        <v>9.9125364431486854E-2</v>
      </c>
    </row>
    <row r="96" spans="6:13">
      <c r="H96" s="7" t="s">
        <v>101</v>
      </c>
      <c r="I96">
        <f>SQRT((4*I98*I99*I100)/I101)</f>
        <v>2.1461008026576852E-8</v>
      </c>
    </row>
    <row r="98" spans="8:10">
      <c r="H98" t="s">
        <v>180</v>
      </c>
      <c r="I98" s="26">
        <v>1.3800000000000001E-23</v>
      </c>
      <c r="J98" s="64" t="s">
        <v>58</v>
      </c>
    </row>
    <row r="99" spans="8:10">
      <c r="H99" t="s">
        <v>55</v>
      </c>
      <c r="I99">
        <v>298</v>
      </c>
      <c r="J99" s="64" t="s">
        <v>29</v>
      </c>
    </row>
    <row r="100" spans="8:10">
      <c r="H100" t="s">
        <v>181</v>
      </c>
      <c r="I100" s="26">
        <v>1.5400000000000002E-5</v>
      </c>
      <c r="J100" s="64" t="s">
        <v>182</v>
      </c>
    </row>
    <row r="101" spans="8:10">
      <c r="H101" t="s">
        <v>76</v>
      </c>
      <c r="I101" s="22">
        <f>B22</f>
        <v>5.5001663999999995E-10</v>
      </c>
      <c r="J101" s="64" t="s">
        <v>79</v>
      </c>
    </row>
  </sheetData>
  <mergeCells count="1">
    <mergeCell ref="I77:J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0B05-4E13-449E-AC8D-AE65523DB64B}">
  <dimension ref="A1:M63"/>
  <sheetViews>
    <sheetView topLeftCell="B33" workbookViewId="0">
      <selection activeCell="I39" sqref="I39"/>
    </sheetView>
  </sheetViews>
  <sheetFormatPr defaultRowHeight="15"/>
  <cols>
    <col min="1" max="1" width="47.5703125" customWidth="1"/>
    <col min="2" max="2" width="18.42578125" customWidth="1"/>
    <col min="3" max="3" width="10.85546875" customWidth="1"/>
    <col min="4" max="4" width="12.42578125" customWidth="1"/>
    <col min="5" max="5" width="13.42578125" customWidth="1"/>
    <col min="6" max="6" width="34.7109375" customWidth="1"/>
    <col min="7" max="7" width="12.5703125" customWidth="1"/>
    <col min="8" max="8" width="28.5703125" style="42" customWidth="1"/>
    <col min="9" max="9" width="12.85546875" customWidth="1"/>
  </cols>
  <sheetData>
    <row r="1" spans="1:13">
      <c r="A1" s="2" t="s">
        <v>0</v>
      </c>
      <c r="B1" s="18" t="s">
        <v>1</v>
      </c>
      <c r="C1" s="3" t="s">
        <v>2</v>
      </c>
      <c r="D1" s="29" t="s">
        <v>3</v>
      </c>
      <c r="F1" s="2" t="s">
        <v>4</v>
      </c>
      <c r="G1" s="2" t="s">
        <v>1</v>
      </c>
      <c r="H1" s="43" t="s">
        <v>2</v>
      </c>
      <c r="I1" s="3" t="s">
        <v>3</v>
      </c>
    </row>
    <row r="2" spans="1:13">
      <c r="A2" s="4" t="s">
        <v>183</v>
      </c>
      <c r="B2" s="19" t="s">
        <v>6</v>
      </c>
      <c r="C2" s="6">
        <v>3.8000000000000002E-4</v>
      </c>
      <c r="D2" s="30" t="s">
        <v>7</v>
      </c>
      <c r="F2" s="4" t="s">
        <v>8</v>
      </c>
      <c r="G2" s="4" t="s">
        <v>9</v>
      </c>
      <c r="H2" s="44">
        <v>110</v>
      </c>
      <c r="I2" s="5" t="s">
        <v>10</v>
      </c>
    </row>
    <row r="3" spans="1:13">
      <c r="A3" s="4" t="s">
        <v>184</v>
      </c>
      <c r="B3" s="19" t="s">
        <v>12</v>
      </c>
      <c r="C3" s="6">
        <v>1.9999999999999999E-6</v>
      </c>
      <c r="D3" s="30" t="s">
        <v>7</v>
      </c>
      <c r="F3" s="4" t="s">
        <v>13</v>
      </c>
      <c r="G3" s="4" t="s">
        <v>14</v>
      </c>
      <c r="H3" s="44">
        <v>3.9999999999999998E-6</v>
      </c>
      <c r="I3" s="5" t="s">
        <v>7</v>
      </c>
    </row>
    <row r="4" spans="1:13">
      <c r="A4" s="4" t="s">
        <v>15</v>
      </c>
      <c r="B4" s="19" t="s">
        <v>16</v>
      </c>
      <c r="C4" s="6">
        <v>4.4799999999999999E-4</v>
      </c>
      <c r="D4" s="30" t="s">
        <v>7</v>
      </c>
      <c r="F4" s="4" t="s">
        <v>17</v>
      </c>
      <c r="G4" s="4" t="s">
        <v>18</v>
      </c>
      <c r="H4" s="44">
        <f>(H3^2)*C14</f>
        <v>8.0000000000000006E-17</v>
      </c>
      <c r="I4" s="5" t="s">
        <v>19</v>
      </c>
    </row>
    <row r="5" spans="1:13">
      <c r="A5" s="4" t="s">
        <v>20</v>
      </c>
      <c r="B5" s="19" t="s">
        <v>21</v>
      </c>
      <c r="C5" s="6">
        <v>2.0000000000000001E-4</v>
      </c>
      <c r="D5" s="30" t="s">
        <v>7</v>
      </c>
      <c r="H5" s="45"/>
      <c r="I5" s="1"/>
    </row>
    <row r="6" spans="1:13">
      <c r="A6" s="4" t="s">
        <v>22</v>
      </c>
      <c r="B6" s="19" t="s">
        <v>23</v>
      </c>
      <c r="C6" s="5">
        <v>42</v>
      </c>
      <c r="D6" s="30"/>
      <c r="F6" t="s">
        <v>185</v>
      </c>
      <c r="G6" t="s">
        <v>186</v>
      </c>
      <c r="H6" s="47">
        <v>1.9999999999999999E-6</v>
      </c>
      <c r="I6" s="1" t="s">
        <v>7</v>
      </c>
    </row>
    <row r="7" spans="1:13">
      <c r="A7" s="4" t="s">
        <v>26</v>
      </c>
      <c r="B7" s="19" t="s">
        <v>27</v>
      </c>
      <c r="C7" s="5">
        <v>12</v>
      </c>
      <c r="D7" s="30"/>
      <c r="F7" t="s">
        <v>187</v>
      </c>
      <c r="G7" t="s">
        <v>188</v>
      </c>
      <c r="H7" s="47">
        <v>1.8E-5</v>
      </c>
      <c r="I7" s="1" t="s">
        <v>189</v>
      </c>
      <c r="K7" t="s">
        <v>190</v>
      </c>
      <c r="L7">
        <v>1.2929999999999999</v>
      </c>
      <c r="M7" t="s">
        <v>191</v>
      </c>
    </row>
    <row r="8" spans="1:13">
      <c r="A8" s="4" t="s">
        <v>28</v>
      </c>
      <c r="B8" s="19" t="s">
        <v>29</v>
      </c>
      <c r="C8" s="5">
        <v>0.15670000000000001</v>
      </c>
      <c r="D8" s="30" t="s">
        <v>30</v>
      </c>
      <c r="F8" t="s">
        <v>192</v>
      </c>
      <c r="G8" t="s">
        <v>193</v>
      </c>
      <c r="H8" s="45">
        <f>SQRT((2*H7)/(L7*L8))</f>
        <v>5.2765734504686145E-5</v>
      </c>
      <c r="I8" s="1" t="s">
        <v>7</v>
      </c>
      <c r="K8" t="s">
        <v>194</v>
      </c>
      <c r="L8">
        <v>10000</v>
      </c>
      <c r="M8" t="s">
        <v>86</v>
      </c>
    </row>
    <row r="9" spans="1:13">
      <c r="A9" s="4" t="s">
        <v>31</v>
      </c>
      <c r="B9" s="19" t="s">
        <v>32</v>
      </c>
      <c r="C9" s="6">
        <v>9.9999999999999995E-7</v>
      </c>
      <c r="D9" s="30" t="s">
        <v>7</v>
      </c>
      <c r="F9" t="s">
        <v>33</v>
      </c>
      <c r="G9" t="s">
        <v>34</v>
      </c>
      <c r="H9" s="46">
        <v>1.8099999999999999E-5</v>
      </c>
      <c r="I9" s="1" t="s">
        <v>35</v>
      </c>
    </row>
    <row r="10" spans="1:13">
      <c r="A10" s="4" t="s">
        <v>36</v>
      </c>
      <c r="B10" s="19"/>
      <c r="C10" s="5" t="s">
        <v>37</v>
      </c>
      <c r="D10" s="30" t="s">
        <v>38</v>
      </c>
      <c r="F10" t="s">
        <v>39</v>
      </c>
      <c r="G10" t="s">
        <v>40</v>
      </c>
      <c r="H10" s="47">
        <v>0.01</v>
      </c>
      <c r="I10" s="1" t="s">
        <v>7</v>
      </c>
    </row>
    <row r="11" spans="1:13">
      <c r="A11" s="4" t="s">
        <v>41</v>
      </c>
      <c r="B11" s="19" t="s">
        <v>42</v>
      </c>
      <c r="C11" s="6">
        <v>1.3999999999999999E-4</v>
      </c>
      <c r="D11" s="30" t="s">
        <v>7</v>
      </c>
      <c r="F11" t="s">
        <v>43</v>
      </c>
      <c r="G11" t="s">
        <v>44</v>
      </c>
      <c r="H11" s="47">
        <v>1.9999999999999999E-6</v>
      </c>
      <c r="I11" s="1" t="s">
        <v>7</v>
      </c>
    </row>
    <row r="12" spans="1:13">
      <c r="A12" s="4" t="s">
        <v>45</v>
      </c>
      <c r="B12" s="19" t="s">
        <v>46</v>
      </c>
      <c r="C12" s="6">
        <v>3.9999999999999998E-6</v>
      </c>
      <c r="D12" s="30" t="s">
        <v>7</v>
      </c>
      <c r="F12" t="s">
        <v>47</v>
      </c>
      <c r="G12" t="s">
        <v>48</v>
      </c>
      <c r="H12" s="47">
        <f xml:space="preserve"> 0.000114 * 0.000005</f>
        <v>5.700000000000001E-10</v>
      </c>
      <c r="I12" s="1" t="s">
        <v>7</v>
      </c>
    </row>
    <row r="13" spans="1:13">
      <c r="A13" s="4" t="s">
        <v>50</v>
      </c>
      <c r="B13" s="19" t="s">
        <v>51</v>
      </c>
      <c r="C13" s="5">
        <v>9.8000000000000007</v>
      </c>
      <c r="D13" s="30" t="s">
        <v>52</v>
      </c>
      <c r="F13" t="s">
        <v>195</v>
      </c>
      <c r="H13" s="47">
        <v>5.0000000000000004E-6</v>
      </c>
      <c r="I13" s="1" t="s">
        <v>7</v>
      </c>
    </row>
    <row r="14" spans="1:13">
      <c r="A14" s="4" t="s">
        <v>53</v>
      </c>
      <c r="B14" s="19" t="s">
        <v>44</v>
      </c>
      <c r="C14" s="6">
        <v>5.0000000000000004E-6</v>
      </c>
      <c r="D14" s="30" t="s">
        <v>7</v>
      </c>
      <c r="F14" t="s">
        <v>54</v>
      </c>
      <c r="G14" t="s">
        <v>55</v>
      </c>
      <c r="H14" s="42">
        <f>300</f>
        <v>300</v>
      </c>
      <c r="I14" s="1" t="s">
        <v>29</v>
      </c>
    </row>
    <row r="15" spans="1:13" ht="14.25">
      <c r="B15" s="22"/>
      <c r="C15" s="1"/>
      <c r="D15" s="27"/>
      <c r="F15" t="s">
        <v>56</v>
      </c>
      <c r="G15" t="s">
        <v>57</v>
      </c>
      <c r="H15" s="48">
        <f xml:space="preserve"> 1.380649*10^(-23)</f>
        <v>1.3806490000000001E-23</v>
      </c>
      <c r="I15" s="1" t="s">
        <v>58</v>
      </c>
    </row>
    <row r="16" spans="1:13">
      <c r="A16" s="8" t="s">
        <v>59</v>
      </c>
      <c r="B16" s="20" t="s">
        <v>60</v>
      </c>
      <c r="C16" s="10">
        <v>170000000000</v>
      </c>
      <c r="D16" s="31" t="s">
        <v>61</v>
      </c>
      <c r="F16" s="8" t="s">
        <v>62</v>
      </c>
      <c r="G16" s="9" t="s">
        <v>63</v>
      </c>
      <c r="H16" s="49">
        <v>1.7799999999999999E-5</v>
      </c>
      <c r="I16" s="11"/>
    </row>
    <row r="17" spans="1:11">
      <c r="A17" s="12" t="s">
        <v>64</v>
      </c>
      <c r="B17" s="21" t="s">
        <v>65</v>
      </c>
      <c r="C17" s="14">
        <v>2320</v>
      </c>
      <c r="D17" s="32" t="s">
        <v>66</v>
      </c>
      <c r="F17" s="12" t="s">
        <v>67</v>
      </c>
      <c r="G17" s="13" t="s">
        <v>68</v>
      </c>
      <c r="H17" s="50">
        <f>8.85418782 * 0.000000000001</f>
        <v>8.8541878200000004E-12</v>
      </c>
      <c r="I17" s="25" t="s">
        <v>69</v>
      </c>
    </row>
    <row r="18" spans="1:11">
      <c r="B18" s="22"/>
      <c r="C18" s="1"/>
      <c r="D18" s="1"/>
      <c r="H18" s="45"/>
      <c r="I18" s="1"/>
    </row>
    <row r="19" spans="1:11">
      <c r="A19" s="7" t="s">
        <v>28</v>
      </c>
      <c r="B19" s="22" t="s">
        <v>29</v>
      </c>
      <c r="C19" s="1"/>
      <c r="D19" s="1"/>
      <c r="F19" t="s">
        <v>196</v>
      </c>
      <c r="H19" s="45"/>
      <c r="I19" s="1"/>
    </row>
    <row r="20" spans="1:11">
      <c r="A20" t="s">
        <v>197</v>
      </c>
      <c r="B20" s="22">
        <f>0.5*C16*C14*((C3^3)/(C2^3))</f>
        <v>6.1962385187345086E-2</v>
      </c>
      <c r="C20" s="27" t="s">
        <v>30</v>
      </c>
      <c r="D20" s="1"/>
      <c r="E20" t="s">
        <v>73</v>
      </c>
      <c r="F20" s="22">
        <f>F21/B20</f>
        <v>2.166368250578824E-7</v>
      </c>
      <c r="H20" s="45" t="s">
        <v>74</v>
      </c>
      <c r="I20" s="1"/>
    </row>
    <row r="21" spans="1:11">
      <c r="A21" s="7" t="s">
        <v>75</v>
      </c>
      <c r="B21" s="22" t="s">
        <v>76</v>
      </c>
      <c r="C21" s="27"/>
      <c r="D21" s="1"/>
      <c r="E21" t="s">
        <v>77</v>
      </c>
      <c r="F21" s="22">
        <f xml:space="preserve"> B22*1*9.8</f>
        <v>1.3423334400000001E-8</v>
      </c>
      <c r="H21" s="45"/>
      <c r="I21" s="1"/>
    </row>
    <row r="22" spans="1:11">
      <c r="A22" t="s">
        <v>78</v>
      </c>
      <c r="B22" s="22">
        <f>(C4*C5*C14-H2*H4+(C6+C7)*C11*C12*C14)*C17</f>
        <v>1.369728E-9</v>
      </c>
      <c r="C22" s="27" t="s">
        <v>79</v>
      </c>
      <c r="D22" s="1"/>
      <c r="E22" t="s">
        <v>80</v>
      </c>
      <c r="F22" s="22">
        <f xml:space="preserve"> F21/F20</f>
        <v>6.1962385187345086E-2</v>
      </c>
      <c r="G22" t="s">
        <v>30</v>
      </c>
      <c r="H22" s="45"/>
      <c r="I22" s="1"/>
    </row>
    <row r="23" spans="1:11">
      <c r="A23" s="7" t="s">
        <v>81</v>
      </c>
      <c r="B23" s="23" t="s">
        <v>82</v>
      </c>
      <c r="C23" s="27"/>
      <c r="D23" s="1" t="s">
        <v>83</v>
      </c>
      <c r="E23" t="s">
        <v>84</v>
      </c>
      <c r="F23" s="26">
        <f xml:space="preserve"> 2*B35*F20*C9/((C9)^2-(F20)^2)</f>
        <v>9.6363162546802172E-14</v>
      </c>
      <c r="H23" s="45"/>
      <c r="I23" s="1"/>
    </row>
    <row r="24" spans="1:11">
      <c r="A24" t="s">
        <v>85</v>
      </c>
      <c r="B24" s="22">
        <f>SQRT(B20/B22)</f>
        <v>6725.8456528125016</v>
      </c>
      <c r="C24" s="27" t="s">
        <v>86</v>
      </c>
      <c r="D24" s="1"/>
      <c r="E24" s="26" t="s">
        <v>87</v>
      </c>
      <c r="F24" s="26">
        <v>1.1999999999999999E-12</v>
      </c>
      <c r="G24" s="41"/>
      <c r="H24" s="51"/>
      <c r="I24" s="40"/>
      <c r="J24" s="41"/>
      <c r="K24" s="41"/>
    </row>
    <row r="25" spans="1:11">
      <c r="A25" s="7" t="s">
        <v>88</v>
      </c>
      <c r="B25" s="22" t="s">
        <v>198</v>
      </c>
      <c r="C25" s="27"/>
      <c r="D25" s="1" t="s">
        <v>89</v>
      </c>
      <c r="G25" s="54"/>
      <c r="H25" s="55" t="s">
        <v>199</v>
      </c>
      <c r="I25" s="56">
        <f>(C4*C5-(H2*(H3^2)))</f>
        <v>8.7840000000000011E-8</v>
      </c>
      <c r="J25" s="57" t="s">
        <v>200</v>
      </c>
      <c r="K25" s="41"/>
    </row>
    <row r="26" spans="1:11">
      <c r="A26" t="s">
        <v>201</v>
      </c>
      <c r="B26" s="22">
        <f>(C6+C7)*H16*C2*((C14/C9)^3)</f>
        <v>4.5657000000000027E-5</v>
      </c>
      <c r="C26" s="27"/>
      <c r="D26" s="1"/>
      <c r="G26" s="58"/>
      <c r="H26" s="45" t="s">
        <v>202</v>
      </c>
      <c r="I26" s="24">
        <f>(C6+C7)*C11*C12</f>
        <v>3.0239999999999992E-8</v>
      </c>
      <c r="J26" s="59" t="s">
        <v>200</v>
      </c>
      <c r="K26" s="41"/>
    </row>
    <row r="27" spans="1:11" ht="30.75">
      <c r="A27" s="7" t="s">
        <v>91</v>
      </c>
      <c r="B27" s="22" t="s">
        <v>92</v>
      </c>
      <c r="C27" s="27"/>
      <c r="D27" s="1"/>
      <c r="F27" s="39" t="s">
        <v>93</v>
      </c>
      <c r="G27" s="58"/>
      <c r="H27" s="45" t="s">
        <v>203</v>
      </c>
      <c r="I27" s="35">
        <f>SUM(I25:I26)</f>
        <v>1.1808000000000001E-7</v>
      </c>
      <c r="J27" s="60" t="s">
        <v>200</v>
      </c>
      <c r="K27" s="41"/>
    </row>
    <row r="28" spans="1:11">
      <c r="A28" t="s">
        <v>94</v>
      </c>
      <c r="B28" s="22">
        <f>SQRT(B22*B20)/B26</f>
        <v>0.20177802120891772</v>
      </c>
      <c r="C28" s="27"/>
      <c r="D28" s="1"/>
      <c r="G28" s="58"/>
      <c r="H28" s="45"/>
      <c r="I28" s="1"/>
      <c r="J28" s="59"/>
      <c r="K28" s="41"/>
    </row>
    <row r="29" spans="1:11">
      <c r="A29" s="7" t="s">
        <v>95</v>
      </c>
      <c r="B29" s="22" t="s">
        <v>96</v>
      </c>
      <c r="D29" s="1"/>
      <c r="G29" s="58"/>
      <c r="H29" s="45" t="s">
        <v>204</v>
      </c>
      <c r="I29" s="24">
        <f>(((C6+C7)*C11*2)+2*C4)*C14</f>
        <v>8.008E-8</v>
      </c>
      <c r="J29" s="59" t="s">
        <v>200</v>
      </c>
      <c r="K29" s="41"/>
    </row>
    <row r="30" spans="1:11">
      <c r="A30" t="s">
        <v>97</v>
      </c>
      <c r="B30" s="22">
        <f>(B22/B20)</f>
        <v>2.210579847529412E-8</v>
      </c>
      <c r="C30" s="27" t="s">
        <v>98</v>
      </c>
      <c r="D30" s="1"/>
      <c r="G30" s="58"/>
      <c r="H30" s="45"/>
      <c r="I30" s="1"/>
      <c r="J30" s="59"/>
      <c r="K30" s="41"/>
    </row>
    <row r="31" spans="1:11" ht="30.75">
      <c r="B31" s="22"/>
      <c r="C31" s="1"/>
      <c r="D31" s="1"/>
      <c r="G31" s="58" t="s">
        <v>205</v>
      </c>
      <c r="H31" s="45" t="s">
        <v>206</v>
      </c>
      <c r="I31" s="24">
        <f>(H7*I27)/H6</f>
        <v>1.0627200000000001E-6</v>
      </c>
      <c r="J31" s="59" t="s">
        <v>182</v>
      </c>
      <c r="K31" s="41"/>
    </row>
    <row r="32" spans="1:11" ht="45.75">
      <c r="A32" s="17" t="s">
        <v>101</v>
      </c>
      <c r="B32" s="33">
        <f>H9*H10*(H11)^3/((C9)^3)</f>
        <v>1.4479999999999999E-6</v>
      </c>
      <c r="C32" s="1"/>
      <c r="D32" s="1"/>
      <c r="G32" s="58" t="s">
        <v>207</v>
      </c>
      <c r="H32" s="45" t="s">
        <v>208</v>
      </c>
      <c r="I32" s="24">
        <f>(H7*I27)/H8</f>
        <v>4.0280686319475742E-8</v>
      </c>
      <c r="J32" s="59" t="s">
        <v>182</v>
      </c>
      <c r="K32" s="41"/>
    </row>
    <row r="33" spans="1:11" ht="30.75">
      <c r="A33" t="s">
        <v>102</v>
      </c>
      <c r="B33" s="22"/>
      <c r="C33" s="1"/>
      <c r="D33" s="1"/>
      <c r="G33" s="58" t="s">
        <v>209</v>
      </c>
      <c r="H33" s="45" t="s">
        <v>210</v>
      </c>
      <c r="I33" s="24">
        <f>(H7*I29)/(0.000001)</f>
        <v>1.4414400000000001E-6</v>
      </c>
      <c r="J33" s="59" t="s">
        <v>182</v>
      </c>
      <c r="K33" s="41"/>
    </row>
    <row r="34" spans="1:11" ht="57.75" customHeight="1">
      <c r="A34" s="7" t="s">
        <v>103</v>
      </c>
      <c r="B34" t="s">
        <v>104</v>
      </c>
      <c r="C34" s="1"/>
      <c r="G34" s="58" t="s">
        <v>207</v>
      </c>
      <c r="H34" s="45" t="s">
        <v>211</v>
      </c>
      <c r="I34" s="24">
        <f>(H7*I27)/H13</f>
        <v>4.25088E-7</v>
      </c>
      <c r="J34" s="59" t="s">
        <v>182</v>
      </c>
      <c r="K34" s="41"/>
    </row>
    <row r="35" spans="1:11">
      <c r="A35" t="s">
        <v>105</v>
      </c>
      <c r="B35" s="26">
        <f xml:space="preserve"> H17*H12*42/C9</f>
        <v>2.1196925641080005E-13</v>
      </c>
      <c r="C35" t="s">
        <v>106</v>
      </c>
      <c r="D35" s="1" t="s">
        <v>107</v>
      </c>
      <c r="E35" s="38" t="s">
        <v>108</v>
      </c>
      <c r="F35" s="16"/>
      <c r="G35" s="58"/>
      <c r="H35" s="45"/>
      <c r="I35" s="1"/>
      <c r="J35" s="59"/>
      <c r="K35" s="41"/>
    </row>
    <row r="36" spans="1:11" ht="51" customHeight="1">
      <c r="A36" s="7" t="s">
        <v>109</v>
      </c>
      <c r="B36" t="s">
        <v>73</v>
      </c>
      <c r="C36" t="s">
        <v>7</v>
      </c>
      <c r="D36" s="28" t="s">
        <v>110</v>
      </c>
      <c r="E36" t="s">
        <v>111</v>
      </c>
      <c r="G36" s="61"/>
      <c r="H36" s="45" t="s">
        <v>212</v>
      </c>
      <c r="I36" s="62">
        <f>SUM(I31:I33)</f>
        <v>2.544440686319476E-6</v>
      </c>
      <c r="J36" s="63" t="s">
        <v>182</v>
      </c>
      <c r="K36" s="41"/>
    </row>
    <row r="37" spans="1:11" ht="30.75">
      <c r="A37" t="s">
        <v>112</v>
      </c>
      <c r="B37" s="22">
        <v>1.4E-5</v>
      </c>
      <c r="C37" t="s">
        <v>7</v>
      </c>
      <c r="D37" s="1"/>
      <c r="H37" s="67" t="s">
        <v>213</v>
      </c>
      <c r="I37" s="24">
        <f>I34+I33+I31</f>
        <v>2.9292480000000003E-6</v>
      </c>
    </row>
    <row r="38" spans="1:11">
      <c r="A38" s="27" t="s">
        <v>113</v>
      </c>
      <c r="D38" s="1"/>
      <c r="G38" t="s">
        <v>214</v>
      </c>
      <c r="H38" s="68" t="s">
        <v>215</v>
      </c>
      <c r="I38" s="24">
        <f>(32/3)*H7*0.5*C5</f>
        <v>1.92E-8</v>
      </c>
      <c r="J38" t="s">
        <v>216</v>
      </c>
    </row>
    <row r="39" spans="1:11">
      <c r="A39" s="7" t="s">
        <v>114</v>
      </c>
      <c r="B39" s="26">
        <f>(H17*H12*54)/(C9+B37)</f>
        <v>1.8168793406640003E-14</v>
      </c>
      <c r="C39" t="s">
        <v>106</v>
      </c>
      <c r="D39" s="1"/>
      <c r="H39" s="52" t="s">
        <v>115</v>
      </c>
      <c r="I39" s="1"/>
    </row>
    <row r="40" spans="1:11">
      <c r="A40" t="s">
        <v>116</v>
      </c>
      <c r="D40" s="1"/>
      <c r="H40" s="45"/>
      <c r="I40" s="1"/>
    </row>
    <row r="41" spans="1:11" ht="30.75">
      <c r="A41" s="7" t="s">
        <v>117</v>
      </c>
      <c r="B41" s="26">
        <f>(H17*H12*54)/(C9-B37)</f>
        <v>-2.0963992392276929E-14</v>
      </c>
      <c r="C41" t="s">
        <v>106</v>
      </c>
      <c r="D41" s="1" t="s">
        <v>118</v>
      </c>
      <c r="F41" t="s">
        <v>119</v>
      </c>
      <c r="G41" s="16">
        <v>1</v>
      </c>
      <c r="H41" s="53" t="s">
        <v>120</v>
      </c>
      <c r="I41" s="36" t="s">
        <v>121</v>
      </c>
      <c r="J41" s="16" t="s">
        <v>122</v>
      </c>
    </row>
    <row r="42" spans="1:11" ht="30.75">
      <c r="A42" t="s">
        <v>123</v>
      </c>
      <c r="D42" s="24">
        <f xml:space="preserve"> (B41-B39/(B41+B39))*0.0025</f>
        <v>1.6249999999999928E-2</v>
      </c>
      <c r="E42" t="s">
        <v>124</v>
      </c>
      <c r="G42" s="16">
        <v>2</v>
      </c>
      <c r="H42" s="53" t="s">
        <v>125</v>
      </c>
      <c r="I42" s="36" t="s">
        <v>121</v>
      </c>
      <c r="J42" s="16" t="s">
        <v>126</v>
      </c>
    </row>
    <row r="43" spans="1:11" ht="45.75">
      <c r="A43" s="7" t="s">
        <v>127</v>
      </c>
      <c r="B43" s="26">
        <f xml:space="preserve"> B41-B39</f>
        <v>-3.9132785798916928E-14</v>
      </c>
      <c r="C43" t="s">
        <v>106</v>
      </c>
      <c r="D43" s="1"/>
      <c r="G43" s="16">
        <v>3</v>
      </c>
      <c r="H43" s="53" t="s">
        <v>128</v>
      </c>
      <c r="I43" s="36" t="s">
        <v>129</v>
      </c>
      <c r="J43" s="16" t="s">
        <v>130</v>
      </c>
    </row>
    <row r="44" spans="1:11" ht="76.5">
      <c r="A44" t="s">
        <v>131</v>
      </c>
      <c r="D44" s="1"/>
      <c r="G44">
        <v>4</v>
      </c>
      <c r="H44" s="45" t="s">
        <v>132</v>
      </c>
      <c r="I44" s="1"/>
    </row>
    <row r="45" spans="1:11" ht="30.75">
      <c r="A45" s="7" t="s">
        <v>133</v>
      </c>
      <c r="B45" s="22">
        <f xml:space="preserve"> H17*H12*B22/(C9*C9*B20)*9.8</f>
        <v>1.0933415885408549E-15</v>
      </c>
      <c r="C45" s="27" t="s">
        <v>134</v>
      </c>
      <c r="D45" s="1" t="s">
        <v>135</v>
      </c>
      <c r="G45">
        <v>5</v>
      </c>
      <c r="H45" s="45" t="s">
        <v>136</v>
      </c>
      <c r="I45" s="1" t="s">
        <v>137</v>
      </c>
    </row>
    <row r="46" spans="1:11">
      <c r="A46" t="s">
        <v>138</v>
      </c>
      <c r="D46" s="1"/>
      <c r="H46" s="45"/>
      <c r="I46" s="1"/>
    </row>
    <row r="47" spans="1:11">
      <c r="A47" s="7" t="s">
        <v>139</v>
      </c>
      <c r="B47" s="22">
        <f>((8/27)*B20*(C9)^3/(H17*H12))^0.5</f>
        <v>1.907284072528223</v>
      </c>
      <c r="C47" t="s">
        <v>140</v>
      </c>
      <c r="D47" t="s">
        <v>141</v>
      </c>
    </row>
    <row r="48" spans="1:11">
      <c r="A48" t="s">
        <v>142</v>
      </c>
      <c r="B48" s="22">
        <f>((8/27)*F22*(C9)^3/(H17*H12))^0.5</f>
        <v>1.907284072528223</v>
      </c>
      <c r="C48" t="s">
        <v>140</v>
      </c>
      <c r="D48" t="s">
        <v>143</v>
      </c>
    </row>
    <row r="49" spans="1:5">
      <c r="D49" t="s">
        <v>144</v>
      </c>
      <c r="E49" t="s">
        <v>145</v>
      </c>
    </row>
    <row r="50" spans="1:5">
      <c r="A50" s="7" t="s">
        <v>146</v>
      </c>
    </row>
    <row r="51" spans="1:5">
      <c r="A51" t="s">
        <v>147</v>
      </c>
      <c r="B51" s="22">
        <f>(H15*H14/B22)^0.5</f>
        <v>1.7389420195886028E-6</v>
      </c>
    </row>
    <row r="53" spans="1:5">
      <c r="A53" s="7" t="s">
        <v>148</v>
      </c>
    </row>
    <row r="55" spans="1:5">
      <c r="A55" t="s">
        <v>149</v>
      </c>
      <c r="B55" t="s">
        <v>150</v>
      </c>
    </row>
    <row r="57" spans="1:5">
      <c r="A57" t="s">
        <v>151</v>
      </c>
    </row>
    <row r="58" spans="1:5">
      <c r="A58" t="s">
        <v>152</v>
      </c>
      <c r="B58" s="26">
        <f xml:space="preserve"> C14*(C12)^3/12</f>
        <v>2.6666666666666668E-23</v>
      </c>
    </row>
    <row r="59" spans="1:5">
      <c r="A59" t="s">
        <v>153</v>
      </c>
      <c r="B59" s="26">
        <f xml:space="preserve"> 12*C16*B58/(0.0001315)^3</f>
        <v>23.923330562983804</v>
      </c>
    </row>
    <row r="60" spans="1:5">
      <c r="A60" t="s">
        <v>154</v>
      </c>
      <c r="B60" s="26">
        <f xml:space="preserve"> 12*C16*B58/(0.0001315)^3</f>
        <v>23.923330562983804</v>
      </c>
    </row>
    <row r="61" spans="1:5">
      <c r="A61" t="s">
        <v>155</v>
      </c>
      <c r="B61" s="26">
        <f xml:space="preserve"> 3*C16*B58/(0.000285)</f>
        <v>4.7719298245614039E-8</v>
      </c>
    </row>
    <row r="62" spans="1:5">
      <c r="A62" t="s">
        <v>156</v>
      </c>
      <c r="B62" s="26">
        <f>2/B61 + 1/B59</f>
        <v>41911764.747682549</v>
      </c>
    </row>
    <row r="63" spans="1:5">
      <c r="A63" t="s">
        <v>157</v>
      </c>
      <c r="B63" s="26">
        <f xml:space="preserve"> 1/B62</f>
        <v>2.3859649099010883E-8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B20C7B43144498A926D3771D99AB0" ma:contentTypeVersion="13" ma:contentTypeDescription="Create a new document." ma:contentTypeScope="" ma:versionID="98f579f5789425c119d8d6df809c7898">
  <xsd:schema xmlns:xsd="http://www.w3.org/2001/XMLSchema" xmlns:xs="http://www.w3.org/2001/XMLSchema" xmlns:p="http://schemas.microsoft.com/office/2006/metadata/properties" xmlns:ns2="ab85ff26-82a3-42e7-89d4-d6f936685b5d" xmlns:ns3="ba900369-172d-4ceb-8f29-beea8be95675" targetNamespace="http://schemas.microsoft.com/office/2006/metadata/properties" ma:root="true" ma:fieldsID="2f8103a1d0748db3716cab26bc9fabbb" ns2:_="" ns3:_="">
    <xsd:import namespace="ab85ff26-82a3-42e7-89d4-d6f936685b5d"/>
    <xsd:import namespace="ba900369-172d-4ceb-8f29-beea8be95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5ff26-82a3-42e7-89d4-d6f936685b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00369-172d-4ceb-8f29-beea8be95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238dddc-abcf-4b19-8d9d-e0fc635be366}" ma:internalName="TaxCatchAll" ma:showField="CatchAllData" ma:web="ba900369-172d-4ceb-8f29-beea8be95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900369-172d-4ceb-8f29-beea8be95675" xsi:nil="true"/>
    <lcf76f155ced4ddcb4097134ff3c332f xmlns="ab85ff26-82a3-42e7-89d4-d6f936685b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647F17-6F10-4A80-926D-CB8A98E50B50}"/>
</file>

<file path=customXml/itemProps2.xml><?xml version="1.0" encoding="utf-8"?>
<ds:datastoreItem xmlns:ds="http://schemas.openxmlformats.org/officeDocument/2006/customXml" ds:itemID="{0601886B-00C6-4E80-8077-B03125C0298C}"/>
</file>

<file path=customXml/itemProps3.xml><?xml version="1.0" encoding="utf-8"?>
<ds:datastoreItem xmlns:ds="http://schemas.openxmlformats.org/officeDocument/2006/customXml" ds:itemID="{61F890F1-339D-477C-9710-C2DE79476C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Vaigunthan Puvanenthiram</cp:lastModifiedBy>
  <cp:revision/>
  <dcterms:created xsi:type="dcterms:W3CDTF">2015-06-05T18:17:20Z</dcterms:created>
  <dcterms:modified xsi:type="dcterms:W3CDTF">2024-05-10T11:16:45Z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0x0101006DFB20C7B43144498A926D3771D99AB0</vt:lpwstr>
  </property>
  <property fmtid="{D5CDD505-2E9C-101B-9397-08002B2CF9AE}" pid="3" name="MediaServiceImageTags">
    <vt:lpwstr/>
  </property>
</Properties>
</file>