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@Auburn\2016Spring\INSY7970_DataVisualization\projects\finalProject\"/>
    </mc:Choice>
  </mc:AlternateContent>
  <bookViews>
    <workbookView xWindow="0" yWindow="0" windowWidth="0" windowHeight="0" activeTab="5"/>
  </bookViews>
  <sheets>
    <sheet name="Sheet1" sheetId="1" r:id="rId1"/>
    <sheet name="Sheet2" sheetId="2" r:id="rId2"/>
    <sheet name="Sheet3" sheetId="3" r:id="rId3"/>
    <sheet name="chpt1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F6" i="6" l="1"/>
  <c r="G6" i="6"/>
  <c r="H6" i="6"/>
  <c r="I6" i="6"/>
  <c r="J6" i="6"/>
  <c r="K6" i="6"/>
  <c r="L6" i="6"/>
  <c r="M6" i="6"/>
  <c r="N6" i="6"/>
  <c r="E6" i="6"/>
  <c r="D5" i="6"/>
  <c r="D10" i="6"/>
  <c r="A2" i="6"/>
  <c r="A8" i="6"/>
  <c r="C3" i="6"/>
  <c r="D3" i="6"/>
  <c r="E3" i="6"/>
  <c r="F3" i="6"/>
  <c r="G3" i="6"/>
  <c r="H3" i="6"/>
  <c r="I3" i="6"/>
  <c r="B3" i="6"/>
  <c r="J12" i="6"/>
  <c r="F11" i="6"/>
  <c r="G11" i="6"/>
  <c r="H11" i="6"/>
  <c r="I11" i="6"/>
  <c r="J11" i="6"/>
  <c r="K11" i="6"/>
  <c r="K12" i="6" s="1"/>
  <c r="L11" i="6"/>
  <c r="L12" i="6" s="1"/>
  <c r="C9" i="6"/>
  <c r="D9" i="6"/>
  <c r="E9" i="6"/>
  <c r="F9" i="6"/>
  <c r="F12" i="6" s="1"/>
  <c r="G9" i="6"/>
  <c r="H9" i="6"/>
  <c r="H12" i="6" s="1"/>
  <c r="I9" i="6"/>
  <c r="B9" i="6"/>
  <c r="B2" i="6"/>
  <c r="C2" i="6" s="1"/>
  <c r="R20" i="4"/>
  <c r="L16" i="4"/>
  <c r="L17" i="4"/>
  <c r="L18" i="4"/>
  <c r="L15" i="4"/>
  <c r="N16" i="4"/>
  <c r="N17" i="4"/>
  <c r="N18" i="4"/>
  <c r="N15" i="4"/>
  <c r="Q16" i="4"/>
  <c r="Q17" i="4"/>
  <c r="Q18" i="4"/>
  <c r="Q20" i="4"/>
  <c r="Q15" i="4"/>
  <c r="Q4" i="4"/>
  <c r="Q5" i="4"/>
  <c r="Q6" i="4"/>
  <c r="Q7" i="4"/>
  <c r="L7" i="4" s="1"/>
  <c r="Q8" i="4"/>
  <c r="Q9" i="4"/>
  <c r="Q10" i="4"/>
  <c r="Q3" i="4"/>
  <c r="N4" i="4"/>
  <c r="N5" i="4"/>
  <c r="N6" i="4"/>
  <c r="N7" i="4"/>
  <c r="N8" i="4"/>
  <c r="N9" i="4"/>
  <c r="N10" i="4"/>
  <c r="N3" i="4"/>
  <c r="L5" i="4"/>
  <c r="L6" i="4"/>
  <c r="L8" i="4"/>
  <c r="L9" i="4"/>
  <c r="L10" i="4"/>
  <c r="L3" i="4"/>
  <c r="L4" i="4"/>
  <c r="K5" i="4"/>
  <c r="K6" i="4"/>
  <c r="K7" i="4" s="1"/>
  <c r="K8" i="4" s="1"/>
  <c r="K9" i="4" s="1"/>
  <c r="K10" i="4" s="1"/>
  <c r="K4" i="4"/>
  <c r="H20" i="5"/>
  <c r="F20" i="5" s="1"/>
  <c r="E20" i="5"/>
  <c r="H19" i="5"/>
  <c r="F19" i="5" s="1"/>
  <c r="E19" i="5"/>
  <c r="H18" i="5"/>
  <c r="F18" i="5" s="1"/>
  <c r="E18" i="5"/>
  <c r="C18" i="5"/>
  <c r="G18" i="5" s="1"/>
  <c r="H14" i="5"/>
  <c r="H13" i="5"/>
  <c r="H12" i="5"/>
  <c r="H11" i="5"/>
  <c r="H10" i="5"/>
  <c r="H9" i="5"/>
  <c r="H8" i="5"/>
  <c r="H7" i="5"/>
  <c r="F7" i="5" s="1"/>
  <c r="E7" i="5"/>
  <c r="D7" i="5"/>
  <c r="D8" i="5" s="1"/>
  <c r="B6" i="5"/>
  <c r="H21" i="4"/>
  <c r="H28" i="4"/>
  <c r="C28" i="4" s="1"/>
  <c r="H27" i="4"/>
  <c r="C27" i="4" s="1"/>
  <c r="H26" i="4"/>
  <c r="C26" i="4" s="1"/>
  <c r="H25" i="4"/>
  <c r="C25" i="4" s="1"/>
  <c r="H24" i="4"/>
  <c r="C24" i="4" s="1"/>
  <c r="E24" i="4"/>
  <c r="I20" i="4"/>
  <c r="H20" i="4"/>
  <c r="C20" i="4" s="1"/>
  <c r="H19" i="4"/>
  <c r="C19" i="4" s="1"/>
  <c r="E20" i="4"/>
  <c r="H18" i="4"/>
  <c r="C18" i="4" s="1"/>
  <c r="E18" i="4"/>
  <c r="E7" i="4"/>
  <c r="D7" i="4"/>
  <c r="H8" i="4"/>
  <c r="H9" i="4"/>
  <c r="H10" i="4"/>
  <c r="H11" i="4"/>
  <c r="H12" i="4"/>
  <c r="H13" i="4"/>
  <c r="H14" i="4"/>
  <c r="H7" i="4"/>
  <c r="B7" i="4"/>
  <c r="B8" i="4" s="1"/>
  <c r="B6" i="4"/>
  <c r="G12" i="6" l="1"/>
  <c r="I12" i="6"/>
  <c r="E12" i="6"/>
  <c r="D2" i="6"/>
  <c r="E2" i="6" s="1"/>
  <c r="F2" i="6"/>
  <c r="G2" i="6" s="1"/>
  <c r="H2" i="6" s="1"/>
  <c r="I2" i="6" s="1"/>
  <c r="C19" i="5"/>
  <c r="G19" i="5" s="1"/>
  <c r="C20" i="5"/>
  <c r="G20" i="5" s="1"/>
  <c r="E8" i="5"/>
  <c r="F8" i="5" s="1"/>
  <c r="D9" i="5"/>
  <c r="B7" i="5"/>
  <c r="B8" i="5" s="1"/>
  <c r="B9" i="5" s="1"/>
  <c r="B10" i="5" s="1"/>
  <c r="B11" i="5" s="1"/>
  <c r="B12" i="5" s="1"/>
  <c r="B13" i="5" s="1"/>
  <c r="B14" i="5" s="1"/>
  <c r="C14" i="5" s="1"/>
  <c r="C8" i="5"/>
  <c r="C9" i="5"/>
  <c r="C7" i="5"/>
  <c r="G7" i="5" s="1"/>
  <c r="C11" i="5"/>
  <c r="C10" i="5"/>
  <c r="O5" i="4"/>
  <c r="O4" i="4"/>
  <c r="P4" i="4" s="1"/>
  <c r="O10" i="4"/>
  <c r="O17" i="4"/>
  <c r="O18" i="4"/>
  <c r="P18" i="4" s="1"/>
  <c r="O16" i="4"/>
  <c r="P16" i="4" s="1"/>
  <c r="F24" i="4"/>
  <c r="C9" i="4"/>
  <c r="B9" i="4"/>
  <c r="B10" i="4" s="1"/>
  <c r="C8" i="4"/>
  <c r="O6" i="4"/>
  <c r="O8" i="4"/>
  <c r="C7" i="4"/>
  <c r="O3" i="4"/>
  <c r="P3" i="4" s="1"/>
  <c r="O7" i="4"/>
  <c r="O15" i="4"/>
  <c r="P15" i="4" s="1"/>
  <c r="F18" i="4"/>
  <c r="G18" i="4" s="1"/>
  <c r="F7" i="4"/>
  <c r="G7" i="4" s="1"/>
  <c r="O9" i="4"/>
  <c r="E25" i="4"/>
  <c r="F25" i="4" s="1"/>
  <c r="E19" i="4"/>
  <c r="F20" i="4" s="1"/>
  <c r="P17" i="4"/>
  <c r="D8" i="4"/>
  <c r="E8" i="4" s="1"/>
  <c r="Q86" i="2"/>
  <c r="Q94" i="2" s="1"/>
  <c r="E86" i="2"/>
  <c r="F86" i="2"/>
  <c r="G86" i="2"/>
  <c r="H86" i="2"/>
  <c r="H94" i="2" s="1"/>
  <c r="I86" i="2"/>
  <c r="J86" i="2"/>
  <c r="K86" i="2"/>
  <c r="L86" i="2"/>
  <c r="L94" i="2" s="1"/>
  <c r="M86" i="2"/>
  <c r="N86" i="2"/>
  <c r="O86" i="2"/>
  <c r="O85" i="2" s="1"/>
  <c r="O88" i="2" s="1"/>
  <c r="O89" i="2" s="1"/>
  <c r="P86" i="2"/>
  <c r="P94" i="2" s="1"/>
  <c r="D86" i="2"/>
  <c r="C86" i="2"/>
  <c r="B102" i="2"/>
  <c r="B101" i="2"/>
  <c r="O94" i="2"/>
  <c r="N94" i="2"/>
  <c r="M94" i="2"/>
  <c r="K94" i="2"/>
  <c r="J94" i="2"/>
  <c r="I94" i="2"/>
  <c r="G94" i="2"/>
  <c r="F94" i="2"/>
  <c r="E94" i="2"/>
  <c r="D94" i="2"/>
  <c r="C94" i="2"/>
  <c r="K85" i="2"/>
  <c r="K88" i="2" s="1"/>
  <c r="K89" i="2" s="1"/>
  <c r="G85" i="2"/>
  <c r="G88" i="2" s="1"/>
  <c r="G89" i="2" s="1"/>
  <c r="D85" i="2"/>
  <c r="D88" i="2" s="1"/>
  <c r="D89" i="2" s="1"/>
  <c r="C85" i="2"/>
  <c r="C88" i="2" s="1"/>
  <c r="C89" i="2" s="1"/>
  <c r="V75" i="2"/>
  <c r="V63" i="2"/>
  <c r="V71" i="2" s="1"/>
  <c r="C63" i="2"/>
  <c r="D63" i="2"/>
  <c r="D71" i="2" s="1"/>
  <c r="E63" i="2"/>
  <c r="E61" i="2" s="1"/>
  <c r="E65" i="2" s="1"/>
  <c r="E66" i="2" s="1"/>
  <c r="F63" i="2"/>
  <c r="G63" i="2"/>
  <c r="G71" i="2" s="1"/>
  <c r="H63" i="2"/>
  <c r="H71" i="2" s="1"/>
  <c r="I63" i="2"/>
  <c r="I71" i="2" s="1"/>
  <c r="J63" i="2"/>
  <c r="J71" i="2" s="1"/>
  <c r="K63" i="2"/>
  <c r="K71" i="2" s="1"/>
  <c r="L63" i="2"/>
  <c r="L61" i="2" s="1"/>
  <c r="L65" i="2" s="1"/>
  <c r="L66" i="2" s="1"/>
  <c r="M63" i="2"/>
  <c r="M71" i="2" s="1"/>
  <c r="N63" i="2"/>
  <c r="N61" i="2" s="1"/>
  <c r="N65" i="2" s="1"/>
  <c r="N66" i="2" s="1"/>
  <c r="O63" i="2"/>
  <c r="O71" i="2" s="1"/>
  <c r="P63" i="2"/>
  <c r="P71" i="2" s="1"/>
  <c r="Q63" i="2"/>
  <c r="Q71" i="2" s="1"/>
  <c r="R63" i="2"/>
  <c r="R71" i="2" s="1"/>
  <c r="S63" i="2"/>
  <c r="S71" i="2" s="1"/>
  <c r="T63" i="2"/>
  <c r="T71" i="2" s="1"/>
  <c r="U63" i="2"/>
  <c r="U71" i="2" s="1"/>
  <c r="F71" i="2"/>
  <c r="B78" i="2"/>
  <c r="B79" i="2" s="1"/>
  <c r="N71" i="2"/>
  <c r="C71" i="2"/>
  <c r="T61" i="2"/>
  <c r="T65" i="2" s="1"/>
  <c r="T66" i="2" s="1"/>
  <c r="C61" i="2"/>
  <c r="C65" i="2" s="1"/>
  <c r="C66" i="2" s="1"/>
  <c r="L18" i="2"/>
  <c r="O8" i="2" s="1"/>
  <c r="B18" i="2"/>
  <c r="E8" i="2" s="1"/>
  <c r="E5" i="2" s="1"/>
  <c r="AA52" i="2"/>
  <c r="AA53" i="2" s="1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C35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C33" i="2"/>
  <c r="O16" i="3"/>
  <c r="N16" i="3"/>
  <c r="N18" i="3" s="1"/>
  <c r="N19" i="3" s="1"/>
  <c r="O12" i="3"/>
  <c r="P12" i="3" s="1"/>
  <c r="T12" i="3" s="1"/>
  <c r="T11" i="3"/>
  <c r="T16" i="3" s="1"/>
  <c r="T18" i="3" s="1"/>
  <c r="T19" i="3" s="1"/>
  <c r="P11" i="3"/>
  <c r="P16" i="3" s="1"/>
  <c r="O11" i="3"/>
  <c r="T8" i="3"/>
  <c r="P8" i="3"/>
  <c r="O8" i="3"/>
  <c r="P3" i="3"/>
  <c r="T3" i="3" s="1"/>
  <c r="O3" i="3"/>
  <c r="B55" i="2"/>
  <c r="B56" i="2" s="1"/>
  <c r="J38" i="2"/>
  <c r="H38" i="2"/>
  <c r="I38" i="2"/>
  <c r="G38" i="2"/>
  <c r="F38" i="2"/>
  <c r="E38" i="2"/>
  <c r="D38" i="2"/>
  <c r="C38" i="2"/>
  <c r="AA37" i="2"/>
  <c r="AA46" i="2" s="1"/>
  <c r="C37" i="2"/>
  <c r="D37" i="2"/>
  <c r="D46" i="2" s="1"/>
  <c r="E37" i="2"/>
  <c r="F37" i="2"/>
  <c r="F46" i="2" s="1"/>
  <c r="G37" i="2"/>
  <c r="H37" i="2"/>
  <c r="I37" i="2"/>
  <c r="J37" i="2"/>
  <c r="K37" i="2"/>
  <c r="K46" i="2" s="1"/>
  <c r="L37" i="2"/>
  <c r="L46" i="2" s="1"/>
  <c r="M37" i="2"/>
  <c r="M46" i="2" s="1"/>
  <c r="N37" i="2"/>
  <c r="O37" i="2"/>
  <c r="O46" i="2" s="1"/>
  <c r="P37" i="2"/>
  <c r="P46" i="2" s="1"/>
  <c r="Q37" i="2"/>
  <c r="Q46" i="2" s="1"/>
  <c r="R37" i="2"/>
  <c r="R46" i="2" s="1"/>
  <c r="S37" i="2"/>
  <c r="S46" i="2" s="1"/>
  <c r="T37" i="2"/>
  <c r="T46" i="2" s="1"/>
  <c r="U37" i="2"/>
  <c r="U46" i="2" s="1"/>
  <c r="V37" i="2"/>
  <c r="V46" i="2" s="1"/>
  <c r="W37" i="2"/>
  <c r="W46" i="2" s="1"/>
  <c r="X37" i="2"/>
  <c r="X46" i="2" s="1"/>
  <c r="Y37" i="2"/>
  <c r="Y46" i="2" s="1"/>
  <c r="Z37" i="2"/>
  <c r="F21" i="2"/>
  <c r="D17" i="3"/>
  <c r="H17" i="3"/>
  <c r="B17" i="3"/>
  <c r="B19" i="3" s="1"/>
  <c r="B20" i="3" s="1"/>
  <c r="H12" i="3"/>
  <c r="G12" i="3"/>
  <c r="G17" i="3" s="1"/>
  <c r="F12" i="3"/>
  <c r="F17" i="3" s="1"/>
  <c r="E12" i="3"/>
  <c r="E17" i="3" s="1"/>
  <c r="D12" i="3"/>
  <c r="C12" i="3"/>
  <c r="C13" i="3" s="1"/>
  <c r="D13" i="3" s="1"/>
  <c r="E13" i="3" s="1"/>
  <c r="F13" i="3" s="1"/>
  <c r="G13" i="3" s="1"/>
  <c r="H13" i="3" s="1"/>
  <c r="D9" i="3"/>
  <c r="E9" i="3"/>
  <c r="F9" i="3"/>
  <c r="C9" i="3"/>
  <c r="C4" i="3"/>
  <c r="D4" i="3" s="1"/>
  <c r="E4" i="3" s="1"/>
  <c r="F4" i="3" s="1"/>
  <c r="G4" i="3" s="1"/>
  <c r="H4" i="3" s="1"/>
  <c r="J17" i="1"/>
  <c r="F17" i="1"/>
  <c r="F16" i="1" s="1"/>
  <c r="F19" i="1"/>
  <c r="F27" i="1" s="1"/>
  <c r="C15" i="1"/>
  <c r="C17" i="1"/>
  <c r="D17" i="1"/>
  <c r="E17" i="1"/>
  <c r="G17" i="1"/>
  <c r="J3" i="1"/>
  <c r="K3" i="1"/>
  <c r="B3" i="1" s="1"/>
  <c r="F15" i="1" s="1"/>
  <c r="F20" i="1" s="1"/>
  <c r="L3" i="1"/>
  <c r="M3" i="1"/>
  <c r="N3" i="1"/>
  <c r="O3" i="1"/>
  <c r="P3" i="1"/>
  <c r="Q3" i="1"/>
  <c r="I3" i="1"/>
  <c r="G30" i="1"/>
  <c r="B34" i="1"/>
  <c r="B35" i="1" s="1"/>
  <c r="G19" i="1"/>
  <c r="G27" i="1" s="1"/>
  <c r="E19" i="1"/>
  <c r="E27" i="1" s="1"/>
  <c r="D19" i="1"/>
  <c r="D27" i="1" s="1"/>
  <c r="C19" i="1"/>
  <c r="C27" i="1" s="1"/>
  <c r="E5" i="6" l="1"/>
  <c r="F5" i="6" s="1"/>
  <c r="G5" i="6" s="1"/>
  <c r="G8" i="5"/>
  <c r="C13" i="5"/>
  <c r="C12" i="5"/>
  <c r="E9" i="5"/>
  <c r="D10" i="5"/>
  <c r="F19" i="4"/>
  <c r="G19" i="4" s="1"/>
  <c r="P5" i="4"/>
  <c r="F8" i="4"/>
  <c r="G8" i="4" s="1"/>
  <c r="B11" i="4"/>
  <c r="C10" i="4"/>
  <c r="E26" i="4"/>
  <c r="F26" i="4" s="1"/>
  <c r="G20" i="4"/>
  <c r="D9" i="4"/>
  <c r="L85" i="2"/>
  <c r="L88" i="2" s="1"/>
  <c r="L89" i="2" s="1"/>
  <c r="H61" i="2"/>
  <c r="H65" i="2" s="1"/>
  <c r="H66" i="2" s="1"/>
  <c r="J61" i="2"/>
  <c r="J65" i="2" s="1"/>
  <c r="J66" i="2" s="1"/>
  <c r="H85" i="2"/>
  <c r="H88" i="2" s="1"/>
  <c r="P85" i="2"/>
  <c r="P88" i="2" s="1"/>
  <c r="L71" i="2"/>
  <c r="E85" i="2"/>
  <c r="E88" i="2" s="1"/>
  <c r="I85" i="2"/>
  <c r="I88" i="2" s="1"/>
  <c r="M85" i="2"/>
  <c r="M88" i="2" s="1"/>
  <c r="Q85" i="2"/>
  <c r="Q88" i="2" s="1"/>
  <c r="E71" i="2"/>
  <c r="W72" i="2" s="1"/>
  <c r="W73" i="2" s="1"/>
  <c r="V76" i="2" s="1"/>
  <c r="F85" i="2"/>
  <c r="F88" i="2" s="1"/>
  <c r="J85" i="2"/>
  <c r="J88" i="2" s="1"/>
  <c r="N85" i="2"/>
  <c r="N88" i="2" s="1"/>
  <c r="N89" i="2" s="1"/>
  <c r="C90" i="2"/>
  <c r="G90" i="2"/>
  <c r="G93" i="2" s="1"/>
  <c r="G101" i="2" s="1"/>
  <c r="G102" i="2" s="1"/>
  <c r="K90" i="2"/>
  <c r="K93" i="2" s="1"/>
  <c r="K101" i="2" s="1"/>
  <c r="K102" i="2" s="1"/>
  <c r="N90" i="2"/>
  <c r="N93" i="2" s="1"/>
  <c r="N101" i="2" s="1"/>
  <c r="N102" i="2" s="1"/>
  <c r="R94" i="2"/>
  <c r="R96" i="2" s="1"/>
  <c r="Q99" i="2" s="1"/>
  <c r="D90" i="2"/>
  <c r="D93" i="2" s="1"/>
  <c r="D101" i="2" s="1"/>
  <c r="D102" i="2" s="1"/>
  <c r="L90" i="2"/>
  <c r="L93" i="2" s="1"/>
  <c r="L101" i="2" s="1"/>
  <c r="L102" i="2" s="1"/>
  <c r="O90" i="2"/>
  <c r="O93" i="2" s="1"/>
  <c r="O101" i="2" s="1"/>
  <c r="O102" i="2" s="1"/>
  <c r="U61" i="2"/>
  <c r="U65" i="2" s="1"/>
  <c r="U66" i="2" s="1"/>
  <c r="Z34" i="2"/>
  <c r="Z40" i="2" s="1"/>
  <c r="Z41" i="2" s="1"/>
  <c r="N34" i="2"/>
  <c r="N40" i="2" s="1"/>
  <c r="N41" i="2" s="1"/>
  <c r="I61" i="2"/>
  <c r="I65" i="2" s="1"/>
  <c r="P61" i="2"/>
  <c r="P65" i="2" s="1"/>
  <c r="P66" i="2" s="1"/>
  <c r="D61" i="2"/>
  <c r="D65" i="2" s="1"/>
  <c r="D66" i="2" s="1"/>
  <c r="Q61" i="2"/>
  <c r="Q65" i="2" s="1"/>
  <c r="Q66" i="2" s="1"/>
  <c r="F61" i="2"/>
  <c r="F65" i="2" s="1"/>
  <c r="V61" i="2"/>
  <c r="V65" i="2" s="1"/>
  <c r="M61" i="2"/>
  <c r="M65" i="2" s="1"/>
  <c r="M66" i="2" s="1"/>
  <c r="R61" i="2"/>
  <c r="R65" i="2" s="1"/>
  <c r="R66" i="2" s="1"/>
  <c r="G61" i="2"/>
  <c r="G65" i="2" s="1"/>
  <c r="K61" i="2"/>
  <c r="K65" i="2" s="1"/>
  <c r="K66" i="2" s="1"/>
  <c r="O61" i="2"/>
  <c r="O65" i="2" s="1"/>
  <c r="S61" i="2"/>
  <c r="S65" i="2" s="1"/>
  <c r="G46" i="2"/>
  <c r="T34" i="2"/>
  <c r="V34" i="2"/>
  <c r="V40" i="2" s="1"/>
  <c r="V41" i="2" s="1"/>
  <c r="H46" i="2"/>
  <c r="N46" i="2"/>
  <c r="X34" i="2"/>
  <c r="X40" i="2" s="1"/>
  <c r="X41" i="2" s="1"/>
  <c r="P34" i="2"/>
  <c r="L34" i="2"/>
  <c r="L40" i="2" s="1"/>
  <c r="L41" i="2" s="1"/>
  <c r="H34" i="2"/>
  <c r="H40" i="2" s="1"/>
  <c r="H41" i="2" s="1"/>
  <c r="AA34" i="2"/>
  <c r="AA40" i="2" s="1"/>
  <c r="AA41" i="2" s="1"/>
  <c r="H67" i="2"/>
  <c r="H70" i="2" s="1"/>
  <c r="H78" i="2" s="1"/>
  <c r="H79" i="2" s="1"/>
  <c r="P67" i="2"/>
  <c r="P70" i="2" s="1"/>
  <c r="P78" i="2" s="1"/>
  <c r="P79" i="2" s="1"/>
  <c r="E67" i="2"/>
  <c r="E70" i="2" s="1"/>
  <c r="U67" i="2"/>
  <c r="U70" i="2" s="1"/>
  <c r="U78" i="2" s="1"/>
  <c r="U79" i="2" s="1"/>
  <c r="D67" i="2"/>
  <c r="D70" i="2" s="1"/>
  <c r="D78" i="2" s="1"/>
  <c r="D79" i="2" s="1"/>
  <c r="L67" i="2"/>
  <c r="L70" i="2" s="1"/>
  <c r="L78" i="2" s="1"/>
  <c r="L79" i="2" s="1"/>
  <c r="T67" i="2"/>
  <c r="T70" i="2" s="1"/>
  <c r="T78" i="2" s="1"/>
  <c r="T79" i="2" s="1"/>
  <c r="J67" i="2"/>
  <c r="J70" i="2" s="1"/>
  <c r="J78" i="2" s="1"/>
  <c r="J79" i="2" s="1"/>
  <c r="N67" i="2"/>
  <c r="N70" i="2" s="1"/>
  <c r="N78" i="2" s="1"/>
  <c r="N79" i="2" s="1"/>
  <c r="C67" i="2"/>
  <c r="C70" i="2" s="1"/>
  <c r="C78" i="2" s="1"/>
  <c r="C79" i="2" s="1"/>
  <c r="K67" i="2"/>
  <c r="K70" i="2" s="1"/>
  <c r="K78" i="2" s="1"/>
  <c r="K79" i="2" s="1"/>
  <c r="C34" i="2"/>
  <c r="C40" i="2" s="1"/>
  <c r="C41" i="2" s="1"/>
  <c r="E46" i="2"/>
  <c r="J46" i="2"/>
  <c r="R34" i="2"/>
  <c r="R40" i="2" s="1"/>
  <c r="R41" i="2" s="1"/>
  <c r="C46" i="2"/>
  <c r="Z46" i="2"/>
  <c r="J34" i="2"/>
  <c r="J40" i="2" s="1"/>
  <c r="J41" i="2" s="1"/>
  <c r="F34" i="2"/>
  <c r="F40" i="2" s="1"/>
  <c r="F41" i="2" s="1"/>
  <c r="I46" i="2"/>
  <c r="D34" i="2"/>
  <c r="D40" i="2" s="1"/>
  <c r="D41" i="2" s="1"/>
  <c r="T40" i="2"/>
  <c r="T41" i="2" s="1"/>
  <c r="P40" i="2"/>
  <c r="P41" i="2" s="1"/>
  <c r="Y34" i="2"/>
  <c r="Y40" i="2" s="1"/>
  <c r="Y41" i="2" s="1"/>
  <c r="U34" i="2"/>
  <c r="U40" i="2" s="1"/>
  <c r="U41" i="2" s="1"/>
  <c r="Q34" i="2"/>
  <c r="Q40" i="2" s="1"/>
  <c r="Q41" i="2" s="1"/>
  <c r="M34" i="2"/>
  <c r="M40" i="2" s="1"/>
  <c r="M41" i="2" s="1"/>
  <c r="I34" i="2"/>
  <c r="I40" i="2" s="1"/>
  <c r="I41" i="2" s="1"/>
  <c r="E34" i="2"/>
  <c r="E40" i="2" s="1"/>
  <c r="E41" i="2" s="1"/>
  <c r="W34" i="2"/>
  <c r="W40" i="2" s="1"/>
  <c r="W41" i="2" s="1"/>
  <c r="S34" i="2"/>
  <c r="S40" i="2" s="1"/>
  <c r="S41" i="2" s="1"/>
  <c r="O34" i="2"/>
  <c r="O40" i="2" s="1"/>
  <c r="O41" i="2" s="1"/>
  <c r="K34" i="2"/>
  <c r="K40" i="2" s="1"/>
  <c r="K41" i="2" s="1"/>
  <c r="G34" i="2"/>
  <c r="G40" i="2" s="1"/>
  <c r="G41" i="2" s="1"/>
  <c r="P18" i="3"/>
  <c r="P19" i="3" s="1"/>
  <c r="O18" i="3"/>
  <c r="O19" i="3" s="1"/>
  <c r="M19" i="3" s="1"/>
  <c r="F19" i="3"/>
  <c r="F20" i="3" s="1"/>
  <c r="E19" i="3"/>
  <c r="E20" i="3" s="1"/>
  <c r="D19" i="3"/>
  <c r="D20" i="3" s="1"/>
  <c r="C17" i="3"/>
  <c r="C19" i="3" s="1"/>
  <c r="C20" i="3" s="1"/>
  <c r="B23" i="2"/>
  <c r="B24" i="2" s="1"/>
  <c r="D8" i="2"/>
  <c r="D16" i="2" s="1"/>
  <c r="M8" i="2"/>
  <c r="M5" i="2" s="1"/>
  <c r="N8" i="2"/>
  <c r="N5" i="2" s="1"/>
  <c r="L23" i="2"/>
  <c r="L24" i="2" s="1"/>
  <c r="O5" i="2"/>
  <c r="O9" i="2" s="1"/>
  <c r="O16" i="2"/>
  <c r="F8" i="2"/>
  <c r="C8" i="2"/>
  <c r="G9" i="3"/>
  <c r="G19" i="3" s="1"/>
  <c r="G20" i="3" s="1"/>
  <c r="H9" i="3"/>
  <c r="H19" i="3" s="1"/>
  <c r="H20" i="3" s="1"/>
  <c r="E9" i="2"/>
  <c r="E16" i="2"/>
  <c r="F21" i="1"/>
  <c r="F22" i="1"/>
  <c r="F26" i="1" s="1"/>
  <c r="F34" i="1" s="1"/>
  <c r="F35" i="1" s="1"/>
  <c r="G15" i="1"/>
  <c r="E15" i="1"/>
  <c r="D15" i="1"/>
  <c r="G31" i="1"/>
  <c r="D16" i="1"/>
  <c r="C16" i="1"/>
  <c r="E16" i="1"/>
  <c r="G16" i="1"/>
  <c r="G20" i="1" s="1"/>
  <c r="H5" i="6" l="1"/>
  <c r="I5" i="6" s="1"/>
  <c r="J5" i="6" s="1"/>
  <c r="K5" i="6" s="1"/>
  <c r="L5" i="6" s="1"/>
  <c r="M5" i="6" s="1"/>
  <c r="N5" i="6" s="1"/>
  <c r="D11" i="5"/>
  <c r="E10" i="5"/>
  <c r="F9" i="5"/>
  <c r="G9" i="5" s="1"/>
  <c r="F10" i="5"/>
  <c r="G10" i="5" s="1"/>
  <c r="B12" i="4"/>
  <c r="C11" i="4"/>
  <c r="P6" i="4"/>
  <c r="D10" i="4"/>
  <c r="E9" i="4"/>
  <c r="E28" i="4"/>
  <c r="E27" i="4"/>
  <c r="F89" i="2"/>
  <c r="F90" i="2" s="1"/>
  <c r="F93" i="2" s="1"/>
  <c r="F101" i="2" s="1"/>
  <c r="F102" i="2" s="1"/>
  <c r="I89" i="2"/>
  <c r="I90" i="2" s="1"/>
  <c r="I93" i="2" s="1"/>
  <c r="I101" i="2" s="1"/>
  <c r="I102" i="2" s="1"/>
  <c r="H89" i="2"/>
  <c r="H90" i="2" s="1"/>
  <c r="H93" i="2" s="1"/>
  <c r="H101" i="2" s="1"/>
  <c r="H102" i="2" s="1"/>
  <c r="E89" i="2"/>
  <c r="E90" i="2" s="1"/>
  <c r="E93" i="2" s="1"/>
  <c r="E101" i="2" s="1"/>
  <c r="E102" i="2" s="1"/>
  <c r="Q89" i="2"/>
  <c r="Q90" i="2" s="1"/>
  <c r="Q93" i="2" s="1"/>
  <c r="Q101" i="2" s="1"/>
  <c r="Q102" i="2" s="1"/>
  <c r="J89" i="2"/>
  <c r="J90" i="2" s="1"/>
  <c r="J93" i="2" s="1"/>
  <c r="J101" i="2" s="1"/>
  <c r="J102" i="2" s="1"/>
  <c r="M89" i="2"/>
  <c r="M90" i="2" s="1"/>
  <c r="M93" i="2" s="1"/>
  <c r="M101" i="2" s="1"/>
  <c r="M102" i="2" s="1"/>
  <c r="P89" i="2"/>
  <c r="P90" i="2" s="1"/>
  <c r="P93" i="2" s="1"/>
  <c r="P101" i="2" s="1"/>
  <c r="P102" i="2" s="1"/>
  <c r="M67" i="2"/>
  <c r="M70" i="2" s="1"/>
  <c r="M78" i="2" s="1"/>
  <c r="M79" i="2" s="1"/>
  <c r="E78" i="2"/>
  <c r="E79" i="2" s="1"/>
  <c r="C93" i="2"/>
  <c r="C101" i="2" s="1"/>
  <c r="C102" i="2" s="1"/>
  <c r="S66" i="2"/>
  <c r="S67" i="2" s="1"/>
  <c r="S70" i="2" s="1"/>
  <c r="S78" i="2" s="1"/>
  <c r="S79" i="2" s="1"/>
  <c r="Q67" i="2"/>
  <c r="Q70" i="2" s="1"/>
  <c r="Q78" i="2" s="1"/>
  <c r="Q79" i="2" s="1"/>
  <c r="O66" i="2"/>
  <c r="O67" i="2" s="1"/>
  <c r="O70" i="2" s="1"/>
  <c r="O78" i="2" s="1"/>
  <c r="O79" i="2" s="1"/>
  <c r="R67" i="2"/>
  <c r="R70" i="2" s="1"/>
  <c r="R78" i="2" s="1"/>
  <c r="R79" i="2" s="1"/>
  <c r="V66" i="2"/>
  <c r="V67" i="2" s="1"/>
  <c r="V70" i="2" s="1"/>
  <c r="V78" i="2" s="1"/>
  <c r="V79" i="2" s="1"/>
  <c r="G66" i="2"/>
  <c r="G67" i="2" s="1"/>
  <c r="G70" i="2" s="1"/>
  <c r="G78" i="2" s="1"/>
  <c r="G79" i="2" s="1"/>
  <c r="F66" i="2"/>
  <c r="F67" i="2" s="1"/>
  <c r="F70" i="2" s="1"/>
  <c r="F78" i="2" s="1"/>
  <c r="F79" i="2" s="1"/>
  <c r="I66" i="2"/>
  <c r="I67" i="2" s="1"/>
  <c r="I70" i="2" s="1"/>
  <c r="I78" i="2" s="1"/>
  <c r="I79" i="2" s="1"/>
  <c r="H42" i="2"/>
  <c r="H45" i="2" s="1"/>
  <c r="H55" i="2" s="1"/>
  <c r="H56" i="2" s="1"/>
  <c r="X42" i="2"/>
  <c r="X45" i="2" s="1"/>
  <c r="X55" i="2" s="1"/>
  <c r="X56" i="2" s="1"/>
  <c r="V42" i="2"/>
  <c r="V45" i="2" s="1"/>
  <c r="V55" i="2" s="1"/>
  <c r="V56" i="2" s="1"/>
  <c r="T42" i="2"/>
  <c r="T45" i="2" s="1"/>
  <c r="T55" i="2" s="1"/>
  <c r="T56" i="2" s="1"/>
  <c r="R42" i="2"/>
  <c r="R45" i="2" s="1"/>
  <c r="R55" i="2" s="1"/>
  <c r="R56" i="2" s="1"/>
  <c r="P42" i="2"/>
  <c r="P45" i="2" s="1"/>
  <c r="P55" i="2" s="1"/>
  <c r="P56" i="2" s="1"/>
  <c r="F42" i="2"/>
  <c r="F45" i="2" s="1"/>
  <c r="F55" i="2" s="1"/>
  <c r="F56" i="2" s="1"/>
  <c r="J42" i="2"/>
  <c r="J45" i="2" s="1"/>
  <c r="J55" i="2" s="1"/>
  <c r="J56" i="2" s="1"/>
  <c r="Q42" i="2"/>
  <c r="Q45" i="2" s="1"/>
  <c r="Q55" i="2" s="1"/>
  <c r="Q56" i="2" s="1"/>
  <c r="L42" i="2"/>
  <c r="L45" i="2" s="1"/>
  <c r="L55" i="2" s="1"/>
  <c r="L56" i="2" s="1"/>
  <c r="AA42" i="2"/>
  <c r="AA45" i="2" s="1"/>
  <c r="AA55" i="2" s="1"/>
  <c r="AA56" i="2" s="1"/>
  <c r="S42" i="2"/>
  <c r="S45" i="2" s="1"/>
  <c r="S55" i="2" s="1"/>
  <c r="S56" i="2" s="1"/>
  <c r="N42" i="2"/>
  <c r="N45" i="2" s="1"/>
  <c r="N55" i="2" s="1"/>
  <c r="N56" i="2" s="1"/>
  <c r="U42" i="2"/>
  <c r="U45" i="2" s="1"/>
  <c r="U55" i="2" s="1"/>
  <c r="U56" i="2" s="1"/>
  <c r="I42" i="2"/>
  <c r="I45" i="2" s="1"/>
  <c r="I55" i="2" s="1"/>
  <c r="I56" i="2" s="1"/>
  <c r="Y42" i="2"/>
  <c r="Y45" i="2" s="1"/>
  <c r="Y55" i="2" s="1"/>
  <c r="Y56" i="2" s="1"/>
  <c r="Z42" i="2"/>
  <c r="Z45" i="2" s="1"/>
  <c r="Z55" i="2" s="1"/>
  <c r="Z56" i="2" s="1"/>
  <c r="D42" i="2"/>
  <c r="D45" i="2" s="1"/>
  <c r="D55" i="2" s="1"/>
  <c r="D56" i="2" s="1"/>
  <c r="C42" i="2"/>
  <c r="C45" i="2" s="1"/>
  <c r="C55" i="2" s="1"/>
  <c r="C56" i="2" s="1"/>
  <c r="E42" i="2"/>
  <c r="E45" i="2" s="1"/>
  <c r="E55" i="2" s="1"/>
  <c r="E56" i="2" s="1"/>
  <c r="K42" i="2"/>
  <c r="K45" i="2" s="1"/>
  <c r="K55" i="2" s="1"/>
  <c r="K56" i="2" s="1"/>
  <c r="M42" i="2"/>
  <c r="M45" i="2" s="1"/>
  <c r="M55" i="2" s="1"/>
  <c r="M56" i="2" s="1"/>
  <c r="D5" i="2"/>
  <c r="D9" i="2" s="1"/>
  <c r="D10" i="2" s="1"/>
  <c r="D11" i="2" s="1"/>
  <c r="D15" i="2" s="1"/>
  <c r="D23" i="2" s="1"/>
  <c r="N20" i="3"/>
  <c r="N21" i="3" s="1"/>
  <c r="A20" i="3"/>
  <c r="G42" i="2"/>
  <c r="G45" i="2" s="1"/>
  <c r="G55" i="2" s="1"/>
  <c r="G56" i="2" s="1"/>
  <c r="W42" i="2"/>
  <c r="W45" i="2" s="1"/>
  <c r="W55" i="2" s="1"/>
  <c r="W56" i="2" s="1"/>
  <c r="O42" i="2"/>
  <c r="O45" i="2" s="1"/>
  <c r="O55" i="2" s="1"/>
  <c r="O56" i="2" s="1"/>
  <c r="O10" i="2"/>
  <c r="O11" i="2" s="1"/>
  <c r="O15" i="2" s="1"/>
  <c r="M16" i="2"/>
  <c r="M9" i="2"/>
  <c r="C5" i="2"/>
  <c r="C9" i="2" s="1"/>
  <c r="C10" i="2" s="1"/>
  <c r="C16" i="2"/>
  <c r="N16" i="2"/>
  <c r="N9" i="2"/>
  <c r="N10" i="2" s="1"/>
  <c r="F16" i="2"/>
  <c r="F5" i="2"/>
  <c r="F9" i="2" s="1"/>
  <c r="B21" i="3"/>
  <c r="B22" i="3" s="1"/>
  <c r="E10" i="2"/>
  <c r="E11" i="2" s="1"/>
  <c r="E15" i="2" s="1"/>
  <c r="E23" i="2" s="1"/>
  <c r="E24" i="2" s="1"/>
  <c r="D20" i="1"/>
  <c r="C20" i="1"/>
  <c r="C21" i="1" s="1"/>
  <c r="C22" i="1" s="1"/>
  <c r="C26" i="1" s="1"/>
  <c r="C34" i="1" s="1"/>
  <c r="C35" i="1" s="1"/>
  <c r="E20" i="1"/>
  <c r="E21" i="1" s="1"/>
  <c r="E22" i="1" s="1"/>
  <c r="E26" i="1" s="1"/>
  <c r="E34" i="1" s="1"/>
  <c r="E35" i="1" s="1"/>
  <c r="G21" i="1"/>
  <c r="G22" i="1" s="1"/>
  <c r="G26" i="1" s="1"/>
  <c r="G34" i="1" s="1"/>
  <c r="G35" i="1" s="1"/>
  <c r="D21" i="1"/>
  <c r="D22" i="1" s="1"/>
  <c r="D26" i="1" s="1"/>
  <c r="D34" i="1" s="1"/>
  <c r="D35" i="1" s="1"/>
  <c r="D12" i="5" l="1"/>
  <c r="E11" i="5"/>
  <c r="F28" i="4"/>
  <c r="F27" i="4"/>
  <c r="P7" i="4"/>
  <c r="F9" i="4"/>
  <c r="G9" i="4" s="1"/>
  <c r="D11" i="4"/>
  <c r="E10" i="4"/>
  <c r="B13" i="4"/>
  <c r="C12" i="4"/>
  <c r="B80" i="2"/>
  <c r="C80" i="2" s="1"/>
  <c r="D80" i="2" s="1"/>
  <c r="B103" i="2"/>
  <c r="C103" i="2" s="1"/>
  <c r="D103" i="2" s="1"/>
  <c r="F20" i="2"/>
  <c r="B57" i="2"/>
  <c r="O20" i="2"/>
  <c r="O23" i="2" s="1"/>
  <c r="O24" i="2" s="1"/>
  <c r="C11" i="2"/>
  <c r="C15" i="2" s="1"/>
  <c r="C23" i="2" s="1"/>
  <c r="C24" i="2" s="1"/>
  <c r="P19" i="2"/>
  <c r="M10" i="2"/>
  <c r="M11" i="2" s="1"/>
  <c r="M15" i="2" s="1"/>
  <c r="M23" i="2" s="1"/>
  <c r="M24" i="2" s="1"/>
  <c r="N11" i="2"/>
  <c r="N15" i="2" s="1"/>
  <c r="N23" i="2" s="1"/>
  <c r="N24" i="2" s="1"/>
  <c r="F10" i="2"/>
  <c r="F11" i="2" s="1"/>
  <c r="F15" i="2" s="1"/>
  <c r="D24" i="2"/>
  <c r="B37" i="1"/>
  <c r="B38" i="1"/>
  <c r="E12" i="5" l="1"/>
  <c r="F12" i="5" s="1"/>
  <c r="G12" i="5" s="1"/>
  <c r="D13" i="5"/>
  <c r="F11" i="5"/>
  <c r="G11" i="5" s="1"/>
  <c r="B14" i="4"/>
  <c r="C14" i="4" s="1"/>
  <c r="C13" i="4"/>
  <c r="F10" i="4"/>
  <c r="G10" i="4" s="1"/>
  <c r="P8" i="4"/>
  <c r="D12" i="4"/>
  <c r="E11" i="4"/>
  <c r="L26" i="2"/>
  <c r="M26" i="2" s="1"/>
  <c r="L27" i="2"/>
  <c r="F23" i="2"/>
  <c r="E13" i="5" l="1"/>
  <c r="F13" i="5" s="1"/>
  <c r="G13" i="5" s="1"/>
  <c r="D14" i="5"/>
  <c r="E14" i="5" s="1"/>
  <c r="D13" i="4"/>
  <c r="E12" i="4"/>
  <c r="F12" i="4" s="1"/>
  <c r="G12" i="4" s="1"/>
  <c r="F11" i="4"/>
  <c r="G11" i="4" s="1"/>
  <c r="P10" i="4"/>
  <c r="P9" i="4"/>
  <c r="N26" i="2"/>
  <c r="L29" i="2"/>
  <c r="M27" i="2"/>
  <c r="N27" i="2" s="1"/>
  <c r="F24" i="2"/>
  <c r="B26" i="2" s="1"/>
  <c r="C27" i="2" s="1"/>
  <c r="B27" i="2"/>
  <c r="F14" i="5" l="1"/>
  <c r="G14" i="5" s="1"/>
  <c r="D14" i="4"/>
  <c r="E14" i="4" s="1"/>
  <c r="E13" i="4"/>
  <c r="G26" i="4" s="1"/>
  <c r="B29" i="2"/>
  <c r="G24" i="4" l="1"/>
  <c r="F13" i="4"/>
  <c r="G13" i="4" s="1"/>
  <c r="G25" i="4"/>
  <c r="G28" i="4"/>
  <c r="G27" i="4"/>
  <c r="F14" i="4"/>
  <c r="G14" i="4" s="1"/>
</calcChain>
</file>

<file path=xl/sharedStrings.xml><?xml version="1.0" encoding="utf-8"?>
<sst xmlns="http://schemas.openxmlformats.org/spreadsheetml/2006/main" count="250" uniqueCount="58">
  <si>
    <t>n</t>
  </si>
  <si>
    <t>Market Value</t>
  </si>
  <si>
    <t>O&amp;M Cost</t>
  </si>
  <si>
    <t>CR</t>
  </si>
  <si>
    <t>O&amp;M</t>
  </si>
  <si>
    <t>OC</t>
  </si>
  <si>
    <t>Income Statement</t>
  </si>
  <si>
    <t>End of Year</t>
  </si>
  <si>
    <t>Revenue</t>
  </si>
  <si>
    <t>Expenses</t>
  </si>
  <si>
    <t>Depreciation</t>
  </si>
  <si>
    <t>Taxable Income</t>
  </si>
  <si>
    <t>Income Taxes</t>
  </si>
  <si>
    <t>Net Income</t>
  </si>
  <si>
    <t>Cash Flow Statement</t>
  </si>
  <si>
    <t>Operating Activities</t>
  </si>
  <si>
    <t>Investment Activities</t>
  </si>
  <si>
    <t>Capital Investment</t>
  </si>
  <si>
    <t>Gains Tax</t>
  </si>
  <si>
    <t>Financing Activities</t>
  </si>
  <si>
    <t>Net Cash Flow</t>
  </si>
  <si>
    <t>PV</t>
  </si>
  <si>
    <t>Input Data (Base)</t>
  </si>
  <si>
    <t>Unit Price</t>
  </si>
  <si>
    <t>Demand</t>
  </si>
  <si>
    <t>Variable Cost</t>
  </si>
  <si>
    <t>Fixed Cost</t>
  </si>
  <si>
    <t>Salvage Value</t>
  </si>
  <si>
    <t>Tax Rate</t>
  </si>
  <si>
    <t>MARR</t>
  </si>
  <si>
    <t>Sensitivity Analysis</t>
  </si>
  <si>
    <t>Category</t>
  </si>
  <si>
    <t>NPV</t>
  </si>
  <si>
    <t>% Change</t>
  </si>
  <si>
    <t>NPW</t>
  </si>
  <si>
    <t>MARR=</t>
  </si>
  <si>
    <t>Tax Rate=</t>
  </si>
  <si>
    <t>Working Capital</t>
  </si>
  <si>
    <t>Book Value</t>
  </si>
  <si>
    <t>Removal Cost</t>
  </si>
  <si>
    <t>Operating Cost</t>
  </si>
  <si>
    <t>Defender</t>
  </si>
  <si>
    <t xml:space="preserve">tax rate = </t>
  </si>
  <si>
    <t>Challenger</t>
  </si>
  <si>
    <t>Sale Defender</t>
  </si>
  <si>
    <t>Incremental</t>
  </si>
  <si>
    <t>Capacity</t>
  </si>
  <si>
    <t>Depreciation (Building)</t>
  </si>
  <si>
    <t>Depreciation (furniure)</t>
  </si>
  <si>
    <t>Land</t>
  </si>
  <si>
    <t>Building</t>
  </si>
  <si>
    <t>Furniture</t>
  </si>
  <si>
    <t>disbursements</t>
  </si>
  <si>
    <t>OC increase</t>
  </si>
  <si>
    <t>MV decrease</t>
  </si>
  <si>
    <t>AEC</t>
  </si>
  <si>
    <t>P-&gt;A</t>
  </si>
  <si>
    <t>O&amp;M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</si>
</sst>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7" formatCode="_(&quot;$&quot;* #,##0.0_);_(&quot;$&quot;* \(#,##0.0\);_(&quot;$&quot;* &quot;-&quot;??_);_(@_)"/>
    <numFmt numFmtId="168" formatCode="_(&quot;$&quot;* #,##0_);_(&quot;$&quot;* \(#,##0\);_(&quot;$&quot;* &quot;-&quot;??_);_(@_)"/>
    <numFmt numFmtId="17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center"/>
    </xf>
    <xf numFmtId="9" fontId="0" fillId="0" borderId="0" xfId="2" applyFont="1"/>
    <xf numFmtId="44" fontId="0" fillId="0" borderId="0" xfId="1" applyFont="1"/>
    <xf numFmtId="167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44" fontId="0" fillId="0" borderId="0" xfId="1" applyNumberFormat="1" applyFont="1"/>
    <xf numFmtId="44" fontId="0" fillId="0" borderId="0" xfId="0" applyNumberFormat="1"/>
    <xf numFmtId="0" fontId="7" fillId="2" borderId="0" xfId="0" applyFont="1" applyFill="1"/>
    <xf numFmtId="0" fontId="8" fillId="0" borderId="0" xfId="0" applyFont="1"/>
    <xf numFmtId="168" fontId="8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74" fontId="0" fillId="0" borderId="0" xfId="0" applyNumberFormat="1"/>
    <xf numFmtId="0" fontId="0" fillId="0" borderId="0" xfId="0" applyFont="1"/>
    <xf numFmtId="44" fontId="1" fillId="0" borderId="0" xfId="1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1" fillId="0" borderId="0" xfId="1" applyNumberFormat="1" applyFont="1"/>
    <xf numFmtId="168" fontId="6" fillId="0" borderId="0" xfId="0" applyNumberFormat="1" applyFont="1" applyAlignment="1">
      <alignment horizontal="center"/>
    </xf>
    <xf numFmtId="168" fontId="6" fillId="2" borderId="0" xfId="0" applyNumberFormat="1" applyFont="1" applyFill="1" applyAlignment="1">
      <alignment horizontal="center"/>
    </xf>
    <xf numFmtId="168" fontId="2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9" workbookViewId="0">
      <selection activeCell="A40" sqref="A40"/>
    </sheetView>
  </sheetViews>
  <sheetFormatPr defaultRowHeight="15" x14ac:dyDescent="0.25"/>
  <cols>
    <col min="1" max="1" width="26.85546875" customWidth="1"/>
    <col min="2" max="2" width="15.42578125" bestFit="1" customWidth="1"/>
    <col min="3" max="7" width="13.7109375" bestFit="1" customWidth="1"/>
  </cols>
  <sheetData>
    <row r="1" spans="1:17" ht="15.75" x14ac:dyDescent="0.25">
      <c r="A1" s="2" t="s">
        <v>22</v>
      </c>
      <c r="D1" s="2" t="s">
        <v>30</v>
      </c>
    </row>
    <row r="2" spans="1:17" ht="15.75" x14ac:dyDescent="0.25">
      <c r="D2" s="3" t="s">
        <v>31</v>
      </c>
      <c r="E2" s="3"/>
      <c r="F2" s="3" t="s">
        <v>33</v>
      </c>
      <c r="I2" s="9">
        <v>-0.2</v>
      </c>
      <c r="J2" s="9">
        <v>-0.15</v>
      </c>
      <c r="K2" s="9">
        <v>-0.1</v>
      </c>
      <c r="L2" s="9">
        <v>-0.05</v>
      </c>
      <c r="M2" s="9">
        <v>0</v>
      </c>
      <c r="N2" s="9">
        <v>0.05</v>
      </c>
      <c r="O2" s="9">
        <v>0.1</v>
      </c>
      <c r="P2" s="9">
        <v>0.15</v>
      </c>
      <c r="Q2" s="9">
        <v>0.2</v>
      </c>
    </row>
    <row r="3" spans="1:17" ht="15.75" x14ac:dyDescent="0.25">
      <c r="A3" s="4" t="s">
        <v>23</v>
      </c>
      <c r="B3" s="12">
        <f>K3</f>
        <v>45</v>
      </c>
      <c r="D3" s="4" t="s">
        <v>23</v>
      </c>
      <c r="F3" s="7">
        <v>0</v>
      </c>
      <c r="H3" s="4" t="s">
        <v>23</v>
      </c>
      <c r="I3">
        <f>50*(1+I2)</f>
        <v>40</v>
      </c>
      <c r="J3">
        <f t="shared" ref="J3:Q3" si="0">50*(1+J2)</f>
        <v>42.5</v>
      </c>
      <c r="K3">
        <f t="shared" si="0"/>
        <v>45</v>
      </c>
      <c r="L3">
        <f t="shared" si="0"/>
        <v>47.5</v>
      </c>
      <c r="M3">
        <f t="shared" si="0"/>
        <v>50</v>
      </c>
      <c r="N3">
        <f t="shared" si="0"/>
        <v>52.5</v>
      </c>
      <c r="O3">
        <f t="shared" si="0"/>
        <v>55.000000000000007</v>
      </c>
      <c r="P3">
        <f t="shared" si="0"/>
        <v>57.499999999999993</v>
      </c>
      <c r="Q3">
        <f t="shared" si="0"/>
        <v>60</v>
      </c>
    </row>
    <row r="4" spans="1:17" ht="15.75" x14ac:dyDescent="0.25">
      <c r="A4" s="4" t="s">
        <v>24</v>
      </c>
      <c r="B4">
        <v>2000</v>
      </c>
      <c r="D4" s="4" t="s">
        <v>24</v>
      </c>
      <c r="F4" s="7">
        <v>0</v>
      </c>
      <c r="H4" s="4" t="s">
        <v>34</v>
      </c>
      <c r="I4">
        <v>-57.534239551845531</v>
      </c>
      <c r="J4">
        <v>9998.9310544823566</v>
      </c>
      <c r="K4">
        <v>20055.396348516577</v>
      </c>
    </row>
    <row r="5" spans="1:17" ht="15.75" x14ac:dyDescent="0.25">
      <c r="A5" s="4" t="s">
        <v>25</v>
      </c>
      <c r="B5" s="12">
        <v>15</v>
      </c>
      <c r="D5" s="4" t="s">
        <v>25</v>
      </c>
      <c r="F5" s="7">
        <v>0</v>
      </c>
    </row>
    <row r="6" spans="1:17" ht="15.75" x14ac:dyDescent="0.25">
      <c r="A6" s="4" t="s">
        <v>26</v>
      </c>
      <c r="B6" s="12">
        <v>10000</v>
      </c>
      <c r="D6" s="4" t="s">
        <v>26</v>
      </c>
      <c r="F6" s="7">
        <v>0</v>
      </c>
      <c r="H6" s="4" t="s">
        <v>24</v>
      </c>
    </row>
    <row r="7" spans="1:17" ht="15.75" x14ac:dyDescent="0.25">
      <c r="A7" s="4" t="s">
        <v>27</v>
      </c>
      <c r="B7" s="12">
        <v>40000</v>
      </c>
      <c r="D7" s="4" t="s">
        <v>27</v>
      </c>
      <c r="F7" s="7">
        <v>0</v>
      </c>
    </row>
    <row r="8" spans="1:17" ht="15.75" x14ac:dyDescent="0.25">
      <c r="A8" s="4" t="s">
        <v>28</v>
      </c>
      <c r="B8" s="7">
        <v>0.4</v>
      </c>
      <c r="D8" s="4" t="s">
        <v>28</v>
      </c>
      <c r="F8" s="7">
        <v>0</v>
      </c>
    </row>
    <row r="9" spans="1:17" ht="15.75" x14ac:dyDescent="0.25">
      <c r="A9" s="4" t="s">
        <v>29</v>
      </c>
      <c r="B9" s="7">
        <v>0.15</v>
      </c>
      <c r="D9" s="4" t="s">
        <v>29</v>
      </c>
      <c r="F9" s="7">
        <v>0</v>
      </c>
    </row>
    <row r="12" spans="1:17" ht="15.75" x14ac:dyDescent="0.25">
      <c r="A12" s="2" t="s">
        <v>6</v>
      </c>
    </row>
    <row r="13" spans="1:17" x14ac:dyDescent="0.25">
      <c r="A13" t="s">
        <v>7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</row>
    <row r="15" spans="1:17" ht="15.75" x14ac:dyDescent="0.25">
      <c r="A15" s="3" t="s">
        <v>8</v>
      </c>
      <c r="B15" s="12"/>
      <c r="C15" s="12">
        <f>$B$3*$B$4</f>
        <v>90000</v>
      </c>
      <c r="D15" s="12">
        <f t="shared" ref="D15:G15" si="1">$B$3*$B$4</f>
        <v>90000</v>
      </c>
      <c r="E15" s="12">
        <f t="shared" si="1"/>
        <v>90000</v>
      </c>
      <c r="F15" s="12">
        <f t="shared" si="1"/>
        <v>90000</v>
      </c>
      <c r="G15" s="12">
        <f t="shared" si="1"/>
        <v>90000</v>
      </c>
    </row>
    <row r="16" spans="1:17" ht="15.75" x14ac:dyDescent="0.25">
      <c r="A16" s="3" t="s">
        <v>9</v>
      </c>
      <c r="B16" s="12"/>
      <c r="C16" s="12">
        <f>SUM(C17:C19)</f>
        <v>57862.5</v>
      </c>
      <c r="D16" s="12">
        <f>SUM(D17:D19)</f>
        <v>70612.5</v>
      </c>
      <c r="E16" s="12">
        <f>SUM(E17:E19)</f>
        <v>61862.5</v>
      </c>
      <c r="F16" s="12">
        <f>SUM(F17:F19)</f>
        <v>55612.5</v>
      </c>
      <c r="G16" s="12">
        <f>SUM(G17:G19)</f>
        <v>45581.25</v>
      </c>
    </row>
    <row r="17" spans="1:10" ht="15.75" x14ac:dyDescent="0.25">
      <c r="A17" s="4" t="s">
        <v>25</v>
      </c>
      <c r="B17" s="12"/>
      <c r="C17" s="12">
        <f>$B$5*$B$4</f>
        <v>30000</v>
      </c>
      <c r="D17" s="12">
        <f t="shared" ref="D17:G17" si="2">$B$5*$B$4</f>
        <v>30000</v>
      </c>
      <c r="E17" s="12">
        <f t="shared" si="2"/>
        <v>30000</v>
      </c>
      <c r="F17" s="12">
        <f t="shared" si="2"/>
        <v>30000</v>
      </c>
      <c r="G17" s="12">
        <f t="shared" si="2"/>
        <v>30000</v>
      </c>
      <c r="J17">
        <f>21*3.3522</f>
        <v>70.396199999999993</v>
      </c>
    </row>
    <row r="18" spans="1:10" ht="15.75" x14ac:dyDescent="0.25">
      <c r="A18" s="4" t="s">
        <v>26</v>
      </c>
      <c r="B18" s="12"/>
      <c r="C18" s="12">
        <v>10000</v>
      </c>
      <c r="D18" s="12">
        <v>10000</v>
      </c>
      <c r="E18" s="12">
        <v>10000</v>
      </c>
      <c r="F18" s="12">
        <v>10000</v>
      </c>
      <c r="G18" s="12">
        <v>10000</v>
      </c>
    </row>
    <row r="19" spans="1:10" ht="15.75" x14ac:dyDescent="0.25">
      <c r="A19" s="4" t="s">
        <v>10</v>
      </c>
      <c r="B19" s="12"/>
      <c r="C19" s="12">
        <f>125000*14.29/100</f>
        <v>17862.5</v>
      </c>
      <c r="D19" s="12">
        <f>125000*24.49/100</f>
        <v>30612.5</v>
      </c>
      <c r="E19" s="12">
        <f>125000*17.49/100</f>
        <v>21862.5</v>
      </c>
      <c r="F19" s="12">
        <f>125000*12.49/100</f>
        <v>15612.5</v>
      </c>
      <c r="G19" s="12">
        <f>125000*8.93/100 / 2</f>
        <v>5581.25</v>
      </c>
    </row>
    <row r="20" spans="1:10" ht="15.75" x14ac:dyDescent="0.25">
      <c r="A20" s="3" t="s">
        <v>11</v>
      </c>
      <c r="B20" s="12"/>
      <c r="C20" s="12">
        <f>C15-C16</f>
        <v>32137.5</v>
      </c>
      <c r="D20" s="12">
        <f>D15-D16</f>
        <v>19387.5</v>
      </c>
      <c r="E20" s="12">
        <f>E15-E16</f>
        <v>28137.5</v>
      </c>
      <c r="F20" s="12">
        <f>F15-F16</f>
        <v>34387.5</v>
      </c>
      <c r="G20" s="12">
        <f>G15-G16</f>
        <v>44418.75</v>
      </c>
    </row>
    <row r="21" spans="1:10" ht="15.75" x14ac:dyDescent="0.25">
      <c r="A21" s="3" t="s">
        <v>12</v>
      </c>
      <c r="B21" s="12"/>
      <c r="C21" s="12">
        <f>C20*$B$8</f>
        <v>12855</v>
      </c>
      <c r="D21" s="12">
        <f t="shared" ref="D21:G21" si="3">D20*$B$8</f>
        <v>7755</v>
      </c>
      <c r="E21" s="12">
        <f t="shared" si="3"/>
        <v>11255</v>
      </c>
      <c r="F21" s="12">
        <f t="shared" si="3"/>
        <v>13755</v>
      </c>
      <c r="G21" s="12">
        <f t="shared" si="3"/>
        <v>17767.5</v>
      </c>
    </row>
    <row r="22" spans="1:10" ht="15.75" x14ac:dyDescent="0.25">
      <c r="A22" s="3" t="s">
        <v>13</v>
      </c>
      <c r="B22" s="12"/>
      <c r="C22" s="12">
        <f>C20-C21</f>
        <v>19282.5</v>
      </c>
      <c r="D22" s="12">
        <f>D20-D21</f>
        <v>11632.5</v>
      </c>
      <c r="E22" s="12">
        <f>E20-E21</f>
        <v>16882.5</v>
      </c>
      <c r="F22" s="12">
        <f>F20-F21</f>
        <v>20632.5</v>
      </c>
      <c r="G22" s="12">
        <f>G20-G21</f>
        <v>26651.25</v>
      </c>
    </row>
    <row r="23" spans="1:10" x14ac:dyDescent="0.25">
      <c r="B23" s="12"/>
      <c r="C23" s="12"/>
      <c r="D23" s="12"/>
      <c r="E23" s="12"/>
      <c r="F23" s="12"/>
      <c r="G23" s="12"/>
    </row>
    <row r="24" spans="1:10" ht="15.75" x14ac:dyDescent="0.25">
      <c r="A24" s="2" t="s">
        <v>14</v>
      </c>
      <c r="B24" s="12"/>
      <c r="C24" s="12"/>
      <c r="D24" s="12"/>
      <c r="E24" s="12"/>
      <c r="F24" s="12"/>
      <c r="G24" s="12"/>
    </row>
    <row r="25" spans="1:10" ht="15.75" x14ac:dyDescent="0.25">
      <c r="A25" s="3" t="s">
        <v>15</v>
      </c>
      <c r="B25" s="12"/>
      <c r="C25" s="12"/>
      <c r="D25" s="12"/>
      <c r="E25" s="12"/>
      <c r="F25" s="12"/>
      <c r="G25" s="12"/>
    </row>
    <row r="26" spans="1:10" x14ac:dyDescent="0.25">
      <c r="A26" s="5" t="s">
        <v>13</v>
      </c>
      <c r="B26" s="12"/>
      <c r="C26" s="12">
        <f>C22</f>
        <v>19282.5</v>
      </c>
      <c r="D26" s="12">
        <f t="shared" ref="D26:G26" si="4">D22</f>
        <v>11632.5</v>
      </c>
      <c r="E26" s="12">
        <f t="shared" si="4"/>
        <v>16882.5</v>
      </c>
      <c r="F26" s="12">
        <f t="shared" si="4"/>
        <v>20632.5</v>
      </c>
      <c r="G26" s="12">
        <f t="shared" si="4"/>
        <v>26651.25</v>
      </c>
    </row>
    <row r="27" spans="1:10" x14ac:dyDescent="0.25">
      <c r="A27" s="5" t="s">
        <v>10</v>
      </c>
      <c r="B27" s="12"/>
      <c r="C27" s="12">
        <f>C19</f>
        <v>17862.5</v>
      </c>
      <c r="D27" s="12">
        <f>D19</f>
        <v>30612.5</v>
      </c>
      <c r="E27" s="12">
        <f>E19</f>
        <v>21862.5</v>
      </c>
      <c r="F27" s="12">
        <f>F19</f>
        <v>15612.5</v>
      </c>
      <c r="G27" s="12">
        <f>G19</f>
        <v>5581.25</v>
      </c>
    </row>
    <row r="28" spans="1:10" ht="15.75" x14ac:dyDescent="0.25">
      <c r="A28" s="3" t="s">
        <v>16</v>
      </c>
      <c r="B28" s="12"/>
      <c r="C28" s="12"/>
      <c r="D28" s="12"/>
      <c r="E28" s="12"/>
      <c r="F28" s="12"/>
      <c r="G28" s="12"/>
    </row>
    <row r="29" spans="1:10" x14ac:dyDescent="0.25">
      <c r="A29" s="5" t="s">
        <v>17</v>
      </c>
      <c r="B29" s="12">
        <v>-125000</v>
      </c>
      <c r="C29" s="12"/>
      <c r="D29" s="12"/>
      <c r="E29" s="12"/>
      <c r="F29" s="12"/>
      <c r="G29" s="12"/>
    </row>
    <row r="30" spans="1:10" x14ac:dyDescent="0.25">
      <c r="A30" s="5" t="s">
        <v>27</v>
      </c>
      <c r="B30" s="12"/>
      <c r="C30" s="12"/>
      <c r="D30" s="12"/>
      <c r="E30" s="12"/>
      <c r="F30" s="12"/>
      <c r="G30" s="12">
        <f>B7</f>
        <v>40000</v>
      </c>
    </row>
    <row r="31" spans="1:10" x14ac:dyDescent="0.25">
      <c r="A31" s="5" t="s">
        <v>18</v>
      </c>
      <c r="B31" s="12"/>
      <c r="C31" s="12"/>
      <c r="D31" s="12"/>
      <c r="E31" s="12"/>
      <c r="F31" s="12"/>
      <c r="G31" s="12">
        <f>-(B29+SUM(C19:G19)+G30)*$B$8</f>
        <v>-2612.5</v>
      </c>
    </row>
    <row r="32" spans="1:10" ht="15.75" x14ac:dyDescent="0.25">
      <c r="A32" s="3" t="s">
        <v>19</v>
      </c>
      <c r="B32" s="12"/>
      <c r="C32" s="12"/>
      <c r="D32" s="12"/>
      <c r="E32" s="12"/>
      <c r="F32" s="12"/>
      <c r="G32" s="12"/>
    </row>
    <row r="33" spans="1:7" x14ac:dyDescent="0.25">
      <c r="B33" s="12"/>
      <c r="C33" s="12"/>
      <c r="D33" s="12"/>
      <c r="E33" s="12"/>
      <c r="F33" s="12"/>
      <c r="G33" s="12"/>
    </row>
    <row r="34" spans="1:7" ht="15.75" x14ac:dyDescent="0.25">
      <c r="A34" s="3" t="s">
        <v>20</v>
      </c>
      <c r="B34" s="12">
        <f>SUM(B25:B32)</f>
        <v>-125000</v>
      </c>
      <c r="C34" s="12">
        <f>SUM(C25:C32)</f>
        <v>37145</v>
      </c>
      <c r="D34" s="12">
        <f>SUM(D25:D32)</f>
        <v>42245</v>
      </c>
      <c r="E34" s="12">
        <f>SUM(E25:E32)</f>
        <v>38745</v>
      </c>
      <c r="F34" s="12">
        <f>SUM(F25:F32)</f>
        <v>36245</v>
      </c>
      <c r="G34" s="12">
        <f>SUM(G25:G32)</f>
        <v>69620</v>
      </c>
    </row>
    <row r="35" spans="1:7" x14ac:dyDescent="0.25">
      <c r="A35" s="5" t="s">
        <v>21</v>
      </c>
      <c r="B35" s="12">
        <f>B34/(1+$B$9)^B13</f>
        <v>-125000</v>
      </c>
      <c r="C35" s="12">
        <f t="shared" ref="C35:G35" si="5">C34/(1+$B$9)^C13</f>
        <v>32300.000000000004</v>
      </c>
      <c r="D35" s="12">
        <f t="shared" si="5"/>
        <v>31943.289224952747</v>
      </c>
      <c r="E35" s="12">
        <f t="shared" si="5"/>
        <v>25475.46642557739</v>
      </c>
      <c r="F35" s="12">
        <f t="shared" si="5"/>
        <v>20723.196386519496</v>
      </c>
      <c r="G35" s="12">
        <f t="shared" si="5"/>
        <v>34613.444311466941</v>
      </c>
    </row>
    <row r="36" spans="1:7" x14ac:dyDescent="0.25">
      <c r="B36" s="12"/>
      <c r="C36" s="12"/>
      <c r="D36" s="12"/>
      <c r="E36" s="12"/>
      <c r="F36" s="12"/>
      <c r="G36" s="12"/>
    </row>
    <row r="37" spans="1:7" ht="15.75" x14ac:dyDescent="0.25">
      <c r="A37" s="8" t="s">
        <v>32</v>
      </c>
      <c r="B37" s="12">
        <f>SUM(B35:G35)</f>
        <v>20055.396348516577</v>
      </c>
      <c r="C37" s="12"/>
      <c r="D37" s="12"/>
      <c r="E37" s="12"/>
      <c r="F37" s="12"/>
      <c r="G37" s="12"/>
    </row>
    <row r="38" spans="1:7" x14ac:dyDescent="0.25">
      <c r="B38" s="6">
        <f>IRR(B34:G34, 0.15)</f>
        <v>0.21058847748647103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topLeftCell="A12" workbookViewId="0">
      <selection activeCell="C84" sqref="C84:Q84"/>
    </sheetView>
  </sheetViews>
  <sheetFormatPr defaultRowHeight="15" x14ac:dyDescent="0.25"/>
  <cols>
    <col min="1" max="1" width="24.42578125" customWidth="1"/>
    <col min="2" max="2" width="15.5703125" customWidth="1"/>
    <col min="3" max="3" width="12.28515625" customWidth="1"/>
    <col min="4" max="4" width="10.7109375" customWidth="1"/>
    <col min="5" max="5" width="10.5703125" customWidth="1"/>
    <col min="6" max="6" width="11.28515625" bestFit="1" customWidth="1"/>
    <col min="12" max="12" width="10.7109375" bestFit="1" customWidth="1"/>
    <col min="13" max="13" width="12.140625" customWidth="1"/>
    <col min="14" max="14" width="12.28515625" bestFit="1" customWidth="1"/>
    <col min="15" max="15" width="11" customWidth="1"/>
    <col min="27" max="27" width="10.42578125" customWidth="1"/>
  </cols>
  <sheetData>
    <row r="1" spans="1:23" ht="15.75" x14ac:dyDescent="0.25">
      <c r="A1" s="2" t="s">
        <v>6</v>
      </c>
      <c r="G1" t="s">
        <v>35</v>
      </c>
      <c r="H1" s="7">
        <v>0.14000000000000001</v>
      </c>
      <c r="K1" s="2" t="s">
        <v>6</v>
      </c>
      <c r="P1" t="s">
        <v>35</v>
      </c>
      <c r="Q1" s="7">
        <v>0.14000000000000001</v>
      </c>
      <c r="S1">
        <v>0</v>
      </c>
      <c r="T1">
        <v>1</v>
      </c>
      <c r="U1">
        <v>2</v>
      </c>
      <c r="V1">
        <v>3</v>
      </c>
      <c r="W1">
        <v>4</v>
      </c>
    </row>
    <row r="2" spans="1:23" x14ac:dyDescent="0.25">
      <c r="A2" t="s">
        <v>7</v>
      </c>
      <c r="B2">
        <v>0</v>
      </c>
      <c r="C2">
        <v>1</v>
      </c>
      <c r="D2">
        <v>2</v>
      </c>
      <c r="E2">
        <v>3</v>
      </c>
      <c r="F2">
        <v>4</v>
      </c>
      <c r="G2" t="s">
        <v>36</v>
      </c>
      <c r="H2" s="7">
        <v>0.4</v>
      </c>
      <c r="K2" t="s">
        <v>7</v>
      </c>
      <c r="L2">
        <v>0</v>
      </c>
      <c r="M2">
        <v>1</v>
      </c>
      <c r="N2">
        <v>2</v>
      </c>
      <c r="O2">
        <v>3</v>
      </c>
      <c r="P2" t="s">
        <v>36</v>
      </c>
      <c r="Q2" s="7">
        <v>0.4</v>
      </c>
    </row>
    <row r="4" spans="1:23" ht="15.75" x14ac:dyDescent="0.25">
      <c r="A4" s="3" t="s">
        <v>8</v>
      </c>
      <c r="B4" s="12"/>
      <c r="C4" s="12">
        <v>49000</v>
      </c>
      <c r="D4" s="12">
        <v>49000</v>
      </c>
      <c r="E4" s="12">
        <v>49000</v>
      </c>
      <c r="F4" s="12">
        <v>49000</v>
      </c>
      <c r="K4" s="3" t="s">
        <v>8</v>
      </c>
      <c r="L4" s="12"/>
      <c r="M4" s="12">
        <v>49000</v>
      </c>
      <c r="N4" s="12">
        <v>49000</v>
      </c>
      <c r="O4" s="12">
        <v>49000</v>
      </c>
    </row>
    <row r="5" spans="1:23" ht="15.75" x14ac:dyDescent="0.25">
      <c r="A5" s="3" t="s">
        <v>9</v>
      </c>
      <c r="B5" s="12"/>
      <c r="C5" s="12">
        <f>SUM(C6:C8)</f>
        <v>20600</v>
      </c>
      <c r="D5" s="12">
        <f>SUM(D6:D8)</f>
        <v>32960</v>
      </c>
      <c r="E5" s="12">
        <f>SUM(E6:E8)</f>
        <v>19776</v>
      </c>
      <c r="F5" s="12">
        <f>SUM(F6:F8)</f>
        <v>5932.8</v>
      </c>
      <c r="K5" s="3" t="s">
        <v>9</v>
      </c>
      <c r="L5" s="12"/>
      <c r="M5" s="12">
        <f>SUM(M6:M8)</f>
        <v>24600</v>
      </c>
      <c r="N5" s="12">
        <f t="shared" ref="N5:O5" si="0">SUM(N6:N8)</f>
        <v>39360</v>
      </c>
      <c r="O5" s="12">
        <f t="shared" si="0"/>
        <v>11808</v>
      </c>
    </row>
    <row r="6" spans="1:23" ht="15.75" x14ac:dyDescent="0.25">
      <c r="A6" s="4" t="s">
        <v>25</v>
      </c>
      <c r="B6" s="12"/>
      <c r="C6" s="12">
        <v>0</v>
      </c>
      <c r="D6" s="12">
        <v>0</v>
      </c>
      <c r="E6" s="12">
        <v>0</v>
      </c>
      <c r="F6" s="12">
        <v>0</v>
      </c>
      <c r="K6" s="4" t="s">
        <v>25</v>
      </c>
      <c r="L6" s="12"/>
      <c r="M6" s="12">
        <v>0</v>
      </c>
      <c r="N6" s="12">
        <v>0</v>
      </c>
      <c r="O6" s="12">
        <v>0</v>
      </c>
    </row>
    <row r="7" spans="1:23" ht="15.75" x14ac:dyDescent="0.25">
      <c r="A7" s="4" t="s">
        <v>26</v>
      </c>
      <c r="B7" s="12"/>
      <c r="C7" s="12">
        <v>0</v>
      </c>
      <c r="D7" s="12">
        <v>0</v>
      </c>
      <c r="E7" s="12">
        <v>0</v>
      </c>
      <c r="F7" s="12">
        <v>0</v>
      </c>
      <c r="K7" s="4" t="s">
        <v>26</v>
      </c>
      <c r="L7" s="12"/>
      <c r="M7" s="12">
        <v>0</v>
      </c>
      <c r="N7" s="12">
        <v>0</v>
      </c>
      <c r="O7" s="12">
        <v>0</v>
      </c>
    </row>
    <row r="8" spans="1:23" ht="15.75" x14ac:dyDescent="0.25">
      <c r="A8" s="4" t="s">
        <v>10</v>
      </c>
      <c r="B8" s="12"/>
      <c r="C8" s="12">
        <f>-$B$18 * 20/100</f>
        <v>20600</v>
      </c>
      <c r="D8" s="12">
        <f>-$B$18 * 32/100</f>
        <v>32960</v>
      </c>
      <c r="E8" s="12">
        <f>-$B$18 * 19.2/100</f>
        <v>19776</v>
      </c>
      <c r="F8" s="12">
        <f>-$B$18 * 11.52 / 2 /100</f>
        <v>5932.8</v>
      </c>
      <c r="K8" s="4" t="s">
        <v>10</v>
      </c>
      <c r="L8" s="12"/>
      <c r="M8" s="12">
        <f>-$L$18 * 20/100</f>
        <v>24600</v>
      </c>
      <c r="N8" s="12">
        <f>-$L$18 * 32/100</f>
        <v>39360</v>
      </c>
      <c r="O8" s="12">
        <f>-$L$18 * 0.192 / 2</f>
        <v>11808</v>
      </c>
    </row>
    <row r="9" spans="1:23" ht="15.75" x14ac:dyDescent="0.25">
      <c r="A9" s="3" t="s">
        <v>11</v>
      </c>
      <c r="B9" s="12"/>
      <c r="C9" s="12">
        <f>C4-C5</f>
        <v>28400</v>
      </c>
      <c r="D9" s="12">
        <f>D4-D5</f>
        <v>16040</v>
      </c>
      <c r="E9" s="12">
        <f>E4-E5</f>
        <v>29224</v>
      </c>
      <c r="F9" s="12">
        <f>F4-F5</f>
        <v>43067.199999999997</v>
      </c>
      <c r="K9" s="3" t="s">
        <v>11</v>
      </c>
      <c r="L9" s="12"/>
      <c r="M9" s="12">
        <f>M4-M5</f>
        <v>24400</v>
      </c>
      <c r="N9" s="12">
        <f>N4-N5</f>
        <v>9640</v>
      </c>
      <c r="O9" s="12">
        <f>O4-O5</f>
        <v>37192</v>
      </c>
    </row>
    <row r="10" spans="1:23" ht="15.75" x14ac:dyDescent="0.25">
      <c r="A10" s="3" t="s">
        <v>12</v>
      </c>
      <c r="B10" s="12"/>
      <c r="C10" s="12">
        <f>C9*$H$2</f>
        <v>11360</v>
      </c>
      <c r="D10" s="12">
        <f t="shared" ref="D10:F10" si="1">D9*$H$2</f>
        <v>6416</v>
      </c>
      <c r="E10" s="12">
        <f t="shared" si="1"/>
        <v>11689.6</v>
      </c>
      <c r="F10" s="12">
        <f t="shared" si="1"/>
        <v>17226.88</v>
      </c>
      <c r="K10" s="3" t="s">
        <v>12</v>
      </c>
      <c r="L10" s="12"/>
      <c r="M10" s="12">
        <f>M9*$Q$2</f>
        <v>9760</v>
      </c>
      <c r="N10" s="12">
        <f t="shared" ref="N10:O10" si="2">N9*$Q$2</f>
        <v>3856</v>
      </c>
      <c r="O10" s="12">
        <f t="shared" si="2"/>
        <v>14876.800000000001</v>
      </c>
    </row>
    <row r="11" spans="1:23" ht="15.75" x14ac:dyDescent="0.25">
      <c r="A11" s="3" t="s">
        <v>13</v>
      </c>
      <c r="B11" s="12"/>
      <c r="C11" s="12">
        <f>C9-C10</f>
        <v>17040</v>
      </c>
      <c r="D11" s="12">
        <f>D9-D10</f>
        <v>9624</v>
      </c>
      <c r="E11" s="12">
        <f>E9-E10</f>
        <v>17534.400000000001</v>
      </c>
      <c r="F11" s="12">
        <f>F9-F10</f>
        <v>25840.319999999996</v>
      </c>
      <c r="K11" s="3" t="s">
        <v>13</v>
      </c>
      <c r="L11" s="12"/>
      <c r="M11" s="12">
        <f>M9-M10</f>
        <v>14640</v>
      </c>
      <c r="N11" s="12">
        <f>N9-N10</f>
        <v>5784</v>
      </c>
      <c r="O11" s="12">
        <f>O9-O10</f>
        <v>22315.199999999997</v>
      </c>
    </row>
    <row r="12" spans="1:23" x14ac:dyDescent="0.25">
      <c r="B12" s="12"/>
      <c r="C12" s="12"/>
      <c r="D12" s="12"/>
      <c r="E12" s="12"/>
      <c r="F12" s="12"/>
      <c r="L12" s="12"/>
      <c r="M12" s="12"/>
      <c r="N12" s="12"/>
      <c r="O12" s="12"/>
    </row>
    <row r="13" spans="1:23" ht="15.75" x14ac:dyDescent="0.25">
      <c r="A13" s="2" t="s">
        <v>14</v>
      </c>
      <c r="B13" s="12"/>
      <c r="C13" s="12"/>
      <c r="D13" s="12"/>
      <c r="E13" s="12"/>
      <c r="F13" s="12"/>
      <c r="K13" s="2" t="s">
        <v>14</v>
      </c>
      <c r="L13" s="12"/>
      <c r="M13" s="12"/>
      <c r="N13" s="12"/>
      <c r="O13" s="12"/>
    </row>
    <row r="14" spans="1:23" ht="15.75" x14ac:dyDescent="0.25">
      <c r="A14" s="3" t="s">
        <v>15</v>
      </c>
      <c r="B14" s="12"/>
      <c r="C14" s="12"/>
      <c r="D14" s="12"/>
      <c r="E14" s="12"/>
      <c r="F14" s="12"/>
      <c r="K14" s="3" t="s">
        <v>15</v>
      </c>
      <c r="L14" s="12"/>
      <c r="M14" s="12"/>
      <c r="N14" s="12"/>
      <c r="O14" s="12"/>
    </row>
    <row r="15" spans="1:23" x14ac:dyDescent="0.25">
      <c r="A15" s="5" t="s">
        <v>13</v>
      </c>
      <c r="B15" s="12"/>
      <c r="C15" s="12">
        <f>C11</f>
        <v>17040</v>
      </c>
      <c r="D15" s="12">
        <f t="shared" ref="D15:F15" si="3">D11</f>
        <v>9624</v>
      </c>
      <c r="E15" s="12">
        <f t="shared" si="3"/>
        <v>17534.400000000001</v>
      </c>
      <c r="F15" s="12">
        <f t="shared" si="3"/>
        <v>25840.319999999996</v>
      </c>
      <c r="K15" s="5" t="s">
        <v>13</v>
      </c>
      <c r="L15" s="12"/>
      <c r="M15" s="12">
        <f>M11</f>
        <v>14640</v>
      </c>
      <c r="N15" s="12">
        <f t="shared" ref="N15:O15" si="4">N11</f>
        <v>5784</v>
      </c>
      <c r="O15" s="12">
        <f t="shared" si="4"/>
        <v>22315.199999999997</v>
      </c>
    </row>
    <row r="16" spans="1:23" x14ac:dyDescent="0.25">
      <c r="A16" s="5" t="s">
        <v>10</v>
      </c>
      <c r="B16" s="12"/>
      <c r="C16" s="12">
        <f>C8</f>
        <v>20600</v>
      </c>
      <c r="D16" s="12">
        <f>D8</f>
        <v>32960</v>
      </c>
      <c r="E16" s="12">
        <f>E8</f>
        <v>19776</v>
      </c>
      <c r="F16" s="12">
        <f>F8</f>
        <v>5932.8</v>
      </c>
      <c r="K16" s="5" t="s">
        <v>10</v>
      </c>
      <c r="L16" s="12"/>
      <c r="M16" s="12">
        <f>M8</f>
        <v>24600</v>
      </c>
      <c r="N16" s="12">
        <f>N8</f>
        <v>39360</v>
      </c>
      <c r="O16" s="12">
        <f>O8</f>
        <v>11808</v>
      </c>
    </row>
    <row r="17" spans="1:27" ht="15.75" x14ac:dyDescent="0.25">
      <c r="A17" s="3" t="s">
        <v>16</v>
      </c>
      <c r="B17" s="12"/>
      <c r="C17" s="12"/>
      <c r="D17" s="12"/>
      <c r="E17" s="12"/>
      <c r="F17" s="12"/>
      <c r="K17" s="3" t="s">
        <v>16</v>
      </c>
      <c r="L17" s="12"/>
      <c r="M17" s="12"/>
      <c r="N17" s="12"/>
      <c r="O17" s="12"/>
    </row>
    <row r="18" spans="1:27" x14ac:dyDescent="0.25">
      <c r="A18" s="5" t="s">
        <v>17</v>
      </c>
      <c r="B18" s="12">
        <f>-(85000+18000)</f>
        <v>-103000</v>
      </c>
      <c r="C18" s="12"/>
      <c r="D18" s="12"/>
      <c r="E18" s="12"/>
      <c r="F18" s="12"/>
      <c r="K18" s="5" t="s">
        <v>17</v>
      </c>
      <c r="L18" s="12">
        <f>-(105000+18000)</f>
        <v>-123000</v>
      </c>
      <c r="M18" s="12"/>
      <c r="N18" s="12"/>
      <c r="O18" s="12"/>
    </row>
    <row r="19" spans="1:27" x14ac:dyDescent="0.25">
      <c r="A19" s="5" t="s">
        <v>27</v>
      </c>
      <c r="B19" s="12"/>
      <c r="C19" s="12"/>
      <c r="D19" s="12"/>
      <c r="E19" s="12"/>
      <c r="F19" s="12">
        <v>29000</v>
      </c>
      <c r="K19" s="5" t="s">
        <v>27</v>
      </c>
      <c r="L19" s="12"/>
      <c r="M19" s="12"/>
      <c r="N19" s="12"/>
      <c r="O19" s="12">
        <v>29000</v>
      </c>
      <c r="P19" s="13">
        <f>-L18-SUM(M16:O16)</f>
        <v>47232</v>
      </c>
    </row>
    <row r="20" spans="1:27" x14ac:dyDescent="0.25">
      <c r="A20" s="5" t="s">
        <v>18</v>
      </c>
      <c r="B20" s="12"/>
      <c r="C20" s="12"/>
      <c r="D20" s="12"/>
      <c r="E20" s="12"/>
      <c r="F20" s="14">
        <f>-$H$2*(F19-(-B18-SUM(C16:F16)))</f>
        <v>-2107.5200000000013</v>
      </c>
      <c r="K20" s="5" t="s">
        <v>18</v>
      </c>
      <c r="L20" s="12"/>
      <c r="M20" s="12"/>
      <c r="N20" s="12"/>
      <c r="O20" s="14">
        <f>-$Q$2*(O19-(-L18-SUM(M16:O16)))</f>
        <v>7292.8</v>
      </c>
    </row>
    <row r="21" spans="1:27" x14ac:dyDescent="0.25">
      <c r="A21" s="5" t="s">
        <v>37</v>
      </c>
      <c r="B21" s="12">
        <v>0</v>
      </c>
      <c r="C21" s="12"/>
      <c r="D21" s="12"/>
      <c r="E21" s="12"/>
      <c r="F21" s="12">
        <f>-B21</f>
        <v>0</v>
      </c>
      <c r="K21" s="5" t="s">
        <v>37</v>
      </c>
      <c r="L21" s="12">
        <v>0</v>
      </c>
      <c r="M21" s="12"/>
      <c r="N21" s="12"/>
      <c r="O21" s="12">
        <v>0</v>
      </c>
    </row>
    <row r="22" spans="1:27" x14ac:dyDescent="0.25">
      <c r="B22" s="12"/>
      <c r="C22" s="12"/>
      <c r="D22" s="12"/>
      <c r="E22" s="12"/>
      <c r="F22" s="12"/>
      <c r="L22" s="12"/>
      <c r="M22" s="12"/>
      <c r="N22" s="12"/>
      <c r="O22" s="12"/>
    </row>
    <row r="23" spans="1:27" ht="15.75" x14ac:dyDescent="0.25">
      <c r="A23" s="3" t="s">
        <v>20</v>
      </c>
      <c r="B23" s="12">
        <f>SUM(B14:B21)</f>
        <v>-103000</v>
      </c>
      <c r="C23" s="12">
        <f>SUM(C14:C21)</f>
        <v>37640</v>
      </c>
      <c r="D23" s="12">
        <f>SUM(D14:D21)</f>
        <v>42584</v>
      </c>
      <c r="E23" s="12">
        <f>SUM(E14:E21)</f>
        <v>37310.400000000001</v>
      </c>
      <c r="F23" s="12">
        <f>SUM(F14:F21)</f>
        <v>58665.599999999991</v>
      </c>
      <c r="K23" s="3" t="s">
        <v>20</v>
      </c>
      <c r="L23" s="12">
        <f>SUM(L14:L21)</f>
        <v>-123000</v>
      </c>
      <c r="M23" s="12">
        <f>SUM(M14:M21)</f>
        <v>39240</v>
      </c>
      <c r="N23" s="12">
        <f>SUM(N14:N21)</f>
        <v>45144</v>
      </c>
      <c r="O23" s="12">
        <f>SUM(O14:O21)</f>
        <v>70416</v>
      </c>
    </row>
    <row r="24" spans="1:27" x14ac:dyDescent="0.25">
      <c r="A24" s="5" t="s">
        <v>21</v>
      </c>
      <c r="B24" s="12">
        <f>B23/(1+$H$1)^B2</f>
        <v>-103000</v>
      </c>
      <c r="C24" s="12">
        <f t="shared" ref="C24:F24" si="5">C23/(1+$H$1)^C2</f>
        <v>33017.543859649122</v>
      </c>
      <c r="D24" s="12">
        <f t="shared" si="5"/>
        <v>32767.005232379186</v>
      </c>
      <c r="E24" s="12">
        <f t="shared" si="5"/>
        <v>25183.457258103703</v>
      </c>
      <c r="F24" s="12">
        <f t="shared" si="5"/>
        <v>34734.74472008858</v>
      </c>
      <c r="K24" s="5" t="s">
        <v>21</v>
      </c>
      <c r="L24" s="12">
        <f>L23/(1+$Q$1)^L2</f>
        <v>-123000</v>
      </c>
      <c r="M24" s="12">
        <f>M23/(1+$Q$1)^M2</f>
        <v>34421.052631578947</v>
      </c>
      <c r="N24" s="12">
        <f t="shared" ref="N24:O24" si="6">N23/(1+$Q$1)^N2</f>
        <v>34736.842105263153</v>
      </c>
      <c r="O24" s="12">
        <f t="shared" si="6"/>
        <v>47528.794284881165</v>
      </c>
    </row>
    <row r="25" spans="1:27" x14ac:dyDescent="0.25">
      <c r="B25" s="12"/>
      <c r="C25" s="12"/>
      <c r="D25" s="12"/>
      <c r="E25" s="12"/>
      <c r="F25" s="12"/>
      <c r="L25" s="12"/>
      <c r="M25" s="12"/>
      <c r="N25" s="12"/>
      <c r="O25" s="12"/>
    </row>
    <row r="26" spans="1:27" ht="15.75" x14ac:dyDescent="0.25">
      <c r="A26" s="8" t="s">
        <v>32</v>
      </c>
      <c r="B26" s="12">
        <f>SUM(B24:F24)</f>
        <v>22702.751070220602</v>
      </c>
      <c r="C26" s="12"/>
      <c r="D26" s="12"/>
      <c r="E26" s="12"/>
      <c r="F26" s="12"/>
      <c r="K26" s="8" t="s">
        <v>32</v>
      </c>
      <c r="L26" s="12">
        <f>SUM(L24:O24)</f>
        <v>-6313.3109782767351</v>
      </c>
      <c r="M26" s="12">
        <f>L26*0.4599</f>
        <v>-2903.4917189094704</v>
      </c>
      <c r="N26" s="12">
        <f>M26/0.6</f>
        <v>-4839.1528648491176</v>
      </c>
      <c r="O26" s="12"/>
    </row>
    <row r="27" spans="1:27" x14ac:dyDescent="0.25">
      <c r="B27" s="6">
        <f>IRR(B23:F23, 0.15)</f>
        <v>0.23712706941400907</v>
      </c>
      <c r="C27" s="15">
        <f>B26*0.3717/0.6</f>
        <v>14064.354288001663</v>
      </c>
      <c r="L27" s="6">
        <f>IRR(L23:O23, 0.15)</f>
        <v>0.11202646781155745</v>
      </c>
      <c r="M27" s="15">
        <f>L26*0.4307</f>
        <v>-2719.1430383437901</v>
      </c>
      <c r="N27" s="15">
        <f>M27/0.6</f>
        <v>-4531.9050639063171</v>
      </c>
    </row>
    <row r="29" spans="1:27" x14ac:dyDescent="0.25">
      <c r="B29" s="11">
        <f>B26*0.3717 / 0.6</f>
        <v>14064.354288001663</v>
      </c>
      <c r="L29" s="11">
        <f>L26*0.3717 / 0.6</f>
        <v>-3911.0961510424372</v>
      </c>
    </row>
    <row r="31" spans="1:27" x14ac:dyDescent="0.25">
      <c r="A31" t="s">
        <v>46</v>
      </c>
      <c r="B31" s="6">
        <v>0.64900000000000002</v>
      </c>
    </row>
    <row r="32" spans="1:27" x14ac:dyDescent="0.25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  <c r="W32">
        <v>21</v>
      </c>
      <c r="X32">
        <v>22</v>
      </c>
      <c r="Y32">
        <v>23</v>
      </c>
      <c r="Z32">
        <v>24</v>
      </c>
      <c r="AA32">
        <v>25</v>
      </c>
    </row>
    <row r="33" spans="1:27" ht="15.75" x14ac:dyDescent="0.25">
      <c r="A33" s="3" t="s">
        <v>8</v>
      </c>
      <c r="C33">
        <f>4800*365*$B$31</f>
        <v>1137048</v>
      </c>
      <c r="D33">
        <f t="shared" ref="D33:AA33" si="7">4800*365*$B$31</f>
        <v>1137048</v>
      </c>
      <c r="E33">
        <f t="shared" si="7"/>
        <v>1137048</v>
      </c>
      <c r="F33">
        <f t="shared" si="7"/>
        <v>1137048</v>
      </c>
      <c r="G33">
        <f t="shared" si="7"/>
        <v>1137048</v>
      </c>
      <c r="H33">
        <f t="shared" si="7"/>
        <v>1137048</v>
      </c>
      <c r="I33">
        <f t="shared" si="7"/>
        <v>1137048</v>
      </c>
      <c r="J33">
        <f t="shared" si="7"/>
        <v>1137048</v>
      </c>
      <c r="K33">
        <f t="shared" si="7"/>
        <v>1137048</v>
      </c>
      <c r="L33">
        <f t="shared" si="7"/>
        <v>1137048</v>
      </c>
      <c r="M33">
        <f t="shared" si="7"/>
        <v>1137048</v>
      </c>
      <c r="N33">
        <f t="shared" si="7"/>
        <v>1137048</v>
      </c>
      <c r="O33">
        <f t="shared" si="7"/>
        <v>1137048</v>
      </c>
      <c r="P33">
        <f t="shared" si="7"/>
        <v>1137048</v>
      </c>
      <c r="Q33">
        <f t="shared" si="7"/>
        <v>1137048</v>
      </c>
      <c r="R33">
        <f t="shared" si="7"/>
        <v>1137048</v>
      </c>
      <c r="S33">
        <f t="shared" si="7"/>
        <v>1137048</v>
      </c>
      <c r="T33">
        <f t="shared" si="7"/>
        <v>1137048</v>
      </c>
      <c r="U33">
        <f t="shared" si="7"/>
        <v>1137048</v>
      </c>
      <c r="V33">
        <f t="shared" si="7"/>
        <v>1137048</v>
      </c>
      <c r="W33">
        <f t="shared" si="7"/>
        <v>1137048</v>
      </c>
      <c r="X33">
        <f t="shared" si="7"/>
        <v>1137048</v>
      </c>
      <c r="Y33">
        <f t="shared" si="7"/>
        <v>1137048</v>
      </c>
      <c r="Z33">
        <f t="shared" si="7"/>
        <v>1137048</v>
      </c>
      <c r="AA33">
        <f t="shared" si="7"/>
        <v>1137048</v>
      </c>
    </row>
    <row r="34" spans="1:27" ht="15.75" x14ac:dyDescent="0.25">
      <c r="A34" s="3" t="s">
        <v>9</v>
      </c>
      <c r="C34">
        <f>SUM(C35:C38)</f>
        <v>471130.25</v>
      </c>
      <c r="D34">
        <f t="shared" ref="D34:AA34" si="8">SUM(D35:D38)</f>
        <v>515132</v>
      </c>
      <c r="E34">
        <f t="shared" si="8"/>
        <v>487132</v>
      </c>
      <c r="F34">
        <f t="shared" si="8"/>
        <v>467132</v>
      </c>
      <c r="G34">
        <f t="shared" si="8"/>
        <v>452892</v>
      </c>
      <c r="H34">
        <f t="shared" si="8"/>
        <v>452852</v>
      </c>
      <c r="I34">
        <f t="shared" si="8"/>
        <v>452892</v>
      </c>
      <c r="J34">
        <f t="shared" si="8"/>
        <v>435012</v>
      </c>
      <c r="K34">
        <f t="shared" si="8"/>
        <v>417172</v>
      </c>
      <c r="L34">
        <f t="shared" si="8"/>
        <v>417172</v>
      </c>
      <c r="M34">
        <f t="shared" si="8"/>
        <v>417172</v>
      </c>
      <c r="N34">
        <f t="shared" si="8"/>
        <v>417172</v>
      </c>
      <c r="O34">
        <f t="shared" si="8"/>
        <v>417172</v>
      </c>
      <c r="P34">
        <f t="shared" si="8"/>
        <v>417172</v>
      </c>
      <c r="Q34">
        <f t="shared" si="8"/>
        <v>417172</v>
      </c>
      <c r="R34">
        <f t="shared" si="8"/>
        <v>417172</v>
      </c>
      <c r="S34">
        <f t="shared" si="8"/>
        <v>417172</v>
      </c>
      <c r="T34">
        <f t="shared" si="8"/>
        <v>417172</v>
      </c>
      <c r="U34">
        <f t="shared" si="8"/>
        <v>417172</v>
      </c>
      <c r="V34">
        <f t="shared" si="8"/>
        <v>417172</v>
      </c>
      <c r="W34">
        <f t="shared" si="8"/>
        <v>417172</v>
      </c>
      <c r="X34">
        <f t="shared" si="8"/>
        <v>417172</v>
      </c>
      <c r="Y34">
        <f t="shared" si="8"/>
        <v>417172</v>
      </c>
      <c r="Z34">
        <f t="shared" si="8"/>
        <v>417172</v>
      </c>
      <c r="AA34">
        <f t="shared" si="8"/>
        <v>413970.25</v>
      </c>
    </row>
    <row r="35" spans="1:27" ht="15.75" x14ac:dyDescent="0.25">
      <c r="A35" s="4" t="s">
        <v>25</v>
      </c>
      <c r="C35">
        <f>170000*$B$31</f>
        <v>110330</v>
      </c>
      <c r="D35">
        <f t="shared" ref="D35:AA35" si="9">170000*$B$31</f>
        <v>110330</v>
      </c>
      <c r="E35">
        <f t="shared" si="9"/>
        <v>110330</v>
      </c>
      <c r="F35">
        <f t="shared" si="9"/>
        <v>110330</v>
      </c>
      <c r="G35">
        <f t="shared" si="9"/>
        <v>110330</v>
      </c>
      <c r="H35">
        <f t="shared" si="9"/>
        <v>110330</v>
      </c>
      <c r="I35">
        <f t="shared" si="9"/>
        <v>110330</v>
      </c>
      <c r="J35">
        <f t="shared" si="9"/>
        <v>110330</v>
      </c>
      <c r="K35">
        <f t="shared" si="9"/>
        <v>110330</v>
      </c>
      <c r="L35">
        <f t="shared" si="9"/>
        <v>110330</v>
      </c>
      <c r="M35">
        <f t="shared" si="9"/>
        <v>110330</v>
      </c>
      <c r="N35">
        <f t="shared" si="9"/>
        <v>110330</v>
      </c>
      <c r="O35">
        <f t="shared" si="9"/>
        <v>110330</v>
      </c>
      <c r="P35">
        <f t="shared" si="9"/>
        <v>110330</v>
      </c>
      <c r="Q35">
        <f t="shared" si="9"/>
        <v>110330</v>
      </c>
      <c r="R35">
        <f t="shared" si="9"/>
        <v>110330</v>
      </c>
      <c r="S35">
        <f t="shared" si="9"/>
        <v>110330</v>
      </c>
      <c r="T35">
        <f t="shared" si="9"/>
        <v>110330</v>
      </c>
      <c r="U35">
        <f t="shared" si="9"/>
        <v>110330</v>
      </c>
      <c r="V35">
        <f t="shared" si="9"/>
        <v>110330</v>
      </c>
      <c r="W35">
        <f t="shared" si="9"/>
        <v>110330</v>
      </c>
      <c r="X35">
        <f t="shared" si="9"/>
        <v>110330</v>
      </c>
      <c r="Y35">
        <f t="shared" si="9"/>
        <v>110330</v>
      </c>
      <c r="Z35">
        <f t="shared" si="9"/>
        <v>110330</v>
      </c>
      <c r="AA35">
        <f t="shared" si="9"/>
        <v>110330</v>
      </c>
    </row>
    <row r="36" spans="1:27" ht="15.75" x14ac:dyDescent="0.25">
      <c r="A36" s="4" t="s">
        <v>26</v>
      </c>
      <c r="C36">
        <v>230000</v>
      </c>
      <c r="D36">
        <v>230000</v>
      </c>
      <c r="E36">
        <v>230000</v>
      </c>
      <c r="F36">
        <v>230000</v>
      </c>
      <c r="G36">
        <v>230000</v>
      </c>
      <c r="H36">
        <v>230000</v>
      </c>
      <c r="I36">
        <v>230000</v>
      </c>
      <c r="J36">
        <v>230000</v>
      </c>
      <c r="K36">
        <v>230000</v>
      </c>
      <c r="L36">
        <v>230000</v>
      </c>
      <c r="M36">
        <v>230000</v>
      </c>
      <c r="N36">
        <v>230000</v>
      </c>
      <c r="O36">
        <v>230000</v>
      </c>
      <c r="P36">
        <v>230000</v>
      </c>
      <c r="Q36">
        <v>230000</v>
      </c>
      <c r="R36">
        <v>230000</v>
      </c>
      <c r="S36">
        <v>230000</v>
      </c>
      <c r="T36">
        <v>230000</v>
      </c>
      <c r="U36">
        <v>230000</v>
      </c>
      <c r="V36">
        <v>230000</v>
      </c>
      <c r="W36">
        <v>230000</v>
      </c>
      <c r="X36">
        <v>230000</v>
      </c>
      <c r="Y36">
        <v>230000</v>
      </c>
      <c r="Z36">
        <v>230000</v>
      </c>
      <c r="AA36">
        <v>230000</v>
      </c>
    </row>
    <row r="37" spans="1:27" ht="15.75" x14ac:dyDescent="0.25">
      <c r="A37" s="4" t="s">
        <v>47</v>
      </c>
      <c r="C37">
        <f>-$B$50*0.025614*11.5/12</f>
        <v>73640.25</v>
      </c>
      <c r="D37">
        <f t="shared" ref="D37:Z37" si="10">-$B$50*0.025614</f>
        <v>76842</v>
      </c>
      <c r="E37">
        <f t="shared" si="10"/>
        <v>76842</v>
      </c>
      <c r="F37">
        <f t="shared" si="10"/>
        <v>76842</v>
      </c>
      <c r="G37">
        <f t="shared" si="10"/>
        <v>76842</v>
      </c>
      <c r="H37">
        <f t="shared" si="10"/>
        <v>76842</v>
      </c>
      <c r="I37">
        <f t="shared" si="10"/>
        <v>76842</v>
      </c>
      <c r="J37">
        <f t="shared" si="10"/>
        <v>76842</v>
      </c>
      <c r="K37">
        <f t="shared" si="10"/>
        <v>76842</v>
      </c>
      <c r="L37">
        <f t="shared" si="10"/>
        <v>76842</v>
      </c>
      <c r="M37">
        <f t="shared" si="10"/>
        <v>76842</v>
      </c>
      <c r="N37">
        <f t="shared" si="10"/>
        <v>76842</v>
      </c>
      <c r="O37">
        <f t="shared" si="10"/>
        <v>76842</v>
      </c>
      <c r="P37">
        <f t="shared" si="10"/>
        <v>76842</v>
      </c>
      <c r="Q37">
        <f t="shared" si="10"/>
        <v>76842</v>
      </c>
      <c r="R37">
        <f t="shared" si="10"/>
        <v>76842</v>
      </c>
      <c r="S37">
        <f t="shared" si="10"/>
        <v>76842</v>
      </c>
      <c r="T37">
        <f t="shared" si="10"/>
        <v>76842</v>
      </c>
      <c r="U37">
        <f t="shared" si="10"/>
        <v>76842</v>
      </c>
      <c r="V37">
        <f t="shared" si="10"/>
        <v>76842</v>
      </c>
      <c r="W37">
        <f t="shared" si="10"/>
        <v>76842</v>
      </c>
      <c r="X37">
        <f t="shared" si="10"/>
        <v>76842</v>
      </c>
      <c r="Y37">
        <f t="shared" si="10"/>
        <v>76842</v>
      </c>
      <c r="Z37">
        <f t="shared" si="10"/>
        <v>76842</v>
      </c>
      <c r="AA37">
        <f>-$B$50*0.025614*11.5/12</f>
        <v>73640.25</v>
      </c>
    </row>
    <row r="38" spans="1:27" ht="15.75" x14ac:dyDescent="0.25">
      <c r="A38" s="4" t="s">
        <v>48</v>
      </c>
      <c r="C38">
        <f>-$B$51*0.1429</f>
        <v>57160</v>
      </c>
      <c r="D38">
        <f>-$B$51*0.2449</f>
        <v>97960</v>
      </c>
      <c r="E38">
        <f>-$B$51*0.1749</f>
        <v>69960</v>
      </c>
      <c r="F38">
        <f>-$B$51*0.1249</f>
        <v>49960</v>
      </c>
      <c r="G38">
        <f>-$B$51*0.0893</f>
        <v>35720</v>
      </c>
      <c r="H38">
        <f>-$B$51*0.0892</f>
        <v>35680</v>
      </c>
      <c r="I38">
        <f t="shared" ref="I38" si="11">-$B$51*0.0893</f>
        <v>35720</v>
      </c>
      <c r="J38">
        <f>-$B$51*0.0446</f>
        <v>17840</v>
      </c>
    </row>
    <row r="40" spans="1:27" ht="15.75" x14ac:dyDescent="0.25">
      <c r="A40" s="3" t="s">
        <v>11</v>
      </c>
      <c r="C40">
        <f>C33-C34</f>
        <v>665917.75</v>
      </c>
      <c r="D40">
        <f t="shared" ref="D40:AA40" si="12">D33-D34</f>
        <v>621916</v>
      </c>
      <c r="E40">
        <f t="shared" si="12"/>
        <v>649916</v>
      </c>
      <c r="F40">
        <f t="shared" si="12"/>
        <v>669916</v>
      </c>
      <c r="G40">
        <f t="shared" si="12"/>
        <v>684156</v>
      </c>
      <c r="H40">
        <f t="shared" si="12"/>
        <v>684196</v>
      </c>
      <c r="I40">
        <f t="shared" si="12"/>
        <v>684156</v>
      </c>
      <c r="J40">
        <f t="shared" si="12"/>
        <v>702036</v>
      </c>
      <c r="K40">
        <f t="shared" si="12"/>
        <v>719876</v>
      </c>
      <c r="L40">
        <f t="shared" si="12"/>
        <v>719876</v>
      </c>
      <c r="M40">
        <f t="shared" si="12"/>
        <v>719876</v>
      </c>
      <c r="N40">
        <f t="shared" si="12"/>
        <v>719876</v>
      </c>
      <c r="O40">
        <f t="shared" si="12"/>
        <v>719876</v>
      </c>
      <c r="P40">
        <f t="shared" si="12"/>
        <v>719876</v>
      </c>
      <c r="Q40">
        <f t="shared" si="12"/>
        <v>719876</v>
      </c>
      <c r="R40">
        <f t="shared" si="12"/>
        <v>719876</v>
      </c>
      <c r="S40">
        <f t="shared" si="12"/>
        <v>719876</v>
      </c>
      <c r="T40">
        <f t="shared" si="12"/>
        <v>719876</v>
      </c>
      <c r="U40">
        <f t="shared" si="12"/>
        <v>719876</v>
      </c>
      <c r="V40">
        <f t="shared" si="12"/>
        <v>719876</v>
      </c>
      <c r="W40">
        <f t="shared" si="12"/>
        <v>719876</v>
      </c>
      <c r="X40">
        <f t="shared" si="12"/>
        <v>719876</v>
      </c>
      <c r="Y40">
        <f t="shared" si="12"/>
        <v>719876</v>
      </c>
      <c r="Z40">
        <f t="shared" si="12"/>
        <v>719876</v>
      </c>
      <c r="AA40">
        <f t="shared" si="12"/>
        <v>723077.75</v>
      </c>
    </row>
    <row r="41" spans="1:27" ht="15.75" x14ac:dyDescent="0.25">
      <c r="A41" s="3" t="s">
        <v>12</v>
      </c>
      <c r="C41">
        <f>0.34*C40</f>
        <v>226412.035</v>
      </c>
      <c r="D41">
        <f t="shared" ref="D41:AA41" si="13">0.34*D40</f>
        <v>211451.44</v>
      </c>
      <c r="E41">
        <f t="shared" si="13"/>
        <v>220971.44</v>
      </c>
      <c r="F41">
        <f t="shared" si="13"/>
        <v>227771.44</v>
      </c>
      <c r="G41">
        <f t="shared" si="13"/>
        <v>232613.04</v>
      </c>
      <c r="H41">
        <f t="shared" si="13"/>
        <v>232626.64</v>
      </c>
      <c r="I41">
        <f t="shared" si="13"/>
        <v>232613.04</v>
      </c>
      <c r="J41">
        <f t="shared" si="13"/>
        <v>238692.24000000002</v>
      </c>
      <c r="K41">
        <f t="shared" si="13"/>
        <v>244757.84000000003</v>
      </c>
      <c r="L41">
        <f t="shared" si="13"/>
        <v>244757.84000000003</v>
      </c>
      <c r="M41">
        <f t="shared" si="13"/>
        <v>244757.84000000003</v>
      </c>
      <c r="N41">
        <f t="shared" si="13"/>
        <v>244757.84000000003</v>
      </c>
      <c r="O41">
        <f t="shared" si="13"/>
        <v>244757.84000000003</v>
      </c>
      <c r="P41">
        <f t="shared" si="13"/>
        <v>244757.84000000003</v>
      </c>
      <c r="Q41">
        <f t="shared" si="13"/>
        <v>244757.84000000003</v>
      </c>
      <c r="R41">
        <f t="shared" si="13"/>
        <v>244757.84000000003</v>
      </c>
      <c r="S41">
        <f t="shared" si="13"/>
        <v>244757.84000000003</v>
      </c>
      <c r="T41">
        <f t="shared" si="13"/>
        <v>244757.84000000003</v>
      </c>
      <c r="U41">
        <f t="shared" si="13"/>
        <v>244757.84000000003</v>
      </c>
      <c r="V41">
        <f t="shared" si="13"/>
        <v>244757.84000000003</v>
      </c>
      <c r="W41">
        <f t="shared" si="13"/>
        <v>244757.84000000003</v>
      </c>
      <c r="X41">
        <f t="shared" si="13"/>
        <v>244757.84000000003</v>
      </c>
      <c r="Y41">
        <f t="shared" si="13"/>
        <v>244757.84000000003</v>
      </c>
      <c r="Z41">
        <f t="shared" si="13"/>
        <v>244757.84000000003</v>
      </c>
      <c r="AA41">
        <f t="shared" si="13"/>
        <v>245846.43500000003</v>
      </c>
    </row>
    <row r="42" spans="1:27" ht="15.75" x14ac:dyDescent="0.25">
      <c r="A42" s="3" t="s">
        <v>13</v>
      </c>
      <c r="C42">
        <f>C40-C41</f>
        <v>439505.71499999997</v>
      </c>
      <c r="D42">
        <f t="shared" ref="D42:AA42" si="14">D40-D41</f>
        <v>410464.56</v>
      </c>
      <c r="E42">
        <f t="shared" si="14"/>
        <v>428944.56</v>
      </c>
      <c r="F42">
        <f t="shared" si="14"/>
        <v>442144.56</v>
      </c>
      <c r="G42">
        <f t="shared" si="14"/>
        <v>451542.95999999996</v>
      </c>
      <c r="H42">
        <f t="shared" si="14"/>
        <v>451569.36</v>
      </c>
      <c r="I42">
        <f t="shared" si="14"/>
        <v>451542.95999999996</v>
      </c>
      <c r="J42">
        <f t="shared" si="14"/>
        <v>463343.76</v>
      </c>
      <c r="K42">
        <f t="shared" si="14"/>
        <v>475118.16</v>
      </c>
      <c r="L42">
        <f t="shared" si="14"/>
        <v>475118.16</v>
      </c>
      <c r="M42">
        <f t="shared" si="14"/>
        <v>475118.16</v>
      </c>
      <c r="N42">
        <f t="shared" si="14"/>
        <v>475118.16</v>
      </c>
      <c r="O42">
        <f t="shared" si="14"/>
        <v>475118.16</v>
      </c>
      <c r="P42">
        <f t="shared" si="14"/>
        <v>475118.16</v>
      </c>
      <c r="Q42">
        <f t="shared" si="14"/>
        <v>475118.16</v>
      </c>
      <c r="R42">
        <f t="shared" si="14"/>
        <v>475118.16</v>
      </c>
      <c r="S42">
        <f t="shared" si="14"/>
        <v>475118.16</v>
      </c>
      <c r="T42">
        <f t="shared" si="14"/>
        <v>475118.16</v>
      </c>
      <c r="U42">
        <f t="shared" si="14"/>
        <v>475118.16</v>
      </c>
      <c r="V42">
        <f t="shared" si="14"/>
        <v>475118.16</v>
      </c>
      <c r="W42">
        <f t="shared" si="14"/>
        <v>475118.16</v>
      </c>
      <c r="X42">
        <f t="shared" si="14"/>
        <v>475118.16</v>
      </c>
      <c r="Y42">
        <f t="shared" si="14"/>
        <v>475118.16</v>
      </c>
      <c r="Z42">
        <f t="shared" si="14"/>
        <v>475118.16</v>
      </c>
      <c r="AA42">
        <f t="shared" si="14"/>
        <v>477231.31499999994</v>
      </c>
    </row>
    <row r="43" spans="1:27" ht="15.75" x14ac:dyDescent="0.25">
      <c r="A43" s="2" t="s">
        <v>14</v>
      </c>
    </row>
    <row r="44" spans="1:27" ht="15.75" x14ac:dyDescent="0.25">
      <c r="A44" s="3" t="s">
        <v>15</v>
      </c>
    </row>
    <row r="45" spans="1:27" x14ac:dyDescent="0.25">
      <c r="A45" s="5" t="s">
        <v>13</v>
      </c>
      <c r="C45">
        <f>C42</f>
        <v>439505.71499999997</v>
      </c>
      <c r="D45">
        <f t="shared" ref="D45:AA45" si="15">D42</f>
        <v>410464.56</v>
      </c>
      <c r="E45">
        <f t="shared" si="15"/>
        <v>428944.56</v>
      </c>
      <c r="F45">
        <f t="shared" si="15"/>
        <v>442144.56</v>
      </c>
      <c r="G45">
        <f t="shared" si="15"/>
        <v>451542.95999999996</v>
      </c>
      <c r="H45">
        <f t="shared" si="15"/>
        <v>451569.36</v>
      </c>
      <c r="I45">
        <f t="shared" si="15"/>
        <v>451542.95999999996</v>
      </c>
      <c r="J45">
        <f t="shared" si="15"/>
        <v>463343.76</v>
      </c>
      <c r="K45">
        <f t="shared" si="15"/>
        <v>475118.16</v>
      </c>
      <c r="L45">
        <f t="shared" si="15"/>
        <v>475118.16</v>
      </c>
      <c r="M45">
        <f t="shared" si="15"/>
        <v>475118.16</v>
      </c>
      <c r="N45">
        <f t="shared" si="15"/>
        <v>475118.16</v>
      </c>
      <c r="O45">
        <f t="shared" si="15"/>
        <v>475118.16</v>
      </c>
      <c r="P45">
        <f t="shared" si="15"/>
        <v>475118.16</v>
      </c>
      <c r="Q45">
        <f t="shared" si="15"/>
        <v>475118.16</v>
      </c>
      <c r="R45">
        <f t="shared" si="15"/>
        <v>475118.16</v>
      </c>
      <c r="S45">
        <f t="shared" si="15"/>
        <v>475118.16</v>
      </c>
      <c r="T45">
        <f t="shared" si="15"/>
        <v>475118.16</v>
      </c>
      <c r="U45">
        <f t="shared" si="15"/>
        <v>475118.16</v>
      </c>
      <c r="V45">
        <f t="shared" si="15"/>
        <v>475118.16</v>
      </c>
      <c r="W45">
        <f t="shared" si="15"/>
        <v>475118.16</v>
      </c>
      <c r="X45">
        <f t="shared" si="15"/>
        <v>475118.16</v>
      </c>
      <c r="Y45">
        <f t="shared" si="15"/>
        <v>475118.16</v>
      </c>
      <c r="Z45">
        <f t="shared" si="15"/>
        <v>475118.16</v>
      </c>
      <c r="AA45">
        <f t="shared" si="15"/>
        <v>477231.31499999994</v>
      </c>
    </row>
    <row r="46" spans="1:27" x14ac:dyDescent="0.25">
      <c r="A46" s="5" t="s">
        <v>10</v>
      </c>
      <c r="C46">
        <f>SUM(C37:C38)</f>
        <v>130800.25</v>
      </c>
      <c r="D46">
        <f t="shared" ref="D46:AA46" si="16">SUM(D37:D38)</f>
        <v>174802</v>
      </c>
      <c r="E46">
        <f t="shared" si="16"/>
        <v>146802</v>
      </c>
      <c r="F46">
        <f t="shared" si="16"/>
        <v>126802</v>
      </c>
      <c r="G46">
        <f t="shared" si="16"/>
        <v>112562</v>
      </c>
      <c r="H46">
        <f t="shared" si="16"/>
        <v>112522</v>
      </c>
      <c r="I46">
        <f t="shared" si="16"/>
        <v>112562</v>
      </c>
      <c r="J46">
        <f t="shared" si="16"/>
        <v>94682</v>
      </c>
      <c r="K46">
        <f t="shared" si="16"/>
        <v>76842</v>
      </c>
      <c r="L46">
        <f t="shared" si="16"/>
        <v>76842</v>
      </c>
      <c r="M46">
        <f t="shared" si="16"/>
        <v>76842</v>
      </c>
      <c r="N46">
        <f t="shared" si="16"/>
        <v>76842</v>
      </c>
      <c r="O46">
        <f t="shared" si="16"/>
        <v>76842</v>
      </c>
      <c r="P46">
        <f t="shared" si="16"/>
        <v>76842</v>
      </c>
      <c r="Q46">
        <f t="shared" si="16"/>
        <v>76842</v>
      </c>
      <c r="R46">
        <f t="shared" si="16"/>
        <v>76842</v>
      </c>
      <c r="S46">
        <f t="shared" si="16"/>
        <v>76842</v>
      </c>
      <c r="T46">
        <f t="shared" si="16"/>
        <v>76842</v>
      </c>
      <c r="U46">
        <f t="shared" si="16"/>
        <v>76842</v>
      </c>
      <c r="V46">
        <f t="shared" si="16"/>
        <v>76842</v>
      </c>
      <c r="W46">
        <f t="shared" si="16"/>
        <v>76842</v>
      </c>
      <c r="X46">
        <f t="shared" si="16"/>
        <v>76842</v>
      </c>
      <c r="Y46">
        <f t="shared" si="16"/>
        <v>76842</v>
      </c>
      <c r="Z46">
        <f t="shared" si="16"/>
        <v>76842</v>
      </c>
      <c r="AA46">
        <f t="shared" si="16"/>
        <v>73640.25</v>
      </c>
    </row>
    <row r="47" spans="1:27" ht="15.75" x14ac:dyDescent="0.25">
      <c r="A47" s="3" t="s">
        <v>16</v>
      </c>
    </row>
    <row r="48" spans="1:27" x14ac:dyDescent="0.25">
      <c r="A48" s="19" t="s">
        <v>17</v>
      </c>
    </row>
    <row r="49" spans="1:27" x14ac:dyDescent="0.25">
      <c r="A49" s="20" t="s">
        <v>49</v>
      </c>
      <c r="B49">
        <v>-900000</v>
      </c>
    </row>
    <row r="50" spans="1:27" x14ac:dyDescent="0.25">
      <c r="A50" s="20" t="s">
        <v>50</v>
      </c>
      <c r="B50">
        <v>-3000000</v>
      </c>
    </row>
    <row r="51" spans="1:27" x14ac:dyDescent="0.25">
      <c r="A51" s="20" t="s">
        <v>51</v>
      </c>
      <c r="B51">
        <v>-400000</v>
      </c>
    </row>
    <row r="52" spans="1:27" x14ac:dyDescent="0.25">
      <c r="A52" s="5" t="s">
        <v>27</v>
      </c>
      <c r="AA52">
        <f xml:space="preserve"> -1.07^25 *B49</f>
        <v>4884689.3761106022</v>
      </c>
    </row>
    <row r="53" spans="1:27" x14ac:dyDescent="0.25">
      <c r="A53" s="5" t="s">
        <v>18</v>
      </c>
      <c r="AA53">
        <f>-(AA52+B49)*0.34</f>
        <v>-1354794.3878776049</v>
      </c>
    </row>
    <row r="54" spans="1:27" x14ac:dyDescent="0.25">
      <c r="A54" s="5" t="s">
        <v>37</v>
      </c>
    </row>
    <row r="55" spans="1:27" ht="15.75" x14ac:dyDescent="0.25">
      <c r="A55" s="3" t="s">
        <v>20</v>
      </c>
      <c r="B55">
        <f>SUM(B44:B54)</f>
        <v>-4300000</v>
      </c>
      <c r="C55">
        <f t="shared" ref="C55:AA55" si="17">SUM(C44:C54)</f>
        <v>570305.96499999997</v>
      </c>
      <c r="D55">
        <f t="shared" si="17"/>
        <v>585266.56000000006</v>
      </c>
      <c r="E55">
        <f t="shared" si="17"/>
        <v>575746.56000000006</v>
      </c>
      <c r="F55">
        <f t="shared" si="17"/>
        <v>568946.56000000006</v>
      </c>
      <c r="G55">
        <f t="shared" si="17"/>
        <v>564104.95999999996</v>
      </c>
      <c r="H55">
        <f t="shared" si="17"/>
        <v>564091.36</v>
      </c>
      <c r="I55">
        <f t="shared" si="17"/>
        <v>564104.95999999996</v>
      </c>
      <c r="J55">
        <f t="shared" si="17"/>
        <v>558025.76</v>
      </c>
      <c r="K55">
        <f t="shared" si="17"/>
        <v>551960.15999999992</v>
      </c>
      <c r="L55">
        <f t="shared" si="17"/>
        <v>551960.15999999992</v>
      </c>
      <c r="M55">
        <f t="shared" si="17"/>
        <v>551960.15999999992</v>
      </c>
      <c r="N55">
        <f t="shared" si="17"/>
        <v>551960.15999999992</v>
      </c>
      <c r="O55">
        <f t="shared" si="17"/>
        <v>551960.15999999992</v>
      </c>
      <c r="P55">
        <f t="shared" si="17"/>
        <v>551960.15999999992</v>
      </c>
      <c r="Q55">
        <f t="shared" si="17"/>
        <v>551960.15999999992</v>
      </c>
      <c r="R55">
        <f t="shared" si="17"/>
        <v>551960.15999999992</v>
      </c>
      <c r="S55">
        <f t="shared" si="17"/>
        <v>551960.15999999992</v>
      </c>
      <c r="T55">
        <f t="shared" si="17"/>
        <v>551960.15999999992</v>
      </c>
      <c r="U55">
        <f t="shared" si="17"/>
        <v>551960.15999999992</v>
      </c>
      <c r="V55">
        <f t="shared" si="17"/>
        <v>551960.15999999992</v>
      </c>
      <c r="W55">
        <f t="shared" si="17"/>
        <v>551960.15999999992</v>
      </c>
      <c r="X55">
        <f t="shared" si="17"/>
        <v>551960.15999999992</v>
      </c>
      <c r="Y55">
        <f t="shared" si="17"/>
        <v>551960.15999999992</v>
      </c>
      <c r="Z55">
        <f t="shared" si="17"/>
        <v>551960.15999999992</v>
      </c>
      <c r="AA55">
        <f t="shared" si="17"/>
        <v>4080766.5532329967</v>
      </c>
    </row>
    <row r="56" spans="1:27" x14ac:dyDescent="0.25">
      <c r="A56" s="5" t="s">
        <v>21</v>
      </c>
      <c r="B56">
        <f>B55/1.13^B32</f>
        <v>-4300000</v>
      </c>
      <c r="C56">
        <f t="shared" ref="C56:AA56" si="18">C55/1.13^C32</f>
        <v>504695.54424778762</v>
      </c>
      <c r="D56">
        <f t="shared" si="18"/>
        <v>458349.56535359088</v>
      </c>
      <c r="E56">
        <f t="shared" si="18"/>
        <v>399021.24683882517</v>
      </c>
      <c r="F56">
        <f t="shared" si="18"/>
        <v>348945.58029675827</v>
      </c>
      <c r="G56">
        <f t="shared" si="18"/>
        <v>306173.57198657148</v>
      </c>
      <c r="H56">
        <f t="shared" si="18"/>
        <v>270943.53137295751</v>
      </c>
      <c r="I56">
        <f t="shared" si="18"/>
        <v>239778.81743799167</v>
      </c>
      <c r="J56">
        <f t="shared" si="18"/>
        <v>209906.89271905323</v>
      </c>
      <c r="K56">
        <f t="shared" si="18"/>
        <v>183739.16589539003</v>
      </c>
      <c r="L56">
        <f t="shared" si="18"/>
        <v>162601.03176583193</v>
      </c>
      <c r="M56">
        <f t="shared" si="18"/>
        <v>143894.71837684241</v>
      </c>
      <c r="N56">
        <f t="shared" si="18"/>
        <v>127340.45874056853</v>
      </c>
      <c r="O56">
        <f t="shared" si="18"/>
        <v>112690.67145183055</v>
      </c>
      <c r="P56">
        <f t="shared" si="18"/>
        <v>99726.257921973971</v>
      </c>
      <c r="Q56">
        <f t="shared" si="18"/>
        <v>88253.325594667243</v>
      </c>
      <c r="R56">
        <f t="shared" si="18"/>
        <v>78100.288136873671</v>
      </c>
      <c r="S56">
        <f t="shared" si="18"/>
        <v>69115.299236171399</v>
      </c>
      <c r="T56">
        <f t="shared" si="18"/>
        <v>61163.981624930442</v>
      </c>
      <c r="U56">
        <f t="shared" si="18"/>
        <v>54127.417367195099</v>
      </c>
      <c r="V56">
        <f t="shared" si="18"/>
        <v>47900.369351500085</v>
      </c>
      <c r="W56">
        <f t="shared" si="18"/>
        <v>42389.707390708048</v>
      </c>
      <c r="X56">
        <f t="shared" si="18"/>
        <v>37513.015390007131</v>
      </c>
      <c r="Y56">
        <f t="shared" si="18"/>
        <v>33197.358752218701</v>
      </c>
      <c r="Z56">
        <f t="shared" si="18"/>
        <v>29378.193586034249</v>
      </c>
      <c r="AA56">
        <f t="shared" si="18"/>
        <v>192212.07357649656</v>
      </c>
    </row>
    <row r="57" spans="1:27" x14ac:dyDescent="0.25">
      <c r="B57">
        <f>SUM(B56:AA56)</f>
        <v>1158.0844127753517</v>
      </c>
    </row>
    <row r="58" spans="1:27" x14ac:dyDescent="0.25">
      <c r="A58" s="21" t="s">
        <v>28</v>
      </c>
      <c r="B58" s="7">
        <v>0.3</v>
      </c>
      <c r="C58" s="21" t="s">
        <v>29</v>
      </c>
      <c r="D58" s="7">
        <v>0.15</v>
      </c>
    </row>
    <row r="59" spans="1:27" x14ac:dyDescent="0.25"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</row>
    <row r="60" spans="1:27" ht="15.75" x14ac:dyDescent="0.25">
      <c r="A60" s="3" t="s">
        <v>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7" ht="15.75" x14ac:dyDescent="0.25">
      <c r="A61" s="3" t="s">
        <v>9</v>
      </c>
      <c r="C61">
        <f>SUM(C62:C63)</f>
        <v>18136.6875</v>
      </c>
      <c r="D61">
        <f>SUM(D62:D63)</f>
        <v>18403.5</v>
      </c>
      <c r="E61">
        <f>SUM(E62:E63)</f>
        <v>18403.5</v>
      </c>
      <c r="F61">
        <f>SUM(F62:F63)</f>
        <v>18403.5</v>
      </c>
      <c r="G61">
        <f>SUM(G62:G63)</f>
        <v>18403.5</v>
      </c>
      <c r="H61">
        <f>SUM(H62:H63)</f>
        <v>18403.5</v>
      </c>
      <c r="I61">
        <f>SUM(I62:I63)</f>
        <v>18403.5</v>
      </c>
      <c r="J61">
        <f>SUM(J62:J63)</f>
        <v>18403.5</v>
      </c>
      <c r="K61">
        <f>SUM(K62:K63)</f>
        <v>18403.5</v>
      </c>
      <c r="L61">
        <f>SUM(L62:L63)</f>
        <v>18403.5</v>
      </c>
      <c r="M61">
        <f>SUM(M62:M63)</f>
        <v>18403.5</v>
      </c>
      <c r="N61">
        <f>SUM(N62:N63)</f>
        <v>18403.5</v>
      </c>
      <c r="O61">
        <f>SUM(O62:O63)</f>
        <v>18403.5</v>
      </c>
      <c r="P61">
        <f>SUM(P62:P63)</f>
        <v>18403.5</v>
      </c>
      <c r="Q61">
        <f>SUM(Q62:Q63)</f>
        <v>18403.5</v>
      </c>
      <c r="R61">
        <f>SUM(R62:R63)</f>
        <v>18403.5</v>
      </c>
      <c r="S61">
        <f>SUM(S62:S63)</f>
        <v>18403.5</v>
      </c>
      <c r="T61">
        <f>SUM(T62:T63)</f>
        <v>18403.5</v>
      </c>
      <c r="U61">
        <f>SUM(U62:U63)</f>
        <v>18403.5</v>
      </c>
      <c r="V61">
        <f>SUM(V62:V63)</f>
        <v>18136.6875</v>
      </c>
    </row>
    <row r="62" spans="1:27" ht="15.75" x14ac:dyDescent="0.25">
      <c r="A62" s="4" t="s">
        <v>52</v>
      </c>
      <c r="C62">
        <v>12000</v>
      </c>
      <c r="D62">
        <v>12000</v>
      </c>
      <c r="E62">
        <v>12000</v>
      </c>
      <c r="F62">
        <v>12000</v>
      </c>
      <c r="G62">
        <v>12000</v>
      </c>
      <c r="H62">
        <v>12000</v>
      </c>
      <c r="I62">
        <v>12000</v>
      </c>
      <c r="J62">
        <v>12000</v>
      </c>
      <c r="K62">
        <v>12000</v>
      </c>
      <c r="L62">
        <v>12000</v>
      </c>
      <c r="M62">
        <v>12000</v>
      </c>
      <c r="N62">
        <v>12000</v>
      </c>
      <c r="O62">
        <v>12000</v>
      </c>
      <c r="P62">
        <v>12000</v>
      </c>
      <c r="Q62">
        <v>12000</v>
      </c>
      <c r="R62">
        <v>12000</v>
      </c>
      <c r="S62">
        <v>12000</v>
      </c>
      <c r="T62">
        <v>12000</v>
      </c>
      <c r="U62">
        <v>12000</v>
      </c>
      <c r="V62">
        <v>12000</v>
      </c>
    </row>
    <row r="63" spans="1:27" ht="15.75" x14ac:dyDescent="0.25">
      <c r="A63" s="4" t="s">
        <v>47</v>
      </c>
      <c r="C63">
        <f>-$B$74*0.025614*11.5/12</f>
        <v>6136.6875</v>
      </c>
      <c r="D63">
        <f>-$B$74*0.025614</f>
        <v>6403.5</v>
      </c>
      <c r="E63">
        <f>-$B$74*0.025614</f>
        <v>6403.5</v>
      </c>
      <c r="F63">
        <f>-$B$74*0.025614</f>
        <v>6403.5</v>
      </c>
      <c r="G63">
        <f>-$B$74*0.025614</f>
        <v>6403.5</v>
      </c>
      <c r="H63">
        <f>-$B$74*0.025614</f>
        <v>6403.5</v>
      </c>
      <c r="I63">
        <f>-$B$74*0.025614</f>
        <v>6403.5</v>
      </c>
      <c r="J63">
        <f>-$B$74*0.025614</f>
        <v>6403.5</v>
      </c>
      <c r="K63">
        <f>-$B$74*0.025614</f>
        <v>6403.5</v>
      </c>
      <c r="L63">
        <f>-$B$74*0.025614</f>
        <v>6403.5</v>
      </c>
      <c r="M63">
        <f>-$B$74*0.025614</f>
        <v>6403.5</v>
      </c>
      <c r="N63">
        <f>-$B$74*0.025614</f>
        <v>6403.5</v>
      </c>
      <c r="O63">
        <f>-$B$74*0.025614</f>
        <v>6403.5</v>
      </c>
      <c r="P63">
        <f>-$B$74*0.025614</f>
        <v>6403.5</v>
      </c>
      <c r="Q63">
        <f>-$B$74*0.025614</f>
        <v>6403.5</v>
      </c>
      <c r="R63">
        <f>-$B$74*0.025614</f>
        <v>6403.5</v>
      </c>
      <c r="S63">
        <f>-$B$74*0.025614</f>
        <v>6403.5</v>
      </c>
      <c r="T63">
        <f>-$B$74*0.025614</f>
        <v>6403.5</v>
      </c>
      <c r="U63">
        <f>-$B$74*0.025614</f>
        <v>6403.5</v>
      </c>
      <c r="V63">
        <f>-$B$74*0.025614*11.5/12</f>
        <v>6136.6875</v>
      </c>
    </row>
    <row r="65" spans="1:23" ht="15.75" x14ac:dyDescent="0.25">
      <c r="A65" s="3" t="s">
        <v>11</v>
      </c>
      <c r="C65">
        <f>C60-C61</f>
        <v>-18136.6875</v>
      </c>
      <c r="D65">
        <f>D60-D61</f>
        <v>-18403.5</v>
      </c>
      <c r="E65">
        <f>E60-E61</f>
        <v>-18403.5</v>
      </c>
      <c r="F65">
        <f>F60-F61</f>
        <v>-18403.5</v>
      </c>
      <c r="G65">
        <f>G60-G61</f>
        <v>-18403.5</v>
      </c>
      <c r="H65">
        <f>H60-H61</f>
        <v>-18403.5</v>
      </c>
      <c r="I65">
        <f>I60-I61</f>
        <v>-18403.5</v>
      </c>
      <c r="J65">
        <f>J60-J61</f>
        <v>-18403.5</v>
      </c>
      <c r="K65">
        <f>K60-K61</f>
        <v>-18403.5</v>
      </c>
      <c r="L65">
        <f>L60-L61</f>
        <v>-18403.5</v>
      </c>
      <c r="M65">
        <f>M60-M61</f>
        <v>-18403.5</v>
      </c>
      <c r="N65">
        <f>N60-N61</f>
        <v>-18403.5</v>
      </c>
      <c r="O65">
        <f>O60-O61</f>
        <v>-18403.5</v>
      </c>
      <c r="P65">
        <f>P60-P61</f>
        <v>-18403.5</v>
      </c>
      <c r="Q65">
        <f>Q60-Q61</f>
        <v>-18403.5</v>
      </c>
      <c r="R65">
        <f>R60-R61</f>
        <v>-18403.5</v>
      </c>
      <c r="S65">
        <f>S60-S61</f>
        <v>-18403.5</v>
      </c>
      <c r="T65">
        <f>T60-T61</f>
        <v>-18403.5</v>
      </c>
      <c r="U65">
        <f>U60-U61</f>
        <v>-18403.5</v>
      </c>
      <c r="V65">
        <f>V60-V61</f>
        <v>-18136.6875</v>
      </c>
    </row>
    <row r="66" spans="1:23" ht="15.75" x14ac:dyDescent="0.25">
      <c r="A66" s="3" t="s">
        <v>12</v>
      </c>
      <c r="C66">
        <f>$B$58*C65</f>
        <v>-5441.0062499999995</v>
      </c>
      <c r="D66">
        <f t="shared" ref="D66:V66" si="19">$B$58*D65</f>
        <v>-5521.05</v>
      </c>
      <c r="E66">
        <f t="shared" si="19"/>
        <v>-5521.05</v>
      </c>
      <c r="F66">
        <f t="shared" si="19"/>
        <v>-5521.05</v>
      </c>
      <c r="G66">
        <f t="shared" si="19"/>
        <v>-5521.05</v>
      </c>
      <c r="H66">
        <f t="shared" si="19"/>
        <v>-5521.05</v>
      </c>
      <c r="I66">
        <f t="shared" si="19"/>
        <v>-5521.05</v>
      </c>
      <c r="J66">
        <f t="shared" si="19"/>
        <v>-5521.05</v>
      </c>
      <c r="K66">
        <f t="shared" si="19"/>
        <v>-5521.05</v>
      </c>
      <c r="L66">
        <f t="shared" si="19"/>
        <v>-5521.05</v>
      </c>
      <c r="M66">
        <f t="shared" si="19"/>
        <v>-5521.05</v>
      </c>
      <c r="N66">
        <f t="shared" si="19"/>
        <v>-5521.05</v>
      </c>
      <c r="O66">
        <f t="shared" si="19"/>
        <v>-5521.05</v>
      </c>
      <c r="P66">
        <f t="shared" si="19"/>
        <v>-5521.05</v>
      </c>
      <c r="Q66">
        <f t="shared" si="19"/>
        <v>-5521.05</v>
      </c>
      <c r="R66">
        <f t="shared" si="19"/>
        <v>-5521.05</v>
      </c>
      <c r="S66">
        <f t="shared" si="19"/>
        <v>-5521.05</v>
      </c>
      <c r="T66">
        <f t="shared" si="19"/>
        <v>-5521.05</v>
      </c>
      <c r="U66">
        <f t="shared" si="19"/>
        <v>-5521.05</v>
      </c>
      <c r="V66">
        <f t="shared" si="19"/>
        <v>-5441.0062499999995</v>
      </c>
    </row>
    <row r="67" spans="1:23" ht="15.75" x14ac:dyDescent="0.25">
      <c r="A67" s="3" t="s">
        <v>13</v>
      </c>
      <c r="C67">
        <f>C65-C66</f>
        <v>-12695.681250000001</v>
      </c>
      <c r="D67">
        <f t="shared" ref="D67" si="20">D65-D66</f>
        <v>-12882.45</v>
      </c>
      <c r="E67">
        <f t="shared" ref="E67" si="21">E65-E66</f>
        <v>-12882.45</v>
      </c>
      <c r="F67">
        <f t="shared" ref="F67" si="22">F65-F66</f>
        <v>-12882.45</v>
      </c>
      <c r="G67">
        <f t="shared" ref="G67" si="23">G65-G66</f>
        <v>-12882.45</v>
      </c>
      <c r="H67">
        <f t="shared" ref="H67" si="24">H65-H66</f>
        <v>-12882.45</v>
      </c>
      <c r="I67">
        <f t="shared" ref="I67" si="25">I65-I66</f>
        <v>-12882.45</v>
      </c>
      <c r="J67">
        <f t="shared" ref="J67" si="26">J65-J66</f>
        <v>-12882.45</v>
      </c>
      <c r="K67">
        <f t="shared" ref="K67" si="27">K65-K66</f>
        <v>-12882.45</v>
      </c>
      <c r="L67">
        <f t="shared" ref="L67" si="28">L65-L66</f>
        <v>-12882.45</v>
      </c>
      <c r="M67">
        <f t="shared" ref="M67" si="29">M65-M66</f>
        <v>-12882.45</v>
      </c>
      <c r="N67">
        <f t="shared" ref="N67" si="30">N65-N66</f>
        <v>-12882.45</v>
      </c>
      <c r="O67">
        <f t="shared" ref="O67" si="31">O65-O66</f>
        <v>-12882.45</v>
      </c>
      <c r="P67">
        <f t="shared" ref="P67" si="32">P65-P66</f>
        <v>-12882.45</v>
      </c>
      <c r="Q67">
        <f t="shared" ref="Q67" si="33">Q65-Q66</f>
        <v>-12882.45</v>
      </c>
      <c r="R67">
        <f t="shared" ref="R67" si="34">R65-R66</f>
        <v>-12882.45</v>
      </c>
      <c r="S67">
        <f t="shared" ref="S67" si="35">S65-S66</f>
        <v>-12882.45</v>
      </c>
      <c r="T67">
        <f t="shared" ref="T67" si="36">T65-T66</f>
        <v>-12882.45</v>
      </c>
      <c r="U67">
        <f t="shared" ref="U67" si="37">U65-U66</f>
        <v>-12882.45</v>
      </c>
      <c r="V67">
        <f t="shared" ref="V67" si="38">V65-V66</f>
        <v>-12695.681250000001</v>
      </c>
    </row>
    <row r="68" spans="1:23" ht="15.75" x14ac:dyDescent="0.25">
      <c r="A68" s="2" t="s">
        <v>14</v>
      </c>
    </row>
    <row r="69" spans="1:23" ht="15.75" x14ac:dyDescent="0.25">
      <c r="A69" s="3" t="s">
        <v>15</v>
      </c>
    </row>
    <row r="70" spans="1:23" x14ac:dyDescent="0.25">
      <c r="A70" s="5" t="s">
        <v>13</v>
      </c>
      <c r="C70">
        <f>C67</f>
        <v>-12695.681250000001</v>
      </c>
      <c r="D70">
        <f t="shared" ref="D70:V70" si="39">D67</f>
        <v>-12882.45</v>
      </c>
      <c r="E70">
        <f t="shared" si="39"/>
        <v>-12882.45</v>
      </c>
      <c r="F70">
        <f t="shared" si="39"/>
        <v>-12882.45</v>
      </c>
      <c r="G70">
        <f t="shared" si="39"/>
        <v>-12882.45</v>
      </c>
      <c r="H70">
        <f t="shared" si="39"/>
        <v>-12882.45</v>
      </c>
      <c r="I70">
        <f t="shared" si="39"/>
        <v>-12882.45</v>
      </c>
      <c r="J70">
        <f t="shared" si="39"/>
        <v>-12882.45</v>
      </c>
      <c r="K70">
        <f t="shared" si="39"/>
        <v>-12882.45</v>
      </c>
      <c r="L70">
        <f t="shared" si="39"/>
        <v>-12882.45</v>
      </c>
      <c r="M70">
        <f t="shared" si="39"/>
        <v>-12882.45</v>
      </c>
      <c r="N70">
        <f t="shared" si="39"/>
        <v>-12882.45</v>
      </c>
      <c r="O70">
        <f t="shared" si="39"/>
        <v>-12882.45</v>
      </c>
      <c r="P70">
        <f t="shared" si="39"/>
        <v>-12882.45</v>
      </c>
      <c r="Q70">
        <f t="shared" si="39"/>
        <v>-12882.45</v>
      </c>
      <c r="R70">
        <f t="shared" si="39"/>
        <v>-12882.45</v>
      </c>
      <c r="S70">
        <f t="shared" si="39"/>
        <v>-12882.45</v>
      </c>
      <c r="T70">
        <f t="shared" si="39"/>
        <v>-12882.45</v>
      </c>
      <c r="U70">
        <f t="shared" si="39"/>
        <v>-12882.45</v>
      </c>
      <c r="V70">
        <f t="shared" si="39"/>
        <v>-12695.681250000001</v>
      </c>
    </row>
    <row r="71" spans="1:23" x14ac:dyDescent="0.25">
      <c r="A71" s="5" t="s">
        <v>10</v>
      </c>
      <c r="C71">
        <f>SUM(C63:C63)</f>
        <v>6136.6875</v>
      </c>
      <c r="D71">
        <f>SUM(D63:D63)</f>
        <v>6403.5</v>
      </c>
      <c r="E71">
        <f>SUM(E63:E63)</f>
        <v>6403.5</v>
      </c>
      <c r="F71">
        <f>SUM(F63:F63)</f>
        <v>6403.5</v>
      </c>
      <c r="G71">
        <f>SUM(G63:G63)</f>
        <v>6403.5</v>
      </c>
      <c r="H71">
        <f>SUM(H63:H63)</f>
        <v>6403.5</v>
      </c>
      <c r="I71">
        <f>SUM(I63:I63)</f>
        <v>6403.5</v>
      </c>
      <c r="J71">
        <f>SUM(J63:J63)</f>
        <v>6403.5</v>
      </c>
      <c r="K71">
        <f>SUM(K63:K63)</f>
        <v>6403.5</v>
      </c>
      <c r="L71">
        <f>SUM(L63:L63)</f>
        <v>6403.5</v>
      </c>
      <c r="M71">
        <f>SUM(M63:M63)</f>
        <v>6403.5</v>
      </c>
      <c r="N71">
        <f>SUM(N63:N63)</f>
        <v>6403.5</v>
      </c>
      <c r="O71">
        <f>SUM(O63:O63)</f>
        <v>6403.5</v>
      </c>
      <c r="P71">
        <f>SUM(P63:P63)</f>
        <v>6403.5</v>
      </c>
      <c r="Q71">
        <f>SUM(Q63:Q63)</f>
        <v>6403.5</v>
      </c>
      <c r="R71">
        <f>SUM(R63:R63)</f>
        <v>6403.5</v>
      </c>
      <c r="S71">
        <f>SUM(S63:S63)</f>
        <v>6403.5</v>
      </c>
      <c r="T71">
        <f>SUM(T63:T63)</f>
        <v>6403.5</v>
      </c>
      <c r="U71">
        <f>SUM(U63:U63)</f>
        <v>6403.5</v>
      </c>
      <c r="V71">
        <f>SUM(V63:V63)</f>
        <v>6136.6875</v>
      </c>
    </row>
    <row r="72" spans="1:23" ht="15.75" x14ac:dyDescent="0.25">
      <c r="A72" s="3" t="s">
        <v>16</v>
      </c>
      <c r="W72">
        <f>SUM(C71:V71)</f>
        <v>127536.375</v>
      </c>
    </row>
    <row r="73" spans="1:23" x14ac:dyDescent="0.25">
      <c r="A73" s="19" t="s">
        <v>17</v>
      </c>
      <c r="W73">
        <f>-B74-W72</f>
        <v>122463.625</v>
      </c>
    </row>
    <row r="74" spans="1:23" x14ac:dyDescent="0.25">
      <c r="A74" s="20" t="s">
        <v>50</v>
      </c>
      <c r="B74">
        <v>-250000</v>
      </c>
    </row>
    <row r="75" spans="1:23" x14ac:dyDescent="0.25">
      <c r="A75" s="5" t="s">
        <v>27</v>
      </c>
      <c r="V75">
        <f>-B74*1.05^V59</f>
        <v>663324.42628610518</v>
      </c>
    </row>
    <row r="76" spans="1:23" x14ac:dyDescent="0.25">
      <c r="A76" s="5" t="s">
        <v>18</v>
      </c>
      <c r="V76">
        <f>-B58*(V75-W73)</f>
        <v>-162258.24038583154</v>
      </c>
    </row>
    <row r="77" spans="1:23" x14ac:dyDescent="0.25">
      <c r="A77" s="5" t="s">
        <v>37</v>
      </c>
    </row>
    <row r="78" spans="1:23" ht="15.75" x14ac:dyDescent="0.25">
      <c r="A78" s="3" t="s">
        <v>20</v>
      </c>
      <c r="B78">
        <f>SUM(B69:B77)</f>
        <v>-250000</v>
      </c>
      <c r="C78">
        <f>SUM(C69:C77)</f>
        <v>-6558.9937500000015</v>
      </c>
      <c r="D78">
        <f>SUM(D69:D77)</f>
        <v>-6478.9500000000007</v>
      </c>
      <c r="E78">
        <f>SUM(E69:E77)</f>
        <v>-6478.9500000000007</v>
      </c>
      <c r="F78">
        <f>SUM(F69:F77)</f>
        <v>-6478.9500000000007</v>
      </c>
      <c r="G78">
        <f>SUM(G69:G77)</f>
        <v>-6478.9500000000007</v>
      </c>
      <c r="H78">
        <f>SUM(H69:H77)</f>
        <v>-6478.9500000000007</v>
      </c>
      <c r="I78">
        <f>SUM(I69:I77)</f>
        <v>-6478.9500000000007</v>
      </c>
      <c r="J78">
        <f>SUM(J69:J77)</f>
        <v>-6478.9500000000007</v>
      </c>
      <c r="K78">
        <f>SUM(K69:K77)</f>
        <v>-6478.9500000000007</v>
      </c>
      <c r="L78">
        <f>SUM(L69:L77)</f>
        <v>-6478.9500000000007</v>
      </c>
      <c r="M78">
        <f>SUM(M69:M77)</f>
        <v>-6478.9500000000007</v>
      </c>
      <c r="N78">
        <f>SUM(N69:N77)</f>
        <v>-6478.9500000000007</v>
      </c>
      <c r="O78">
        <f>SUM(O69:O77)</f>
        <v>-6478.9500000000007</v>
      </c>
      <c r="P78">
        <f>SUM(P69:P77)</f>
        <v>-6478.9500000000007</v>
      </c>
      <c r="Q78">
        <f>SUM(Q69:Q77)</f>
        <v>-6478.9500000000007</v>
      </c>
      <c r="R78">
        <f>SUM(R69:R77)</f>
        <v>-6478.9500000000007</v>
      </c>
      <c r="S78">
        <f>SUM(S69:S77)</f>
        <v>-6478.9500000000007</v>
      </c>
      <c r="T78">
        <f>SUM(T69:T77)</f>
        <v>-6478.9500000000007</v>
      </c>
      <c r="U78">
        <f>SUM(U69:U77)</f>
        <v>-6478.9500000000007</v>
      </c>
      <c r="V78">
        <f>SUM(V69:V77)</f>
        <v>494507.19215027359</v>
      </c>
    </row>
    <row r="79" spans="1:23" x14ac:dyDescent="0.25">
      <c r="A79" s="5" t="s">
        <v>21</v>
      </c>
      <c r="B79">
        <f>B78/(1+$D$58)^B59</f>
        <v>-250000</v>
      </c>
      <c r="C79">
        <f t="shared" ref="C79:V79" si="40">C78/(1+$D$58)^C59</f>
        <v>-5703.4728260869579</v>
      </c>
      <c r="D79">
        <f t="shared" si="40"/>
        <v>-4899.0170132325156</v>
      </c>
      <c r="E79">
        <f t="shared" si="40"/>
        <v>-4260.0147941152318</v>
      </c>
      <c r="F79">
        <f t="shared" si="40"/>
        <v>-3704.3606905349839</v>
      </c>
      <c r="G79">
        <f t="shared" si="40"/>
        <v>-3221.1832091608558</v>
      </c>
      <c r="H79">
        <f t="shared" si="40"/>
        <v>-2801.0288775311792</v>
      </c>
      <c r="I79">
        <f t="shared" si="40"/>
        <v>-2435.6772848097216</v>
      </c>
      <c r="J79">
        <f t="shared" si="40"/>
        <v>-2117.9802476606274</v>
      </c>
      <c r="K79">
        <f t="shared" si="40"/>
        <v>-1841.7219544875022</v>
      </c>
      <c r="L79">
        <f t="shared" si="40"/>
        <v>-1601.4973517282631</v>
      </c>
      <c r="M79">
        <f t="shared" si="40"/>
        <v>-1392.6063928071853</v>
      </c>
      <c r="N79">
        <f t="shared" si="40"/>
        <v>-1210.9620807019005</v>
      </c>
      <c r="O79">
        <f t="shared" si="40"/>
        <v>-1053.0105049581744</v>
      </c>
      <c r="P79">
        <f t="shared" si="40"/>
        <v>-915.66130865928199</v>
      </c>
      <c r="Q79">
        <f t="shared" si="40"/>
        <v>-796.22722492111495</v>
      </c>
      <c r="R79">
        <f t="shared" si="40"/>
        <v>-692.37149993140451</v>
      </c>
      <c r="S79">
        <f t="shared" si="40"/>
        <v>-602.06217385339528</v>
      </c>
      <c r="T79">
        <f t="shared" si="40"/>
        <v>-523.53232508990902</v>
      </c>
      <c r="U79">
        <f t="shared" si="40"/>
        <v>-455.24550007818175</v>
      </c>
      <c r="V79">
        <f t="shared" si="40"/>
        <v>30214.527378491457</v>
      </c>
    </row>
    <row r="80" spans="1:23" x14ac:dyDescent="0.25">
      <c r="B80">
        <f>SUM(B79:AA79)</f>
        <v>-260013.1058818569</v>
      </c>
      <c r="C80">
        <f>B80*0.1598</f>
        <v>-41550.094319920732</v>
      </c>
      <c r="D80">
        <f>C80/(1-B58)</f>
        <v>-59357.277599886766</v>
      </c>
    </row>
    <row r="82" spans="1:18" x14ac:dyDescent="0.25">
      <c r="A82" s="21" t="s">
        <v>28</v>
      </c>
      <c r="B82" s="7">
        <v>0.4</v>
      </c>
      <c r="C82" s="21" t="s">
        <v>29</v>
      </c>
      <c r="D82" s="7">
        <v>0.15</v>
      </c>
    </row>
    <row r="83" spans="1:18" x14ac:dyDescent="0.25">
      <c r="B83">
        <v>0</v>
      </c>
      <c r="C83">
        <v>1</v>
      </c>
      <c r="D83">
        <v>2</v>
      </c>
      <c r="E83">
        <v>3</v>
      </c>
      <c r="F83">
        <v>4</v>
      </c>
      <c r="G83">
        <v>5</v>
      </c>
      <c r="H83">
        <v>6</v>
      </c>
      <c r="I83">
        <v>7</v>
      </c>
      <c r="J83">
        <v>8</v>
      </c>
      <c r="K83">
        <v>9</v>
      </c>
      <c r="L83">
        <v>10</v>
      </c>
      <c r="M83">
        <v>11</v>
      </c>
      <c r="N83">
        <v>12</v>
      </c>
      <c r="O83">
        <v>13</v>
      </c>
      <c r="P83">
        <v>14</v>
      </c>
      <c r="Q83">
        <v>15</v>
      </c>
    </row>
    <row r="84" spans="1:18" ht="15.75" x14ac:dyDescent="0.25">
      <c r="A84" s="3" t="s">
        <v>8</v>
      </c>
      <c r="C84">
        <v>-80000</v>
      </c>
      <c r="D84">
        <v>-80000</v>
      </c>
      <c r="E84">
        <v>-80000</v>
      </c>
      <c r="F84">
        <v>-80000</v>
      </c>
      <c r="G84">
        <v>-80000</v>
      </c>
      <c r="H84">
        <v>-80000</v>
      </c>
      <c r="I84">
        <v>-80000</v>
      </c>
      <c r="J84">
        <v>-80000</v>
      </c>
      <c r="K84">
        <v>-80000</v>
      </c>
      <c r="L84">
        <v>-80000</v>
      </c>
      <c r="M84">
        <v>-80000</v>
      </c>
      <c r="N84">
        <v>-80000</v>
      </c>
      <c r="O84">
        <v>-80000</v>
      </c>
      <c r="P84">
        <v>-80000</v>
      </c>
      <c r="Q84">
        <v>-80000</v>
      </c>
    </row>
    <row r="85" spans="1:18" ht="15.75" x14ac:dyDescent="0.25">
      <c r="A85" s="3" t="s">
        <v>9</v>
      </c>
      <c r="C85">
        <f>SUM(C86:C86)</f>
        <v>12273.375</v>
      </c>
      <c r="D85">
        <f>SUM(D86:D86)</f>
        <v>12807</v>
      </c>
      <c r="E85">
        <f>SUM(E86:E86)</f>
        <v>12807</v>
      </c>
      <c r="F85">
        <f>SUM(F86:F86)</f>
        <v>12807</v>
      </c>
      <c r="G85">
        <f>SUM(G86:G86)</f>
        <v>12807</v>
      </c>
      <c r="H85">
        <f>SUM(H86:H86)</f>
        <v>12807</v>
      </c>
      <c r="I85">
        <f>SUM(I86:I86)</f>
        <v>12807</v>
      </c>
      <c r="J85">
        <f>SUM(J86:J86)</f>
        <v>12807</v>
      </c>
      <c r="K85">
        <f>SUM(K86:K86)</f>
        <v>12807</v>
      </c>
      <c r="L85">
        <f>SUM(L86:L86)</f>
        <v>12807</v>
      </c>
      <c r="M85">
        <f>SUM(M86:M86)</f>
        <v>12807</v>
      </c>
      <c r="N85">
        <f>SUM(N86:N86)</f>
        <v>12807</v>
      </c>
      <c r="O85">
        <f>SUM(O86:O86)</f>
        <v>12807</v>
      </c>
      <c r="P85">
        <f>SUM(P86:P86)</f>
        <v>12807</v>
      </c>
      <c r="Q85">
        <f>SUM(Q86:Q86)</f>
        <v>12273.375</v>
      </c>
    </row>
    <row r="86" spans="1:18" ht="15.75" x14ac:dyDescent="0.25">
      <c r="A86" s="4" t="s">
        <v>47</v>
      </c>
      <c r="C86">
        <f>-$B$97*0.025614*11.5/12</f>
        <v>12273.375</v>
      </c>
      <c r="D86">
        <f>-$B$97*0.025614</f>
        <v>12807</v>
      </c>
      <c r="E86">
        <f t="shared" ref="E86:Q86" si="41">-$B$97*0.025614</f>
        <v>12807</v>
      </c>
      <c r="F86">
        <f t="shared" si="41"/>
        <v>12807</v>
      </c>
      <c r="G86">
        <f t="shared" si="41"/>
        <v>12807</v>
      </c>
      <c r="H86">
        <f t="shared" si="41"/>
        <v>12807</v>
      </c>
      <c r="I86">
        <f t="shared" si="41"/>
        <v>12807</v>
      </c>
      <c r="J86">
        <f t="shared" si="41"/>
        <v>12807</v>
      </c>
      <c r="K86">
        <f t="shared" si="41"/>
        <v>12807</v>
      </c>
      <c r="L86">
        <f t="shared" si="41"/>
        <v>12807</v>
      </c>
      <c r="M86">
        <f t="shared" si="41"/>
        <v>12807</v>
      </c>
      <c r="N86">
        <f t="shared" si="41"/>
        <v>12807</v>
      </c>
      <c r="O86">
        <f t="shared" si="41"/>
        <v>12807</v>
      </c>
      <c r="P86">
        <f t="shared" si="41"/>
        <v>12807</v>
      </c>
      <c r="Q86">
        <f>-$B$97*0.025614*11.5/12</f>
        <v>12273.375</v>
      </c>
    </row>
    <row r="88" spans="1:18" ht="15.75" x14ac:dyDescent="0.25">
      <c r="A88" s="3" t="s">
        <v>11</v>
      </c>
      <c r="C88">
        <f>C84-C85</f>
        <v>-92273.375</v>
      </c>
      <c r="D88">
        <f>D84-D85</f>
        <v>-92807</v>
      </c>
      <c r="E88">
        <f>E84-E85</f>
        <v>-92807</v>
      </c>
      <c r="F88">
        <f>F84-F85</f>
        <v>-92807</v>
      </c>
      <c r="G88">
        <f>G84-G85</f>
        <v>-92807</v>
      </c>
      <c r="H88">
        <f>H84-H85</f>
        <v>-92807</v>
      </c>
      <c r="I88">
        <f>I84-I85</f>
        <v>-92807</v>
      </c>
      <c r="J88">
        <f>J84-J85</f>
        <v>-92807</v>
      </c>
      <c r="K88">
        <f>K84-K85</f>
        <v>-92807</v>
      </c>
      <c r="L88">
        <f>L84-L85</f>
        <v>-92807</v>
      </c>
      <c r="M88">
        <f>M84-M85</f>
        <v>-92807</v>
      </c>
      <c r="N88">
        <f>N84-N85</f>
        <v>-92807</v>
      </c>
      <c r="O88">
        <f>O84-O85</f>
        <v>-92807</v>
      </c>
      <c r="P88">
        <f>P84-P85</f>
        <v>-92807</v>
      </c>
      <c r="Q88">
        <f>Q84-Q85</f>
        <v>-92273.375</v>
      </c>
    </row>
    <row r="89" spans="1:18" ht="15.75" x14ac:dyDescent="0.25">
      <c r="A89" s="3" t="s">
        <v>12</v>
      </c>
      <c r="C89">
        <f>C88*0.4</f>
        <v>-36909.35</v>
      </c>
      <c r="D89">
        <f t="shared" ref="D89:Q89" si="42">D88*0.4</f>
        <v>-37122.800000000003</v>
      </c>
      <c r="E89">
        <f t="shared" si="42"/>
        <v>-37122.800000000003</v>
      </c>
      <c r="F89">
        <f t="shared" si="42"/>
        <v>-37122.800000000003</v>
      </c>
      <c r="G89">
        <f t="shared" si="42"/>
        <v>-37122.800000000003</v>
      </c>
      <c r="H89">
        <f t="shared" si="42"/>
        <v>-37122.800000000003</v>
      </c>
      <c r="I89">
        <f t="shared" si="42"/>
        <v>-37122.800000000003</v>
      </c>
      <c r="J89">
        <f t="shared" si="42"/>
        <v>-37122.800000000003</v>
      </c>
      <c r="K89">
        <f t="shared" si="42"/>
        <v>-37122.800000000003</v>
      </c>
      <c r="L89">
        <f t="shared" si="42"/>
        <v>-37122.800000000003</v>
      </c>
      <c r="M89">
        <f t="shared" si="42"/>
        <v>-37122.800000000003</v>
      </c>
      <c r="N89">
        <f t="shared" si="42"/>
        <v>-37122.800000000003</v>
      </c>
      <c r="O89">
        <f t="shared" si="42"/>
        <v>-37122.800000000003</v>
      </c>
      <c r="P89">
        <f t="shared" si="42"/>
        <v>-37122.800000000003</v>
      </c>
      <c r="Q89">
        <f t="shared" si="42"/>
        <v>-36909.35</v>
      </c>
    </row>
    <row r="90" spans="1:18" ht="15.75" x14ac:dyDescent="0.25">
      <c r="A90" s="3" t="s">
        <v>13</v>
      </c>
      <c r="C90">
        <f>C88-C89</f>
        <v>-55364.025000000001</v>
      </c>
      <c r="D90">
        <f t="shared" ref="D90" si="43">D88-D89</f>
        <v>-55684.2</v>
      </c>
      <c r="E90">
        <f t="shared" ref="E90" si="44">E88-E89</f>
        <v>-55684.2</v>
      </c>
      <c r="F90">
        <f t="shared" ref="F90" si="45">F88-F89</f>
        <v>-55684.2</v>
      </c>
      <c r="G90">
        <f t="shared" ref="G90" si="46">G88-G89</f>
        <v>-55684.2</v>
      </c>
      <c r="H90">
        <f t="shared" ref="H90" si="47">H88-H89</f>
        <v>-55684.2</v>
      </c>
      <c r="I90">
        <f t="shared" ref="I90" si="48">I88-I89</f>
        <v>-55684.2</v>
      </c>
      <c r="J90">
        <f t="shared" ref="J90" si="49">J88-J89</f>
        <v>-55684.2</v>
      </c>
      <c r="K90">
        <f t="shared" ref="K90" si="50">K88-K89</f>
        <v>-55684.2</v>
      </c>
      <c r="L90">
        <f t="shared" ref="L90" si="51">L88-L89</f>
        <v>-55684.2</v>
      </c>
      <c r="M90">
        <f t="shared" ref="M90" si="52">M88-M89</f>
        <v>-55684.2</v>
      </c>
      <c r="N90">
        <f t="shared" ref="N90" si="53">N88-N89</f>
        <v>-55684.2</v>
      </c>
      <c r="O90">
        <f t="shared" ref="O90" si="54">O88-O89</f>
        <v>-55684.2</v>
      </c>
      <c r="P90">
        <f t="shared" ref="P90" si="55">P88-P89</f>
        <v>-55684.2</v>
      </c>
      <c r="Q90">
        <f t="shared" ref="Q90" si="56">Q88-Q89</f>
        <v>-55364.025000000001</v>
      </c>
    </row>
    <row r="91" spans="1:18" ht="15.75" x14ac:dyDescent="0.25">
      <c r="A91" s="2" t="s">
        <v>14</v>
      </c>
    </row>
    <row r="92" spans="1:18" ht="15.75" x14ac:dyDescent="0.25">
      <c r="A92" s="3" t="s">
        <v>15</v>
      </c>
    </row>
    <row r="93" spans="1:18" x14ac:dyDescent="0.25">
      <c r="A93" s="5" t="s">
        <v>13</v>
      </c>
      <c r="C93">
        <f>C90</f>
        <v>-55364.025000000001</v>
      </c>
      <c r="D93">
        <f t="shared" ref="D93:Q93" si="57">D90</f>
        <v>-55684.2</v>
      </c>
      <c r="E93">
        <f t="shared" si="57"/>
        <v>-55684.2</v>
      </c>
      <c r="F93">
        <f t="shared" si="57"/>
        <v>-55684.2</v>
      </c>
      <c r="G93">
        <f t="shared" si="57"/>
        <v>-55684.2</v>
      </c>
      <c r="H93">
        <f t="shared" si="57"/>
        <v>-55684.2</v>
      </c>
      <c r="I93">
        <f t="shared" si="57"/>
        <v>-55684.2</v>
      </c>
      <c r="J93">
        <f t="shared" si="57"/>
        <v>-55684.2</v>
      </c>
      <c r="K93">
        <f t="shared" si="57"/>
        <v>-55684.2</v>
      </c>
      <c r="L93">
        <f t="shared" si="57"/>
        <v>-55684.2</v>
      </c>
      <c r="M93">
        <f t="shared" si="57"/>
        <v>-55684.2</v>
      </c>
      <c r="N93">
        <f t="shared" si="57"/>
        <v>-55684.2</v>
      </c>
      <c r="O93">
        <f t="shared" si="57"/>
        <v>-55684.2</v>
      </c>
      <c r="P93">
        <f t="shared" si="57"/>
        <v>-55684.2</v>
      </c>
      <c r="Q93">
        <f t="shared" si="57"/>
        <v>-55364.025000000001</v>
      </c>
    </row>
    <row r="94" spans="1:18" x14ac:dyDescent="0.25">
      <c r="A94" s="5" t="s">
        <v>10</v>
      </c>
      <c r="C94">
        <f>SUM(C86:C86)</f>
        <v>12273.375</v>
      </c>
      <c r="D94">
        <f>SUM(D86:D86)</f>
        <v>12807</v>
      </c>
      <c r="E94">
        <f>SUM(E86:E86)</f>
        <v>12807</v>
      </c>
      <c r="F94">
        <f>SUM(F86:F86)</f>
        <v>12807</v>
      </c>
      <c r="G94">
        <f>SUM(G86:G86)</f>
        <v>12807</v>
      </c>
      <c r="H94">
        <f>SUM(H86:H86)</f>
        <v>12807</v>
      </c>
      <c r="I94">
        <f>SUM(I86:I86)</f>
        <v>12807</v>
      </c>
      <c r="J94">
        <f>SUM(J86:J86)</f>
        <v>12807</v>
      </c>
      <c r="K94">
        <f>SUM(K86:K86)</f>
        <v>12807</v>
      </c>
      <c r="L94">
        <f>SUM(L86:L86)</f>
        <v>12807</v>
      </c>
      <c r="M94">
        <f>SUM(M86:M86)</f>
        <v>12807</v>
      </c>
      <c r="N94">
        <f>SUM(N86:N86)</f>
        <v>12807</v>
      </c>
      <c r="O94">
        <f>SUM(O86:O86)</f>
        <v>12807</v>
      </c>
      <c r="P94">
        <f>SUM(P86:P86)</f>
        <v>12807</v>
      </c>
      <c r="Q94">
        <f>SUM(Q86:Q86)</f>
        <v>12273.375</v>
      </c>
      <c r="R94">
        <f>SUM(C94:Q94)</f>
        <v>191037.75</v>
      </c>
    </row>
    <row r="95" spans="1:18" ht="15.75" x14ac:dyDescent="0.25">
      <c r="A95" s="3" t="s">
        <v>16</v>
      </c>
    </row>
    <row r="96" spans="1:18" x14ac:dyDescent="0.25">
      <c r="A96" s="19" t="s">
        <v>17</v>
      </c>
      <c r="R96">
        <f>-B97-R94</f>
        <v>308962.25</v>
      </c>
    </row>
    <row r="97" spans="1:17" x14ac:dyDescent="0.25">
      <c r="A97" s="20" t="s">
        <v>50</v>
      </c>
      <c r="B97">
        <v>-500000</v>
      </c>
    </row>
    <row r="98" spans="1:17" x14ac:dyDescent="0.25">
      <c r="A98" s="5" t="s">
        <v>27</v>
      </c>
      <c r="Q98">
        <v>100000</v>
      </c>
    </row>
    <row r="99" spans="1:17" x14ac:dyDescent="0.25">
      <c r="A99" s="5" t="s">
        <v>18</v>
      </c>
      <c r="Q99">
        <f>-B82*(Q98-R96)</f>
        <v>83584.900000000009</v>
      </c>
    </row>
    <row r="100" spans="1:17" x14ac:dyDescent="0.25">
      <c r="A100" s="5" t="s">
        <v>37</v>
      </c>
    </row>
    <row r="101" spans="1:17" ht="15.75" x14ac:dyDescent="0.25">
      <c r="A101" s="3" t="s">
        <v>20</v>
      </c>
      <c r="B101">
        <f>SUM(B92:B100)</f>
        <v>-500000</v>
      </c>
      <c r="C101">
        <f>SUM(C92:C100)</f>
        <v>-43090.65</v>
      </c>
      <c r="D101">
        <f>SUM(D92:D100)</f>
        <v>-42877.2</v>
      </c>
      <c r="E101">
        <f>SUM(E92:E100)</f>
        <v>-42877.2</v>
      </c>
      <c r="F101">
        <f>SUM(F92:F100)</f>
        <v>-42877.2</v>
      </c>
      <c r="G101">
        <f>SUM(G92:G100)</f>
        <v>-42877.2</v>
      </c>
      <c r="H101">
        <f>SUM(H92:H100)</f>
        <v>-42877.2</v>
      </c>
      <c r="I101">
        <f>SUM(I92:I100)</f>
        <v>-42877.2</v>
      </c>
      <c r="J101">
        <f>SUM(J92:J100)</f>
        <v>-42877.2</v>
      </c>
      <c r="K101">
        <f>SUM(K92:K100)</f>
        <v>-42877.2</v>
      </c>
      <c r="L101">
        <f>SUM(L92:L100)</f>
        <v>-42877.2</v>
      </c>
      <c r="M101">
        <f>SUM(M92:M100)</f>
        <v>-42877.2</v>
      </c>
      <c r="N101">
        <f>SUM(N92:N100)</f>
        <v>-42877.2</v>
      </c>
      <c r="O101">
        <f>SUM(O92:O100)</f>
        <v>-42877.2</v>
      </c>
      <c r="P101">
        <f>SUM(P92:P100)</f>
        <v>-42877.2</v>
      </c>
      <c r="Q101">
        <f>SUM(Q92:Q100)</f>
        <v>140494.25</v>
      </c>
    </row>
    <row r="102" spans="1:17" x14ac:dyDescent="0.25">
      <c r="A102" s="5" t="s">
        <v>21</v>
      </c>
      <c r="B102">
        <f>B101/(1+$D$82)^B83</f>
        <v>-500000</v>
      </c>
      <c r="C102">
        <f t="shared" ref="C102:Q102" si="58">C101/(1+$D$82)^C83</f>
        <v>-37470.130434782615</v>
      </c>
      <c r="D102">
        <f t="shared" si="58"/>
        <v>-32421.323251417773</v>
      </c>
      <c r="E102">
        <f t="shared" si="58"/>
        <v>-28192.455001232851</v>
      </c>
      <c r="F102">
        <f t="shared" si="58"/>
        <v>-24515.178261941608</v>
      </c>
      <c r="G102">
        <f t="shared" si="58"/>
        <v>-21317.546314731833</v>
      </c>
      <c r="H102">
        <f t="shared" si="58"/>
        <v>-18536.996795418989</v>
      </c>
      <c r="I102">
        <f t="shared" si="58"/>
        <v>-16119.127648190428</v>
      </c>
      <c r="J102">
        <f t="shared" si="58"/>
        <v>-14016.632737556894</v>
      </c>
      <c r="K102">
        <f t="shared" si="58"/>
        <v>-12188.376293527735</v>
      </c>
      <c r="L102">
        <f t="shared" si="58"/>
        <v>-10598.588081328466</v>
      </c>
      <c r="M102">
        <f t="shared" si="58"/>
        <v>-9216.1635489812761</v>
      </c>
      <c r="N102">
        <f t="shared" si="58"/>
        <v>-8014.0552599837192</v>
      </c>
      <c r="O102">
        <f t="shared" si="58"/>
        <v>-6968.7437043336686</v>
      </c>
      <c r="P102">
        <f t="shared" si="58"/>
        <v>-6059.7771342031901</v>
      </c>
      <c r="Q102">
        <f t="shared" si="58"/>
        <v>17265.968528059846</v>
      </c>
    </row>
    <row r="103" spans="1:17" x14ac:dyDescent="0.25">
      <c r="B103" s="1">
        <f>SUM(B102:V102)</f>
        <v>-728369.1259395713</v>
      </c>
      <c r="C103">
        <f>B103*0.1598</f>
        <v>-116393.3863251435</v>
      </c>
      <c r="D103">
        <f>C103/(1-B82)</f>
        <v>-193988.9772085725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N3" sqref="N3"/>
    </sheetView>
  </sheetViews>
  <sheetFormatPr defaultRowHeight="15" x14ac:dyDescent="0.25"/>
  <cols>
    <col min="1" max="1" width="20.5703125" customWidth="1"/>
    <col min="3" max="3" width="9.85546875" bestFit="1" customWidth="1"/>
    <col min="4" max="8" width="9.5703125" bestFit="1" customWidth="1"/>
    <col min="15" max="15" width="10.140625" customWidth="1"/>
    <col min="16" max="16" width="10.42578125" customWidth="1"/>
  </cols>
  <sheetData>
    <row r="1" spans="1:20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J1" t="s">
        <v>42</v>
      </c>
      <c r="K1" s="7">
        <v>0.4</v>
      </c>
      <c r="M1" s="16" t="s">
        <v>41</v>
      </c>
      <c r="N1">
        <v>0</v>
      </c>
      <c r="O1">
        <v>1</v>
      </c>
      <c r="P1">
        <v>2</v>
      </c>
      <c r="T1">
        <v>6</v>
      </c>
    </row>
    <row r="2" spans="1:20" x14ac:dyDescent="0.25">
      <c r="A2" s="16" t="s">
        <v>41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M2" t="s">
        <v>10</v>
      </c>
      <c r="O2">
        <v>2000</v>
      </c>
      <c r="P2">
        <v>2000</v>
      </c>
      <c r="T2">
        <v>2000</v>
      </c>
    </row>
    <row r="3" spans="1:20" x14ac:dyDescent="0.25">
      <c r="A3" t="s">
        <v>10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M3" t="s">
        <v>38</v>
      </c>
      <c r="N3">
        <v>13000</v>
      </c>
      <c r="O3">
        <f>N3-O2</f>
        <v>11000</v>
      </c>
      <c r="P3">
        <f t="shared" ref="P3" si="0">O3-P2</f>
        <v>9000</v>
      </c>
      <c r="T3">
        <f t="shared" ref="T3" si="1">S3-T2</f>
        <v>-2000</v>
      </c>
    </row>
    <row r="4" spans="1:20" x14ac:dyDescent="0.25">
      <c r="A4" t="s">
        <v>38</v>
      </c>
      <c r="B4">
        <v>13000</v>
      </c>
      <c r="C4">
        <f>B4-C3</f>
        <v>11000</v>
      </c>
      <c r="D4">
        <f t="shared" ref="D4:H4" si="2">C4-D3</f>
        <v>9000</v>
      </c>
      <c r="E4">
        <f t="shared" si="2"/>
        <v>7000</v>
      </c>
      <c r="F4">
        <f t="shared" si="2"/>
        <v>5000</v>
      </c>
      <c r="G4">
        <f t="shared" si="2"/>
        <v>3000</v>
      </c>
      <c r="H4">
        <f t="shared" si="2"/>
        <v>1000</v>
      </c>
      <c r="M4" t="s">
        <v>27</v>
      </c>
      <c r="T4">
        <v>1000</v>
      </c>
    </row>
    <row r="5" spans="1:20" x14ac:dyDescent="0.25">
      <c r="A5" t="s">
        <v>27</v>
      </c>
      <c r="H5">
        <v>1000</v>
      </c>
      <c r="M5" t="s">
        <v>39</v>
      </c>
      <c r="T5">
        <v>-1500</v>
      </c>
    </row>
    <row r="6" spans="1:20" x14ac:dyDescent="0.25">
      <c r="A6" t="s">
        <v>39</v>
      </c>
      <c r="H6">
        <v>-1500</v>
      </c>
      <c r="M6" t="s">
        <v>40</v>
      </c>
      <c r="O6">
        <v>17</v>
      </c>
      <c r="P6">
        <v>0</v>
      </c>
      <c r="T6">
        <v>-2000</v>
      </c>
    </row>
    <row r="7" spans="1:20" x14ac:dyDescent="0.25">
      <c r="A7" t="s">
        <v>40</v>
      </c>
      <c r="C7">
        <v>-2000</v>
      </c>
      <c r="D7">
        <v>-2000</v>
      </c>
      <c r="E7">
        <v>-2000</v>
      </c>
      <c r="F7">
        <v>-2000</v>
      </c>
      <c r="G7">
        <v>-2000</v>
      </c>
      <c r="H7">
        <v>-2000</v>
      </c>
    </row>
    <row r="8" spans="1:20" ht="18.75" x14ac:dyDescent="0.4">
      <c r="M8" s="17" t="s">
        <v>20</v>
      </c>
      <c r="N8" s="17">
        <v>0</v>
      </c>
      <c r="O8" s="18">
        <f>O2*$K$1 +O4+O5+(1-$K$1) *O6</f>
        <v>810.2</v>
      </c>
      <c r="P8" s="18">
        <f t="shared" ref="P8:S8" si="3">P2*$K$1 +P4+P5+(1-$K$1) *P6</f>
        <v>800</v>
      </c>
      <c r="Q8" s="18"/>
      <c r="R8" s="18"/>
      <c r="S8" s="18"/>
      <c r="T8" s="18">
        <f>T2*$K$1 +T4+(1-$K$1) *(T6+T5)</f>
        <v>-300</v>
      </c>
    </row>
    <row r="9" spans="1:20" ht="18.75" x14ac:dyDescent="0.4">
      <c r="A9" s="17" t="s">
        <v>20</v>
      </c>
      <c r="B9" s="17">
        <v>0</v>
      </c>
      <c r="C9" s="18">
        <f>C3*$K$1 +C5+C6+(1-$K$1) *C7</f>
        <v>-400</v>
      </c>
      <c r="D9" s="18">
        <f t="shared" ref="D9:G9" si="4">D3*$K$1 +D5+D6+(1-$K$1) *D7</f>
        <v>-400</v>
      </c>
      <c r="E9" s="18">
        <f t="shared" si="4"/>
        <v>-400</v>
      </c>
      <c r="F9" s="18">
        <f t="shared" si="4"/>
        <v>-400</v>
      </c>
      <c r="G9" s="18">
        <f t="shared" si="4"/>
        <v>-400</v>
      </c>
      <c r="H9" s="18">
        <f>H3*$K$1 +H5+(1-$K$1) *(H7+H6)</f>
        <v>-300</v>
      </c>
    </row>
    <row r="10" spans="1:20" x14ac:dyDescent="0.25">
      <c r="M10" s="16" t="s">
        <v>43</v>
      </c>
      <c r="N10">
        <v>0</v>
      </c>
      <c r="O10">
        <v>1</v>
      </c>
      <c r="P10">
        <v>2</v>
      </c>
      <c r="T10">
        <v>6</v>
      </c>
    </row>
    <row r="11" spans="1:20" x14ac:dyDescent="0.25">
      <c r="A11" s="16" t="s">
        <v>43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M11" t="s">
        <v>10</v>
      </c>
      <c r="O11">
        <f>$B$13*0.2</f>
        <v>2400</v>
      </c>
      <c r="P11">
        <f>$B$13*0.32</f>
        <v>3840</v>
      </c>
      <c r="T11">
        <f>$B$13*0.0576</f>
        <v>691.19999999999993</v>
      </c>
    </row>
    <row r="12" spans="1:20" x14ac:dyDescent="0.25">
      <c r="A12" t="s">
        <v>10</v>
      </c>
      <c r="C12">
        <f>$B$13*0.2</f>
        <v>2400</v>
      </c>
      <c r="D12">
        <f>$B$13*0.32</f>
        <v>3840</v>
      </c>
      <c r="E12">
        <f>$B$13*0.192</f>
        <v>2304</v>
      </c>
      <c r="F12">
        <f>$B$13*0.1152</f>
        <v>1382.3999999999999</v>
      </c>
      <c r="G12">
        <f>$B$13*0.1152</f>
        <v>1382.3999999999999</v>
      </c>
      <c r="H12">
        <f>$B$13*0.0576</f>
        <v>691.19999999999993</v>
      </c>
      <c r="M12" t="s">
        <v>38</v>
      </c>
      <c r="N12">
        <v>12000</v>
      </c>
      <c r="O12">
        <f>N12-O11</f>
        <v>9600</v>
      </c>
      <c r="P12">
        <f t="shared" ref="P12" si="5">O12-P11</f>
        <v>5760</v>
      </c>
      <c r="T12">
        <f t="shared" ref="T12" si="6">S12-T11</f>
        <v>-691.19999999999993</v>
      </c>
    </row>
    <row r="13" spans="1:20" x14ac:dyDescent="0.25">
      <c r="A13" t="s">
        <v>38</v>
      </c>
      <c r="B13">
        <v>12000</v>
      </c>
      <c r="C13">
        <f>B13-C12</f>
        <v>9600</v>
      </c>
      <c r="D13">
        <f t="shared" ref="D13:H13" si="7">C13-D12</f>
        <v>5760</v>
      </c>
      <c r="E13">
        <f t="shared" si="7"/>
        <v>3456</v>
      </c>
      <c r="F13">
        <f t="shared" si="7"/>
        <v>2073.6000000000004</v>
      </c>
      <c r="G13">
        <f t="shared" si="7"/>
        <v>691.2000000000005</v>
      </c>
      <c r="H13">
        <f t="shared" si="7"/>
        <v>0</v>
      </c>
      <c r="M13" t="s">
        <v>27</v>
      </c>
      <c r="T13">
        <v>2000</v>
      </c>
    </row>
    <row r="14" spans="1:20" x14ac:dyDescent="0.25">
      <c r="A14" t="s">
        <v>27</v>
      </c>
      <c r="H14">
        <v>2000</v>
      </c>
      <c r="M14" t="s">
        <v>44</v>
      </c>
      <c r="N14">
        <v>9200</v>
      </c>
    </row>
    <row r="15" spans="1:20" x14ac:dyDescent="0.25">
      <c r="A15" t="s">
        <v>44</v>
      </c>
      <c r="B15">
        <v>9200</v>
      </c>
      <c r="M15" t="s">
        <v>40</v>
      </c>
      <c r="O15">
        <v>-1000</v>
      </c>
      <c r="P15">
        <v>-1000</v>
      </c>
      <c r="T15">
        <v>-1000</v>
      </c>
    </row>
    <row r="16" spans="1:20" ht="18.75" x14ac:dyDescent="0.4">
      <c r="A16" t="s">
        <v>40</v>
      </c>
      <c r="C16">
        <v>-1000</v>
      </c>
      <c r="D16">
        <v>-1000</v>
      </c>
      <c r="E16">
        <v>-1000</v>
      </c>
      <c r="F16">
        <v>-1000</v>
      </c>
      <c r="G16">
        <v>-1000</v>
      </c>
      <c r="H16">
        <v>-1000</v>
      </c>
      <c r="M16" s="17" t="s">
        <v>20</v>
      </c>
      <c r="N16" s="17">
        <f>-(N12-N14)</f>
        <v>-2800</v>
      </c>
      <c r="O16" s="17">
        <f>0.4*O11+0.6*(O13+O15)</f>
        <v>360</v>
      </c>
      <c r="P16" s="17">
        <f t="shared" ref="P16" si="8">0.4*P11+0.6*(P13+P15)</f>
        <v>936</v>
      </c>
      <c r="Q16" s="17"/>
      <c r="R16" s="17"/>
      <c r="S16" s="17"/>
      <c r="T16" s="17">
        <f t="shared" ref="T16" si="9">0.4*T11+0.6*(T13+T15)</f>
        <v>876.48</v>
      </c>
    </row>
    <row r="17" spans="1:20" ht="18.75" x14ac:dyDescent="0.4">
      <c r="A17" s="17" t="s">
        <v>20</v>
      </c>
      <c r="B17" s="17">
        <f>-(B13-B15)</f>
        <v>-2800</v>
      </c>
      <c r="C17" s="17">
        <f>0.4*C12+0.6*(C14+C16)</f>
        <v>360</v>
      </c>
      <c r="D17" s="17">
        <f t="shared" ref="D17:H17" si="10">0.4*D12+0.6*(D14+D16)</f>
        <v>936</v>
      </c>
      <c r="E17" s="17">
        <f t="shared" si="10"/>
        <v>321.60000000000002</v>
      </c>
      <c r="F17" s="17">
        <f t="shared" si="10"/>
        <v>-47.040000000000077</v>
      </c>
      <c r="G17" s="17">
        <f t="shared" si="10"/>
        <v>-47.040000000000077</v>
      </c>
      <c r="H17" s="17">
        <f t="shared" si="10"/>
        <v>876.48</v>
      </c>
    </row>
    <row r="18" spans="1:20" x14ac:dyDescent="0.25">
      <c r="M18" t="s">
        <v>45</v>
      </c>
      <c r="N18">
        <f>N16-N8</f>
        <v>-2800</v>
      </c>
      <c r="O18">
        <f t="shared" ref="O18:T18" si="11">O16-O8</f>
        <v>-450.20000000000005</v>
      </c>
      <c r="P18">
        <f t="shared" si="11"/>
        <v>136</v>
      </c>
      <c r="T18">
        <f t="shared" si="11"/>
        <v>1176.48</v>
      </c>
    </row>
    <row r="19" spans="1:20" x14ac:dyDescent="0.25">
      <c r="A19" t="s">
        <v>45</v>
      </c>
      <c r="B19">
        <f>B17-B9</f>
        <v>-2800</v>
      </c>
      <c r="C19">
        <f t="shared" ref="C19:H19" si="12">C17-C9</f>
        <v>760</v>
      </c>
      <c r="D19">
        <f t="shared" si="12"/>
        <v>1336</v>
      </c>
      <c r="E19">
        <f t="shared" si="12"/>
        <v>721.6</v>
      </c>
      <c r="F19">
        <f t="shared" si="12"/>
        <v>352.95999999999992</v>
      </c>
      <c r="G19">
        <f t="shared" si="12"/>
        <v>352.95999999999992</v>
      </c>
      <c r="H19">
        <f t="shared" si="12"/>
        <v>1176.48</v>
      </c>
      <c r="M19">
        <f>SUM(N19:T19)</f>
        <v>-2432.783743828184</v>
      </c>
      <c r="N19">
        <f>N18/1.1^N10</f>
        <v>-2800</v>
      </c>
      <c r="O19">
        <f t="shared" ref="O19" si="13">O18/1.1^O10</f>
        <v>-409.27272727272731</v>
      </c>
      <c r="P19">
        <f t="shared" ref="P19" si="14">P18/1.1^P10</f>
        <v>112.39669421487602</v>
      </c>
      <c r="T19">
        <f t="shared" ref="T19" si="15">T18/1.1^T10</f>
        <v>664.09228922966781</v>
      </c>
    </row>
    <row r="20" spans="1:20" x14ac:dyDescent="0.25">
      <c r="A20">
        <f>SUM(B20:H20)</f>
        <v>661.51919126691018</v>
      </c>
      <c r="B20">
        <f>B19/1.1^B11</f>
        <v>-2800</v>
      </c>
      <c r="C20">
        <f t="shared" ref="C20:H20" si="16">C19/1.1^C11</f>
        <v>690.90909090909088</v>
      </c>
      <c r="D20">
        <f t="shared" si="16"/>
        <v>1104.1322314049585</v>
      </c>
      <c r="E20">
        <f t="shared" si="16"/>
        <v>542.1487603305784</v>
      </c>
      <c r="F20">
        <f t="shared" si="16"/>
        <v>241.07642920565524</v>
      </c>
      <c r="G20">
        <f t="shared" si="16"/>
        <v>219.16039018695929</v>
      </c>
      <c r="H20">
        <f t="shared" si="16"/>
        <v>664.09228922966781</v>
      </c>
      <c r="N20">
        <f>SUM(O19:T19)</f>
        <v>367.21625617181655</v>
      </c>
    </row>
    <row r="21" spans="1:20" x14ac:dyDescent="0.25">
      <c r="B21">
        <f>SUM(C20:H20)</f>
        <v>3461.5191912669106</v>
      </c>
      <c r="N21">
        <f>(N20-5600)/0.6</f>
        <v>-8721.3062397136382</v>
      </c>
    </row>
    <row r="22" spans="1:20" x14ac:dyDescent="0.25">
      <c r="B22">
        <f>(B21-5600)/0.6</f>
        <v>-3564.1346812218158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R20" sqref="R20"/>
    </sheetView>
  </sheetViews>
  <sheetFormatPr defaultRowHeight="15" x14ac:dyDescent="0.25"/>
  <cols>
    <col min="2" max="2" width="15.28515625" customWidth="1"/>
    <col min="3" max="3" width="10.7109375" customWidth="1"/>
    <col min="4" max="4" width="11.5703125" bestFit="1" customWidth="1"/>
    <col min="5" max="5" width="11.7109375" bestFit="1" customWidth="1"/>
    <col min="6" max="6" width="11.5703125" bestFit="1" customWidth="1"/>
    <col min="7" max="7" width="10.7109375" customWidth="1"/>
    <col min="9" max="9" width="10.5703125" bestFit="1" customWidth="1"/>
    <col min="11" max="11" width="12.85546875" customWidth="1"/>
    <col min="12" max="12" width="12.5703125" bestFit="1" customWidth="1"/>
    <col min="13" max="15" width="11.5703125" bestFit="1" customWidth="1"/>
    <col min="16" max="16" width="12.5703125" bestFit="1" customWidth="1"/>
  </cols>
  <sheetData>
    <row r="1" spans="1:26" x14ac:dyDescent="0.25">
      <c r="B1" t="s">
        <v>54</v>
      </c>
      <c r="C1" s="7">
        <v>-0.2</v>
      </c>
      <c r="J1" t="s">
        <v>0</v>
      </c>
      <c r="K1" t="s">
        <v>1</v>
      </c>
      <c r="L1" t="s">
        <v>3</v>
      </c>
      <c r="M1" t="s">
        <v>4</v>
      </c>
      <c r="N1" t="s">
        <v>57</v>
      </c>
      <c r="O1" t="s">
        <v>5</v>
      </c>
      <c r="P1" s="27" t="s">
        <v>55</v>
      </c>
      <c r="Q1" t="s">
        <v>56</v>
      </c>
    </row>
    <row r="2" spans="1:26" x14ac:dyDescent="0.25">
      <c r="B2" t="s">
        <v>53</v>
      </c>
      <c r="C2" s="7">
        <v>0.15</v>
      </c>
      <c r="J2">
        <v>0</v>
      </c>
      <c r="K2" s="12">
        <v>340000</v>
      </c>
      <c r="L2" s="12"/>
      <c r="M2" s="12"/>
      <c r="N2" s="12"/>
      <c r="O2" s="12"/>
      <c r="P2" s="32"/>
    </row>
    <row r="3" spans="1:26" x14ac:dyDescent="0.25">
      <c r="B3" t="s">
        <v>29</v>
      </c>
      <c r="C3" s="7">
        <v>0.12</v>
      </c>
      <c r="J3">
        <v>1</v>
      </c>
      <c r="K3" s="12">
        <v>200000</v>
      </c>
      <c r="L3" s="12">
        <f>($K$2-K3)*Q3 + 0.15*K3</f>
        <v>191000.00000000009</v>
      </c>
      <c r="M3" s="12">
        <v>36000</v>
      </c>
      <c r="N3" s="12">
        <f>M3/1.15^J3</f>
        <v>31304.34782608696</v>
      </c>
      <c r="O3" s="12">
        <f>SUM($N$3:N3)*Q3</f>
        <v>36000.000000000022</v>
      </c>
      <c r="P3" s="32">
        <f>L3+O3</f>
        <v>227000.00000000012</v>
      </c>
      <c r="Q3" s="23">
        <f>(0.15*1.15^J3)/(1.15^J3-1)</f>
        <v>1.1500000000000006</v>
      </c>
    </row>
    <row r="4" spans="1:26" x14ac:dyDescent="0.25">
      <c r="J4">
        <v>2</v>
      </c>
      <c r="K4" s="12">
        <f>K3*0.8</f>
        <v>160000</v>
      </c>
      <c r="L4" s="12">
        <f>($K$2-K4)*Q4 + 0.15*K4</f>
        <v>134720.9302325582</v>
      </c>
      <c r="M4" s="12">
        <v>36000</v>
      </c>
      <c r="N4" s="12">
        <f t="shared" ref="N4:N10" si="0">M4/1.15^J4</f>
        <v>27221.172022684314</v>
      </c>
      <c r="O4" s="12">
        <f>SUM($N$3:N4)*Q4</f>
        <v>36000.000000000022</v>
      </c>
      <c r="P4" s="32">
        <f t="shared" ref="P4:P10" si="1">L4+O4</f>
        <v>170720.93023255822</v>
      </c>
      <c r="Q4" s="23">
        <f t="shared" ref="Q4:Q10" si="2">(0.15*1.15^J4)/(1.15^J4-1)</f>
        <v>0.61511627906976774</v>
      </c>
    </row>
    <row r="5" spans="1:26" x14ac:dyDescent="0.25">
      <c r="A5" t="s">
        <v>0</v>
      </c>
      <c r="B5" t="s">
        <v>1</v>
      </c>
      <c r="C5" s="27" t="s">
        <v>3</v>
      </c>
      <c r="D5" s="24" t="s">
        <v>2</v>
      </c>
      <c r="E5" t="s">
        <v>57</v>
      </c>
      <c r="F5" s="27" t="s">
        <v>5</v>
      </c>
      <c r="G5" s="26" t="s">
        <v>55</v>
      </c>
      <c r="H5" t="s">
        <v>56</v>
      </c>
      <c r="J5">
        <v>3</v>
      </c>
      <c r="K5" s="12">
        <f t="shared" ref="K5:K10" si="3">K4*0.8</f>
        <v>128000</v>
      </c>
      <c r="L5" s="12">
        <f t="shared" ref="L5:L10" si="4">($K$2-K5)*Q5 + 0.15*K5</f>
        <v>112051.1159107272</v>
      </c>
      <c r="M5" s="12">
        <v>36000</v>
      </c>
      <c r="N5" s="12">
        <f t="shared" si="0"/>
        <v>23670.584367551583</v>
      </c>
      <c r="O5" s="12">
        <f>SUM($N$3:N5)*Q5</f>
        <v>36000.000000000029</v>
      </c>
      <c r="P5" s="32">
        <f t="shared" si="1"/>
        <v>148051.11591072724</v>
      </c>
      <c r="Q5" s="23">
        <f t="shared" si="2"/>
        <v>0.43797696184305279</v>
      </c>
    </row>
    <row r="6" spans="1:26" x14ac:dyDescent="0.25">
      <c r="A6" s="22">
        <v>0</v>
      </c>
      <c r="B6" s="10">
        <f>18000</f>
        <v>18000</v>
      </c>
      <c r="C6" s="27"/>
      <c r="D6" s="25"/>
      <c r="F6" s="27"/>
      <c r="G6" s="26"/>
      <c r="J6">
        <v>4</v>
      </c>
      <c r="K6" s="12">
        <f t="shared" si="3"/>
        <v>102400</v>
      </c>
      <c r="L6" s="12">
        <f t="shared" si="4"/>
        <v>98583.047537987848</v>
      </c>
      <c r="M6" s="12">
        <v>36000</v>
      </c>
      <c r="N6" s="12">
        <f t="shared" si="0"/>
        <v>20583.116841349201</v>
      </c>
      <c r="O6" s="12">
        <f>SUM($N$3:N6)*Q6</f>
        <v>36000.000000000015</v>
      </c>
      <c r="P6" s="32">
        <f t="shared" si="1"/>
        <v>134583.04753798788</v>
      </c>
      <c r="Q6" s="23">
        <f t="shared" si="2"/>
        <v>0.35026535159085798</v>
      </c>
    </row>
    <row r="7" spans="1:26" x14ac:dyDescent="0.25">
      <c r="A7" s="22">
        <v>1</v>
      </c>
      <c r="B7" s="12">
        <f>B6*(1+$C$1)</f>
        <v>14400</v>
      </c>
      <c r="C7" s="28">
        <f>($B$6-B7)*H7 +$C$3*B7</f>
        <v>5759.9999999999973</v>
      </c>
      <c r="D7" s="29">
        <f>3000</f>
        <v>3000</v>
      </c>
      <c r="E7" s="13">
        <f>D7/(1+$C$3)^A7</f>
        <v>2678.5714285714284</v>
      </c>
      <c r="F7" s="28">
        <f>SUM($E$7:E7)*H7</f>
        <v>2999.9999999999977</v>
      </c>
      <c r="G7" s="30">
        <f>C7+F7</f>
        <v>8759.9999999999945</v>
      </c>
      <c r="H7" s="23">
        <f>($C$3*(1+$C$3)^A7)/((1+$C$3)^A7-1)</f>
        <v>1.1199999999999992</v>
      </c>
      <c r="J7">
        <v>5</v>
      </c>
      <c r="K7" s="12">
        <f t="shared" si="3"/>
        <v>81920</v>
      </c>
      <c r="L7" s="12">
        <f t="shared" si="4"/>
        <v>89277.277779271259</v>
      </c>
      <c r="M7" s="12">
        <v>36000</v>
      </c>
      <c r="N7" s="12">
        <f t="shared" si="0"/>
        <v>17898.362470738437</v>
      </c>
      <c r="O7" s="12">
        <f>SUM($N$3:N7)*Q7</f>
        <v>36000.000000000022</v>
      </c>
      <c r="P7" s="32">
        <f t="shared" si="1"/>
        <v>125277.27777927127</v>
      </c>
      <c r="Q7" s="23">
        <f t="shared" si="2"/>
        <v>0.29831555246152841</v>
      </c>
    </row>
    <row r="8" spans="1:26" x14ac:dyDescent="0.25">
      <c r="A8" s="22">
        <v>2</v>
      </c>
      <c r="B8" s="12">
        <f t="shared" ref="B8:B14" si="5">B7*(1+$C$1)</f>
        <v>11520</v>
      </c>
      <c r="C8" s="28">
        <f>($B$6-B8)*H8 +$C$3*B8</f>
        <v>5216.6037735849031</v>
      </c>
      <c r="D8" s="29">
        <f t="shared" ref="D8:D14" si="6">D7*(1+$C$2)</f>
        <v>3449.9999999999995</v>
      </c>
      <c r="E8" s="13">
        <f t="shared" ref="E8:E14" si="7">D8/(1+$C$3)^A8</f>
        <v>2750.3188775510198</v>
      </c>
      <c r="F8" s="28">
        <f>SUM($E$7:E8)*H8</f>
        <v>3212.2641509433938</v>
      </c>
      <c r="G8" s="30">
        <f>C8+F8</f>
        <v>8428.8679245282965</v>
      </c>
      <c r="H8" s="23">
        <f t="shared" ref="H8:H14" si="8">($C$3*(1+$C$3)^A8)/((1+$C$3)^A8-1)</f>
        <v>0.59169811320754684</v>
      </c>
      <c r="J8">
        <v>6</v>
      </c>
      <c r="K8" s="12">
        <f t="shared" si="3"/>
        <v>65536</v>
      </c>
      <c r="L8" s="12">
        <f t="shared" si="4"/>
        <v>82353.918324110331</v>
      </c>
      <c r="M8" s="12">
        <v>34000</v>
      </c>
      <c r="N8" s="12">
        <f t="shared" si="0"/>
        <v>14699.138260992919</v>
      </c>
      <c r="O8" s="12">
        <f>SUM($N$3:N8)*Q8</f>
        <v>35771.526186865252</v>
      </c>
      <c r="P8" s="32">
        <f t="shared" si="1"/>
        <v>118125.44451097559</v>
      </c>
      <c r="Q8" s="23">
        <f t="shared" si="2"/>
        <v>0.26423690656738347</v>
      </c>
    </row>
    <row r="9" spans="1:26" x14ac:dyDescent="0.25">
      <c r="A9" s="22">
        <v>3</v>
      </c>
      <c r="B9" s="12">
        <f t="shared" si="5"/>
        <v>9216</v>
      </c>
      <c r="C9" s="28">
        <f>($B$6-B9)*H9 +$C$3*B9</f>
        <v>4763.1294452347065</v>
      </c>
      <c r="D9" s="29">
        <f t="shared" si="6"/>
        <v>3967.4999999999991</v>
      </c>
      <c r="E9" s="13">
        <f t="shared" si="7"/>
        <v>2823.9881331997071</v>
      </c>
      <c r="F9" s="28">
        <f>SUM($E$7:E9)*H9</f>
        <v>3436.0775248933114</v>
      </c>
      <c r="G9" s="30">
        <f>C9+F9</f>
        <v>8199.2069701280179</v>
      </c>
      <c r="H9" s="23">
        <f t="shared" si="8"/>
        <v>0.41634898055950659</v>
      </c>
      <c r="J9">
        <v>7</v>
      </c>
      <c r="K9" s="12">
        <f t="shared" si="3"/>
        <v>52428.800000000003</v>
      </c>
      <c r="L9" s="12">
        <f t="shared" si="4"/>
        <v>76985.03819593988</v>
      </c>
      <c r="M9" s="12">
        <v>31000</v>
      </c>
      <c r="N9" s="12">
        <f t="shared" si="0"/>
        <v>11654.048237615872</v>
      </c>
      <c r="O9" s="12">
        <f>SUM($N$3:N9)*Q9</f>
        <v>35340.369345642561</v>
      </c>
      <c r="P9" s="32">
        <f t="shared" si="1"/>
        <v>112325.40754158245</v>
      </c>
      <c r="Q9" s="23">
        <f t="shared" si="2"/>
        <v>0.24036036361061153</v>
      </c>
    </row>
    <row r="10" spans="1:26" x14ac:dyDescent="0.25">
      <c r="A10" s="22">
        <v>4</v>
      </c>
      <c r="B10" s="12">
        <f t="shared" si="5"/>
        <v>7372.8</v>
      </c>
      <c r="C10" s="28">
        <f>($B$6-B10)*H10 +$C$3*B10</f>
        <v>4383.5762015078253</v>
      </c>
      <c r="D10" s="29">
        <f t="shared" si="6"/>
        <v>4562.6249999999982</v>
      </c>
      <c r="E10" s="13">
        <f t="shared" si="7"/>
        <v>2899.6306724818419</v>
      </c>
      <c r="F10" s="28">
        <f>SUM($E$7:E10)*H10</f>
        <v>3671.7900508188568</v>
      </c>
      <c r="G10" s="30">
        <f>C10+F10</f>
        <v>8055.3662523266821</v>
      </c>
      <c r="H10" s="23">
        <f t="shared" si="8"/>
        <v>0.32923443630568966</v>
      </c>
      <c r="J10">
        <v>8</v>
      </c>
      <c r="K10" s="12">
        <f t="shared" si="3"/>
        <v>41943.040000000008</v>
      </c>
      <c r="L10" s="12">
        <f t="shared" si="4"/>
        <v>72713.476238368807</v>
      </c>
      <c r="M10" s="12">
        <v>28000</v>
      </c>
      <c r="N10" s="12">
        <f t="shared" si="0"/>
        <v>9153.2496676926912</v>
      </c>
      <c r="O10" s="12">
        <f>SUM($N$3:N10)*Q10</f>
        <v>34805.622781202466</v>
      </c>
      <c r="P10" s="32">
        <f t="shared" si="1"/>
        <v>107519.09901957127</v>
      </c>
      <c r="Q10" s="23">
        <f t="shared" si="2"/>
        <v>0.22285008958814048</v>
      </c>
    </row>
    <row r="11" spans="1:26" x14ac:dyDescent="0.25">
      <c r="A11" s="22">
        <v>5</v>
      </c>
      <c r="B11" s="12">
        <f t="shared" si="5"/>
        <v>5898.2400000000007</v>
      </c>
      <c r="C11" s="28">
        <f>($B$6-B11)*H11 +$C$3*B11</f>
        <v>4064.9347976149056</v>
      </c>
      <c r="D11" s="29">
        <f t="shared" si="6"/>
        <v>5247.0187499999975</v>
      </c>
      <c r="E11" s="13">
        <f t="shared" si="7"/>
        <v>2977.2993512090334</v>
      </c>
      <c r="F11" s="28">
        <f>SUM($E$7:E11)*H11</f>
        <v>3919.7463781028073</v>
      </c>
      <c r="G11" s="30">
        <f>C11+F11</f>
        <v>7984.6811757177129</v>
      </c>
      <c r="H11" s="23">
        <f t="shared" si="8"/>
        <v>0.27740973194104873</v>
      </c>
      <c r="Q11" s="23"/>
    </row>
    <row r="12" spans="1:26" x14ac:dyDescent="0.25">
      <c r="A12" s="22">
        <v>6</v>
      </c>
      <c r="B12" s="12">
        <f t="shared" si="5"/>
        <v>4718.5920000000006</v>
      </c>
      <c r="C12" s="28">
        <f>($B$6-B12)*H12 +$C$3*B12</f>
        <v>3796.6110424906174</v>
      </c>
      <c r="D12" s="29">
        <f t="shared" si="6"/>
        <v>6034.0715624999966</v>
      </c>
      <c r="E12" s="13">
        <f t="shared" si="7"/>
        <v>3057.0484409735604</v>
      </c>
      <c r="F12" s="28">
        <f>SUM($E$7:E12)*H12</f>
        <v>4180.2856179334376</v>
      </c>
      <c r="G12" s="31">
        <f>C12+F12</f>
        <v>7976.896660424055</v>
      </c>
      <c r="H12" s="23">
        <f t="shared" si="8"/>
        <v>0.24322571842462917</v>
      </c>
      <c r="Q12" s="23"/>
    </row>
    <row r="13" spans="1:26" x14ac:dyDescent="0.25">
      <c r="A13" s="22">
        <v>7</v>
      </c>
      <c r="B13" s="12">
        <f t="shared" si="5"/>
        <v>3774.8736000000008</v>
      </c>
      <c r="C13" s="28">
        <f>($B$6-B13)*H13 +$C$3*B13</f>
        <v>3569.9623216791015</v>
      </c>
      <c r="D13" s="29">
        <f t="shared" si="6"/>
        <v>6939.1822968749957</v>
      </c>
      <c r="E13" s="13">
        <f t="shared" si="7"/>
        <v>3138.9336670710663</v>
      </c>
      <c r="F13" s="28">
        <f>SUM($E$7:E13)*H13</f>
        <v>4453.7412103359911</v>
      </c>
      <c r="G13" s="30">
        <f>C13+F13</f>
        <v>8023.7035320150926</v>
      </c>
      <c r="H13" s="23">
        <f t="shared" si="8"/>
        <v>0.21911773590139078</v>
      </c>
      <c r="J13" t="s">
        <v>0</v>
      </c>
      <c r="K13" t="s">
        <v>1</v>
      </c>
      <c r="L13" t="s">
        <v>3</v>
      </c>
      <c r="M13" t="s">
        <v>4</v>
      </c>
      <c r="N13" t="s">
        <v>57</v>
      </c>
      <c r="O13" t="s">
        <v>5</v>
      </c>
      <c r="P13" t="s">
        <v>55</v>
      </c>
      <c r="Q13" t="s">
        <v>56</v>
      </c>
    </row>
    <row r="14" spans="1:26" x14ac:dyDescent="0.25">
      <c r="A14" s="22">
        <v>8</v>
      </c>
      <c r="B14" s="12">
        <f t="shared" si="5"/>
        <v>3019.8988800000006</v>
      </c>
      <c r="C14" s="28">
        <f>($B$6-B14)*H14 +$C$3*B14</f>
        <v>3377.9247851647906</v>
      </c>
      <c r="D14" s="29">
        <f t="shared" si="6"/>
        <v>7980.0596414062447</v>
      </c>
      <c r="E14" s="13">
        <f t="shared" si="7"/>
        <v>3223.0122474390409</v>
      </c>
      <c r="F14" s="28">
        <f>SUM($E$7:E14)*H14</f>
        <v>4740.4409183806765</v>
      </c>
      <c r="G14" s="30">
        <f>C14+F14</f>
        <v>8118.3657035454671</v>
      </c>
      <c r="H14" s="23">
        <f t="shared" si="8"/>
        <v>0.20130284137660018</v>
      </c>
      <c r="J14">
        <v>0</v>
      </c>
      <c r="K14">
        <v>8400</v>
      </c>
    </row>
    <row r="15" spans="1:26" x14ac:dyDescent="0.25">
      <c r="J15">
        <v>1</v>
      </c>
      <c r="K15">
        <v>5100</v>
      </c>
      <c r="L15">
        <f>($K$14-K15)*Q15 + 0.12*K15</f>
        <v>4307.9999999999973</v>
      </c>
      <c r="M15">
        <v>2600</v>
      </c>
      <c r="N15">
        <f>M15/1.12^J15</f>
        <v>2321.4285714285711</v>
      </c>
      <c r="O15">
        <f>SUM($N$15:N15)*Q15</f>
        <v>2599.9999999999977</v>
      </c>
      <c r="P15" s="1">
        <f>L15+O15</f>
        <v>6907.9999999999945</v>
      </c>
      <c r="Q15" s="23">
        <f>(0.12*1.12^J15)/(1.12^J15-1)</f>
        <v>1.1199999999999992</v>
      </c>
      <c r="Y15" s="1"/>
      <c r="Z15" s="23"/>
    </row>
    <row r="16" spans="1:26" x14ac:dyDescent="0.25">
      <c r="A16" t="s">
        <v>0</v>
      </c>
      <c r="B16" t="s">
        <v>1</v>
      </c>
      <c r="C16" s="27" t="s">
        <v>3</v>
      </c>
      <c r="D16" s="24" t="s">
        <v>2</v>
      </c>
      <c r="E16" t="s">
        <v>57</v>
      </c>
      <c r="F16" s="27" t="s">
        <v>5</v>
      </c>
      <c r="G16" s="26" t="s">
        <v>55</v>
      </c>
      <c r="H16" t="s">
        <v>56</v>
      </c>
      <c r="J16">
        <v>2</v>
      </c>
      <c r="K16">
        <v>4200</v>
      </c>
      <c r="L16">
        <f t="shared" ref="L16:L18" si="9">($K$14-K16)*Q16 + 0.12*K16</f>
        <v>2989.1320754716967</v>
      </c>
      <c r="M16">
        <v>3300</v>
      </c>
      <c r="N16">
        <f t="shared" ref="N16:N18" si="10">M16/1.12^J16</f>
        <v>2630.7397959183668</v>
      </c>
      <c r="O16">
        <f>SUM($N$15:N16)*Q16</f>
        <v>2930.188679245281</v>
      </c>
      <c r="P16" s="1">
        <f t="shared" ref="P16:P18" si="11">L16+O16</f>
        <v>5919.3207547169777</v>
      </c>
      <c r="Q16" s="23">
        <f t="shared" ref="Q16:Q20" si="12">(0.12*1.12^J16)/(1.12^J16-1)</f>
        <v>0.59169811320754684</v>
      </c>
      <c r="Y16" s="1"/>
      <c r="Z16" s="23"/>
    </row>
    <row r="17" spans="1:26" x14ac:dyDescent="0.25">
      <c r="A17" s="22">
        <v>0</v>
      </c>
      <c r="B17" s="10">
        <v>5000</v>
      </c>
      <c r="C17" s="27"/>
      <c r="D17" s="25"/>
      <c r="F17" s="27"/>
      <c r="G17" s="26"/>
      <c r="J17">
        <v>3</v>
      </c>
      <c r="K17">
        <v>900</v>
      </c>
      <c r="L17">
        <f t="shared" si="9"/>
        <v>3230.6173541962994</v>
      </c>
      <c r="M17">
        <v>4400</v>
      </c>
      <c r="N17">
        <f t="shared" si="10"/>
        <v>3131.8330903790079</v>
      </c>
      <c r="O17">
        <f>SUM($N$15:N17)*Q17</f>
        <v>3365.7657657657628</v>
      </c>
      <c r="P17" s="1">
        <f t="shared" si="11"/>
        <v>6596.3831199620618</v>
      </c>
      <c r="Q17" s="23">
        <f t="shared" si="12"/>
        <v>0.41634898055950659</v>
      </c>
      <c r="Y17" s="1"/>
      <c r="Z17" s="23"/>
    </row>
    <row r="18" spans="1:26" x14ac:dyDescent="0.25">
      <c r="A18" s="22">
        <v>1</v>
      </c>
      <c r="B18" s="12">
        <v>3000</v>
      </c>
      <c r="C18" s="28">
        <f>($B$17-B18)*H18 +$C$3*B18</f>
        <v>2599.9999999999986</v>
      </c>
      <c r="D18" s="29">
        <v>3500</v>
      </c>
      <c r="E18" s="13">
        <f>D18/(1+$C$3)^A18</f>
        <v>3124.9999999999995</v>
      </c>
      <c r="F18" s="28">
        <f>SUM($E$18:E18)*H18</f>
        <v>3499.9999999999973</v>
      </c>
      <c r="G18" s="30">
        <f>C18+F18</f>
        <v>6099.9999999999964</v>
      </c>
      <c r="H18" s="23">
        <f>($C$3*(1+$C$3)^A18)/((1+$C$3)^A18-1)</f>
        <v>1.1199999999999992</v>
      </c>
      <c r="J18">
        <v>4</v>
      </c>
      <c r="K18">
        <v>0</v>
      </c>
      <c r="L18">
        <f t="shared" si="9"/>
        <v>2765.5692649677931</v>
      </c>
      <c r="M18">
        <v>5450</v>
      </c>
      <c r="N18">
        <f t="shared" si="10"/>
        <v>3463.5735273063301</v>
      </c>
      <c r="O18">
        <f>SUM($N$15:N18)*Q18</f>
        <v>3801.8593408947841</v>
      </c>
      <c r="P18" s="1">
        <f t="shared" si="11"/>
        <v>6567.4286058625767</v>
      </c>
      <c r="Q18" s="23">
        <f t="shared" si="12"/>
        <v>0.32923443630568966</v>
      </c>
      <c r="Y18" s="1"/>
      <c r="Z18" s="23"/>
    </row>
    <row r="19" spans="1:26" x14ac:dyDescent="0.25">
      <c r="A19" s="22">
        <v>2</v>
      </c>
      <c r="B19" s="12">
        <v>2250</v>
      </c>
      <c r="C19" s="28">
        <f t="shared" ref="C19:C20" si="13">($B$17-B19)*H19 +$C$3*B19</f>
        <v>1897.1698113207538</v>
      </c>
      <c r="D19" s="29">
        <v>4500</v>
      </c>
      <c r="E19" s="13">
        <f t="shared" ref="E19:E20" si="14">D19/(1+$C$3)^A19</f>
        <v>3587.3724489795914</v>
      </c>
      <c r="F19" s="28">
        <f>SUM($E$18:E19)*H19</f>
        <v>3971.6981132075448</v>
      </c>
      <c r="G19" s="30">
        <f>C19+F19</f>
        <v>5868.8679245282983</v>
      </c>
      <c r="H19" s="23">
        <f t="shared" ref="H19:H21" si="15">($C$3*(1+$C$3)^A19)/((1+$C$3)^A19-1)</f>
        <v>0.59169811320754684</v>
      </c>
      <c r="Q19" s="23"/>
      <c r="Y19" s="1"/>
      <c r="Z19" s="23"/>
    </row>
    <row r="20" spans="1:26" x14ac:dyDescent="0.25">
      <c r="A20" s="22">
        <v>3</v>
      </c>
      <c r="B20" s="12">
        <v>1688</v>
      </c>
      <c r="C20" s="28">
        <f t="shared" si="13"/>
        <v>1581.5078236130857</v>
      </c>
      <c r="D20" s="29">
        <v>5500</v>
      </c>
      <c r="E20" s="13">
        <f t="shared" si="14"/>
        <v>3914.79136297376</v>
      </c>
      <c r="F20" s="28">
        <f>SUM($E$18:E20)*H20</f>
        <v>4424.608819345658</v>
      </c>
      <c r="G20" s="30">
        <f>C20+F20</f>
        <v>6006.1166429587438</v>
      </c>
      <c r="H20" s="23">
        <f t="shared" si="15"/>
        <v>0.41634898055950659</v>
      </c>
      <c r="I20" s="15">
        <f>B19*1.12-B20+D20</f>
        <v>6332</v>
      </c>
      <c r="J20">
        <v>10</v>
      </c>
      <c r="Q20" s="23">
        <f t="shared" si="12"/>
        <v>0.17698416415984405</v>
      </c>
      <c r="R20">
        <f>(30000-1500)*Q20+0.12*1500+1100</f>
        <v>6324.0486785555559</v>
      </c>
      <c r="Y20" s="1"/>
      <c r="Z20" s="23"/>
    </row>
    <row r="21" spans="1:26" x14ac:dyDescent="0.25">
      <c r="A21" s="22">
        <v>10</v>
      </c>
      <c r="H21" s="23">
        <f t="shared" si="15"/>
        <v>0.17698416415984405</v>
      </c>
      <c r="Y21" s="1"/>
      <c r="Z21" s="23"/>
    </row>
    <row r="22" spans="1:26" x14ac:dyDescent="0.25">
      <c r="A22" t="s">
        <v>0</v>
      </c>
      <c r="B22" t="s">
        <v>1</v>
      </c>
      <c r="C22" s="27" t="s">
        <v>3</v>
      </c>
      <c r="D22" s="24" t="s">
        <v>2</v>
      </c>
      <c r="E22" t="s">
        <v>57</v>
      </c>
      <c r="F22" s="27" t="s">
        <v>5</v>
      </c>
      <c r="G22" s="26" t="s">
        <v>55</v>
      </c>
      <c r="H22" t="s">
        <v>56</v>
      </c>
      <c r="Y22" s="1"/>
      <c r="Z22" s="23"/>
    </row>
    <row r="23" spans="1:26" x14ac:dyDescent="0.25">
      <c r="A23" s="22">
        <v>0</v>
      </c>
      <c r="B23" s="10">
        <v>15000</v>
      </c>
      <c r="C23" s="27"/>
      <c r="D23" s="25"/>
      <c r="F23" s="27"/>
      <c r="G23" s="26"/>
      <c r="Y23" s="1"/>
      <c r="Z23" s="23"/>
    </row>
    <row r="24" spans="1:26" x14ac:dyDescent="0.25">
      <c r="A24" s="22">
        <v>1</v>
      </c>
      <c r="B24" s="12">
        <v>12800</v>
      </c>
      <c r="C24" s="28">
        <f>($B$23-B24)*H24 +$C$3*B24</f>
        <v>3999.9999999999982</v>
      </c>
      <c r="D24" s="29">
        <v>2500</v>
      </c>
      <c r="E24" s="13">
        <f>D24/(1+$C$3)^A24</f>
        <v>2232.1428571428569</v>
      </c>
      <c r="F24" s="28">
        <f>SUM($E$24:E24)*H24</f>
        <v>2499.9999999999982</v>
      </c>
      <c r="G24" s="30">
        <f>C24+F24</f>
        <v>6499.9999999999964</v>
      </c>
      <c r="H24" s="23">
        <f>($C$3*(1+$C$3)^A24)/((1+$C$3)^A24-1)</f>
        <v>1.1199999999999992</v>
      </c>
      <c r="Y24" s="1"/>
      <c r="Z24" s="23"/>
    </row>
    <row r="25" spans="1:26" x14ac:dyDescent="0.25">
      <c r="A25" s="22">
        <v>2</v>
      </c>
      <c r="B25" s="12">
        <v>8100</v>
      </c>
      <c r="C25" s="28">
        <f t="shared" ref="C25:C28" si="16">($B$23-B25)*H25 +$C$3*B25</f>
        <v>5054.7169811320728</v>
      </c>
      <c r="D25" s="29">
        <v>3200</v>
      </c>
      <c r="E25" s="13">
        <f t="shared" ref="E25:E28" si="17">D25/(1+$C$3)^A25</f>
        <v>2551.0204081632651</v>
      </c>
      <c r="F25" s="28">
        <f>SUM($E$24:E25)*H25</f>
        <v>2830.1886792452815</v>
      </c>
      <c r="G25" s="30">
        <f>C25+F25</f>
        <v>7884.9056603773543</v>
      </c>
      <c r="H25" s="23">
        <f t="shared" ref="H25:H28" si="18">($C$3*(1+$C$3)^A25)/((1+$C$3)^A25-1)</f>
        <v>0.59169811320754684</v>
      </c>
    </row>
    <row r="26" spans="1:26" x14ac:dyDescent="0.25">
      <c r="A26" s="22">
        <v>3</v>
      </c>
      <c r="B26" s="12">
        <v>5200</v>
      </c>
      <c r="C26" s="28">
        <f t="shared" si="16"/>
        <v>4704.2200094831642</v>
      </c>
      <c r="D26" s="29">
        <v>5300</v>
      </c>
      <c r="E26" s="13">
        <f t="shared" si="17"/>
        <v>3772.4353134110775</v>
      </c>
      <c r="F26" s="28">
        <f>SUM($E$24:E26)*H26</f>
        <v>3562.1147463252696</v>
      </c>
      <c r="G26" s="30">
        <f>C26+F26</f>
        <v>8266.3347558084333</v>
      </c>
      <c r="H26" s="23">
        <f t="shared" si="18"/>
        <v>0.41634898055950659</v>
      </c>
    </row>
    <row r="27" spans="1:26" x14ac:dyDescent="0.25">
      <c r="A27" s="22">
        <v>4</v>
      </c>
      <c r="B27" s="12">
        <v>3500</v>
      </c>
      <c r="C27" s="28">
        <f t="shared" si="16"/>
        <v>4206.1960175154309</v>
      </c>
      <c r="D27" s="29">
        <v>6500</v>
      </c>
      <c r="E27" s="13">
        <f t="shared" si="17"/>
        <v>4130.8675096314028</v>
      </c>
      <c r="F27" s="28">
        <f>SUM($E$24:E27)*H27</f>
        <v>4176.8215113086999</v>
      </c>
      <c r="G27" s="30">
        <f>C27+F27</f>
        <v>8383.0175288241298</v>
      </c>
      <c r="H27" s="23">
        <f t="shared" si="18"/>
        <v>0.32923443630568966</v>
      </c>
    </row>
    <row r="28" spans="1:26" x14ac:dyDescent="0.25">
      <c r="A28" s="22">
        <v>5</v>
      </c>
      <c r="B28" s="12">
        <v>0</v>
      </c>
      <c r="C28" s="28">
        <f t="shared" si="16"/>
        <v>4161.1459791157313</v>
      </c>
      <c r="D28" s="29">
        <v>7800</v>
      </c>
      <c r="E28" s="13">
        <f t="shared" si="17"/>
        <v>4425.9294746050737</v>
      </c>
      <c r="F28" s="28">
        <f>SUM($E$24:E28)*H28</f>
        <v>4747.1450659881712</v>
      </c>
      <c r="G28" s="30">
        <f>C28+F28</f>
        <v>8908.2910451039024</v>
      </c>
      <c r="H28" s="23">
        <f t="shared" si="18"/>
        <v>0.27740973194104873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2" sqref="A22"/>
    </sheetView>
  </sheetViews>
  <sheetFormatPr defaultRowHeight="15" x14ac:dyDescent="0.25"/>
  <cols>
    <col min="2" max="2" width="10.42578125" customWidth="1"/>
  </cols>
  <sheetData>
    <row r="1" spans="1:8" x14ac:dyDescent="0.25">
      <c r="B1" t="s">
        <v>54</v>
      </c>
      <c r="C1" s="7">
        <v>-0.2</v>
      </c>
    </row>
    <row r="2" spans="1:8" x14ac:dyDescent="0.25">
      <c r="B2" t="s">
        <v>53</v>
      </c>
      <c r="C2" s="7">
        <v>0.15</v>
      </c>
    </row>
    <row r="3" spans="1:8" x14ac:dyDescent="0.25">
      <c r="B3" t="s">
        <v>29</v>
      </c>
      <c r="C3" s="7">
        <v>0.1</v>
      </c>
    </row>
    <row r="5" spans="1:8" x14ac:dyDescent="0.25">
      <c r="A5" t="s">
        <v>0</v>
      </c>
      <c r="B5" t="s">
        <v>1</v>
      </c>
      <c r="C5" s="27" t="s">
        <v>3</v>
      </c>
      <c r="D5" s="24" t="s">
        <v>2</v>
      </c>
      <c r="E5" t="s">
        <v>57</v>
      </c>
      <c r="F5" s="27" t="s">
        <v>5</v>
      </c>
      <c r="G5" s="26" t="s">
        <v>55</v>
      </c>
      <c r="H5" t="s">
        <v>56</v>
      </c>
    </row>
    <row r="6" spans="1:8" x14ac:dyDescent="0.25">
      <c r="A6" s="22">
        <v>0</v>
      </c>
      <c r="B6" s="10">
        <f>18000</f>
        <v>18000</v>
      </c>
      <c r="C6" s="27"/>
      <c r="D6" s="25"/>
      <c r="F6" s="27"/>
      <c r="G6" s="26"/>
    </row>
    <row r="7" spans="1:8" x14ac:dyDescent="0.25">
      <c r="A7" s="22">
        <v>1</v>
      </c>
      <c r="B7" s="12">
        <f>B6*(1+$C$1)</f>
        <v>14400</v>
      </c>
      <c r="C7" s="28">
        <f>($B$6-B7)*H7 +$C$3*B7</f>
        <v>5399.9999999999973</v>
      </c>
      <c r="D7" s="29">
        <f>3000</f>
        <v>3000</v>
      </c>
      <c r="E7" s="13">
        <f>D7/(1+$C$3)^A7</f>
        <v>2727.272727272727</v>
      </c>
      <c r="F7" s="28">
        <f>SUM($E$7:E7)*H7</f>
        <v>2999.9999999999977</v>
      </c>
      <c r="G7" s="30">
        <f>C7+F7</f>
        <v>8399.9999999999945</v>
      </c>
      <c r="H7" s="23">
        <f>($C$3*(1+$C$3)^A7)/((1+$C$3)^A7-1)</f>
        <v>1.0999999999999992</v>
      </c>
    </row>
    <row r="8" spans="1:8" x14ac:dyDescent="0.25">
      <c r="A8" s="22">
        <v>2</v>
      </c>
      <c r="B8" s="12">
        <f t="shared" ref="B8:B14" si="0">B7*(1+$C$1)</f>
        <v>11520</v>
      </c>
      <c r="C8" s="28">
        <f>($B$6-B8)*H8 +$C$3*B8</f>
        <v>4885.7142857142826</v>
      </c>
      <c r="D8" s="29">
        <f t="shared" ref="D8:D14" si="1">D7*(1+$C$2)</f>
        <v>3449.9999999999995</v>
      </c>
      <c r="E8" s="13">
        <f t="shared" ref="E8:E14" si="2">D8/(1+$C$3)^A8</f>
        <v>2851.2396694214867</v>
      </c>
      <c r="F8" s="28">
        <f>SUM($E$7:E8)*H8</f>
        <v>3214.2857142857115</v>
      </c>
      <c r="G8" s="30">
        <f>C8+F8</f>
        <v>8099.9999999999945</v>
      </c>
      <c r="H8" s="23">
        <f t="shared" ref="H8:H14" si="3">($C$3*(1+$C$3)^A8)/((1+$C$3)^A8-1)</f>
        <v>0.57619047619047581</v>
      </c>
    </row>
    <row r="9" spans="1:8" x14ac:dyDescent="0.25">
      <c r="A9" s="22">
        <v>3</v>
      </c>
      <c r="B9" s="12">
        <f t="shared" si="0"/>
        <v>9216</v>
      </c>
      <c r="C9" s="28">
        <f>($B$6-B9)*H9 +$C$3*B9</f>
        <v>4453.7764350453144</v>
      </c>
      <c r="D9" s="29">
        <f t="shared" si="1"/>
        <v>3967.4999999999991</v>
      </c>
      <c r="E9" s="13">
        <f t="shared" si="2"/>
        <v>2980.8414725770081</v>
      </c>
      <c r="F9" s="28">
        <f>SUM($E$7:E9)*H9</f>
        <v>3441.8429003021106</v>
      </c>
      <c r="G9" s="30">
        <f>C9+F9</f>
        <v>7895.6193353474246</v>
      </c>
      <c r="H9" s="23">
        <f t="shared" si="3"/>
        <v>0.40211480362537733</v>
      </c>
    </row>
    <row r="10" spans="1:8" x14ac:dyDescent="0.25">
      <c r="A10" s="22">
        <v>4</v>
      </c>
      <c r="B10" s="12">
        <f t="shared" si="0"/>
        <v>7372.8</v>
      </c>
      <c r="C10" s="28">
        <f>($B$6-B10)*H10 +$C$3*B10</f>
        <v>4089.8513251454415</v>
      </c>
      <c r="D10" s="29">
        <f t="shared" si="1"/>
        <v>4562.6249999999982</v>
      </c>
      <c r="E10" s="13">
        <f t="shared" si="2"/>
        <v>3116.3342667850534</v>
      </c>
      <c r="F10" s="28">
        <f>SUM($E$7:E10)*H10</f>
        <v>3683.338720103422</v>
      </c>
      <c r="G10" s="30">
        <f>C10+F10</f>
        <v>7773.1900452488635</v>
      </c>
      <c r="H10" s="23">
        <f t="shared" si="3"/>
        <v>0.31547080370609765</v>
      </c>
    </row>
    <row r="11" spans="1:8" x14ac:dyDescent="0.25">
      <c r="A11" s="22">
        <v>5</v>
      </c>
      <c r="B11" s="12">
        <f t="shared" si="0"/>
        <v>5898.2400000000007</v>
      </c>
      <c r="C11" s="28">
        <f>($B$6-B11)*H11 +$C$3*B11</f>
        <v>3782.2378011826158</v>
      </c>
      <c r="D11" s="29">
        <f t="shared" si="1"/>
        <v>5247.0187499999975</v>
      </c>
      <c r="E11" s="13">
        <f t="shared" si="2"/>
        <v>3257.985824366192</v>
      </c>
      <c r="F11" s="28">
        <f>SUM($E$7:E11)*H11</f>
        <v>3939.465569769533</v>
      </c>
      <c r="G11" s="30">
        <f>C11+F11</f>
        <v>7721.7033709521493</v>
      </c>
      <c r="H11" s="23">
        <f t="shared" si="3"/>
        <v>0.26379748079474524</v>
      </c>
    </row>
    <row r="12" spans="1:8" x14ac:dyDescent="0.25">
      <c r="A12" s="22">
        <v>6</v>
      </c>
      <c r="B12" s="12">
        <f t="shared" si="0"/>
        <v>4718.5920000000006</v>
      </c>
      <c r="C12" s="28">
        <f>($B$6-B12)*H12 +$C$3*B12</f>
        <v>3521.3684984077718</v>
      </c>
      <c r="D12" s="29">
        <f t="shared" si="1"/>
        <v>6034.0715624999966</v>
      </c>
      <c r="E12" s="13">
        <f t="shared" si="2"/>
        <v>3406.076089110109</v>
      </c>
      <c r="F12" s="28">
        <f>SUM($E$7:E12)*H12</f>
        <v>4210.941965379272</v>
      </c>
      <c r="G12" s="31">
        <f>C12+F12</f>
        <v>7732.3104637870438</v>
      </c>
      <c r="H12" s="23">
        <f t="shared" si="3"/>
        <v>0.22960738036266726</v>
      </c>
    </row>
    <row r="13" spans="1:8" x14ac:dyDescent="0.25">
      <c r="A13" s="22">
        <v>7</v>
      </c>
      <c r="B13" s="12">
        <f t="shared" si="0"/>
        <v>3774.8736000000008</v>
      </c>
      <c r="C13" s="28">
        <f>($B$6-B13)*H13 +$C$3*B13</f>
        <v>3299.4065564961343</v>
      </c>
      <c r="D13" s="29">
        <f t="shared" si="1"/>
        <v>6939.1822968749957</v>
      </c>
      <c r="E13" s="13">
        <f t="shared" si="2"/>
        <v>3560.8977295242039</v>
      </c>
      <c r="F13" s="28">
        <f>SUM($E$7:E13)*H13</f>
        <v>4498.5135008238967</v>
      </c>
      <c r="G13" s="30">
        <f>C13+F13</f>
        <v>7797.9200573200305</v>
      </c>
      <c r="H13" s="23">
        <f t="shared" si="3"/>
        <v>0.20540549970059557</v>
      </c>
    </row>
    <row r="14" spans="1:8" x14ac:dyDescent="0.25">
      <c r="A14" s="22">
        <v>8</v>
      </c>
      <c r="B14" s="12">
        <f t="shared" si="0"/>
        <v>3019.8988800000006</v>
      </c>
      <c r="C14" s="28">
        <f>($B$6-B14)*H14 +$C$3*B14</f>
        <v>3109.920225609761</v>
      </c>
      <c r="D14" s="29">
        <f t="shared" si="1"/>
        <v>7980.0596414062447</v>
      </c>
      <c r="E14" s="13">
        <f t="shared" si="2"/>
        <v>3722.75671722985</v>
      </c>
      <c r="F14" s="28">
        <f>SUM($E$7:E14)*H14</f>
        <v>4802.9538827285032</v>
      </c>
      <c r="G14" s="30">
        <f>C14+F14</f>
        <v>7912.8741083382647</v>
      </c>
      <c r="H14" s="23">
        <f t="shared" si="3"/>
        <v>0.18744401757481335</v>
      </c>
    </row>
    <row r="16" spans="1:8" x14ac:dyDescent="0.25">
      <c r="A16" t="s">
        <v>0</v>
      </c>
      <c r="B16" t="s">
        <v>1</v>
      </c>
      <c r="C16" s="27" t="s">
        <v>3</v>
      </c>
      <c r="D16" s="24" t="s">
        <v>2</v>
      </c>
      <c r="E16" t="s">
        <v>57</v>
      </c>
      <c r="F16" s="27" t="s">
        <v>5</v>
      </c>
      <c r="G16" s="26" t="s">
        <v>55</v>
      </c>
      <c r="H16" t="s">
        <v>56</v>
      </c>
    </row>
    <row r="17" spans="1:8" x14ac:dyDescent="0.25">
      <c r="A17" s="22">
        <v>0</v>
      </c>
      <c r="B17" s="10">
        <v>5000</v>
      </c>
      <c r="C17" s="27"/>
      <c r="D17" s="25"/>
      <c r="F17" s="27"/>
      <c r="G17" s="26"/>
    </row>
    <row r="18" spans="1:8" x14ac:dyDescent="0.25">
      <c r="A18" s="22">
        <v>1</v>
      </c>
      <c r="B18" s="12">
        <v>3000</v>
      </c>
      <c r="C18" s="28">
        <f>($B$17-B18)*H18 +$C$3*B18</f>
        <v>2499.9999999999982</v>
      </c>
      <c r="D18" s="29">
        <v>3500</v>
      </c>
      <c r="E18" s="13">
        <f>D18/(1+$C$3)^A18</f>
        <v>3181.8181818181815</v>
      </c>
      <c r="F18" s="28">
        <f>SUM($E$18:E18)*H18</f>
        <v>3499.9999999999973</v>
      </c>
      <c r="G18" s="30">
        <f>C18+F18</f>
        <v>5999.9999999999955</v>
      </c>
      <c r="H18" s="23">
        <f>($C$3*(1+$C$3)^A18)/((1+$C$3)^A18-1)</f>
        <v>1.0999999999999992</v>
      </c>
    </row>
    <row r="19" spans="1:8" x14ac:dyDescent="0.25">
      <c r="A19" s="22">
        <v>2</v>
      </c>
      <c r="B19" s="12">
        <v>2250</v>
      </c>
      <c r="C19" s="28">
        <f t="shared" ref="C19:C20" si="4">($B$17-B19)*H19 +$C$3*B19</f>
        <v>1809.5238095238085</v>
      </c>
      <c r="D19" s="29">
        <v>4500</v>
      </c>
      <c r="E19" s="13">
        <f t="shared" ref="E19:E20" si="5">D19/(1+$C$3)^A19</f>
        <v>3719.0082644628092</v>
      </c>
      <c r="F19" s="28">
        <f>SUM($E$18:E19)*H19</f>
        <v>3976.1904761904734</v>
      </c>
      <c r="G19" s="30">
        <f>C19+F19</f>
        <v>5785.7142857142817</v>
      </c>
      <c r="H19" s="23">
        <f t="shared" ref="H19:H20" si="6">($C$3*(1+$C$3)^A19)/((1+$C$3)^A19-1)</f>
        <v>0.57619047619047581</v>
      </c>
    </row>
    <row r="20" spans="1:8" x14ac:dyDescent="0.25">
      <c r="A20" s="22">
        <v>3</v>
      </c>
      <c r="B20" s="12">
        <v>1688</v>
      </c>
      <c r="C20" s="28">
        <f t="shared" si="4"/>
        <v>1500.6042296072496</v>
      </c>
      <c r="D20" s="29">
        <v>5500</v>
      </c>
      <c r="E20" s="13">
        <f t="shared" si="5"/>
        <v>4132.2314049586766</v>
      </c>
      <c r="F20" s="28">
        <f>SUM($E$18:E20)*H20</f>
        <v>4436.5558912386668</v>
      </c>
      <c r="G20" s="30">
        <f>C20+F20</f>
        <v>5937.160120845916</v>
      </c>
      <c r="H20" s="23">
        <f t="shared" si="6"/>
        <v>0.40211480362537733</v>
      </c>
    </row>
    <row r="21" spans="1:8" x14ac:dyDescent="0.25">
      <c r="A21" s="2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A11" workbookViewId="0">
      <selection activeCell="E11" sqref="E1:E1048576"/>
    </sheetView>
  </sheetViews>
  <sheetFormatPr defaultRowHeight="15" x14ac:dyDescent="0.25"/>
  <sheetData>
    <row r="1" spans="1:14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4" x14ac:dyDescent="0.25">
      <c r="A2">
        <f>A8</f>
        <v>188000</v>
      </c>
      <c r="B2">
        <f>A2-B3</f>
        <v>164500</v>
      </c>
      <c r="C2">
        <f t="shared" ref="C2:J2" si="0">B2-C3</f>
        <v>141000</v>
      </c>
      <c r="D2">
        <f t="shared" si="0"/>
        <v>117500</v>
      </c>
      <c r="E2">
        <f t="shared" si="0"/>
        <v>94000</v>
      </c>
      <c r="F2">
        <f t="shared" ref="F2" si="1">E2-F3</f>
        <v>70500</v>
      </c>
      <c r="G2">
        <f t="shared" ref="G2:H2" si="2">F2-G3</f>
        <v>47000</v>
      </c>
      <c r="H2">
        <f t="shared" si="2"/>
        <v>23500</v>
      </c>
      <c r="I2">
        <f t="shared" ref="I2" si="3">H2-I3</f>
        <v>0</v>
      </c>
    </row>
    <row r="3" spans="1:14" x14ac:dyDescent="0.25">
      <c r="B3">
        <f>$A$2/8</f>
        <v>23500</v>
      </c>
      <c r="C3">
        <f t="shared" ref="C3:I3" si="4">$A$2/8</f>
        <v>23500</v>
      </c>
      <c r="D3">
        <f t="shared" si="4"/>
        <v>23500</v>
      </c>
      <c r="E3">
        <f t="shared" si="4"/>
        <v>23500</v>
      </c>
      <c r="F3">
        <f t="shared" si="4"/>
        <v>23500</v>
      </c>
      <c r="G3">
        <f t="shared" si="4"/>
        <v>23500</v>
      </c>
      <c r="H3">
        <f t="shared" si="4"/>
        <v>23500</v>
      </c>
      <c r="I3">
        <f t="shared" si="4"/>
        <v>23500</v>
      </c>
    </row>
    <row r="5" spans="1:14" x14ac:dyDescent="0.25">
      <c r="D5">
        <f>D2+D10</f>
        <v>160500</v>
      </c>
      <c r="E5">
        <f>D5-E6</f>
        <v>144450</v>
      </c>
      <c r="F5">
        <f t="shared" ref="F5:S5" si="5">E5-F6</f>
        <v>128400</v>
      </c>
      <c r="G5">
        <f t="shared" si="5"/>
        <v>112350</v>
      </c>
      <c r="H5">
        <f t="shared" si="5"/>
        <v>96300</v>
      </c>
      <c r="I5">
        <f t="shared" si="5"/>
        <v>80250</v>
      </c>
      <c r="J5">
        <f t="shared" si="5"/>
        <v>64200</v>
      </c>
      <c r="K5">
        <f t="shared" si="5"/>
        <v>48150</v>
      </c>
      <c r="L5">
        <f t="shared" si="5"/>
        <v>32100</v>
      </c>
      <c r="M5">
        <f t="shared" si="5"/>
        <v>16050</v>
      </c>
      <c r="N5">
        <f t="shared" si="5"/>
        <v>0</v>
      </c>
    </row>
    <row r="6" spans="1:14" x14ac:dyDescent="0.25">
      <c r="E6">
        <f>$D$5/10</f>
        <v>16050</v>
      </c>
      <c r="F6">
        <f t="shared" ref="F6:N6" si="6">$D$5/10</f>
        <v>16050</v>
      </c>
      <c r="G6">
        <f t="shared" si="6"/>
        <v>16050</v>
      </c>
      <c r="H6">
        <f t="shared" si="6"/>
        <v>16050</v>
      </c>
      <c r="I6">
        <f t="shared" si="6"/>
        <v>16050</v>
      </c>
      <c r="J6">
        <f t="shared" si="6"/>
        <v>16050</v>
      </c>
      <c r="K6">
        <f t="shared" si="6"/>
        <v>16050</v>
      </c>
      <c r="L6">
        <f t="shared" si="6"/>
        <v>16050</v>
      </c>
      <c r="M6">
        <f t="shared" si="6"/>
        <v>16050</v>
      </c>
      <c r="N6">
        <f t="shared" si="6"/>
        <v>16050</v>
      </c>
    </row>
    <row r="8" spans="1:14" x14ac:dyDescent="0.25">
      <c r="A8">
        <f>188000</f>
        <v>188000</v>
      </c>
    </row>
    <row r="9" spans="1:14" x14ac:dyDescent="0.25">
      <c r="B9">
        <f>$A$8*B15</f>
        <v>26865.200000000001</v>
      </c>
      <c r="C9">
        <f t="shared" ref="C9:I9" si="7">$A$8*C15</f>
        <v>46041.200000000004</v>
      </c>
      <c r="D9">
        <f t="shared" si="7"/>
        <v>32881.199999999997</v>
      </c>
      <c r="E9">
        <f t="shared" si="7"/>
        <v>23481.200000000001</v>
      </c>
      <c r="F9">
        <f t="shared" si="7"/>
        <v>16788.400000000001</v>
      </c>
      <c r="G9">
        <f t="shared" si="7"/>
        <v>16769.599999999999</v>
      </c>
      <c r="H9">
        <f t="shared" si="7"/>
        <v>16788.400000000001</v>
      </c>
      <c r="I9">
        <f t="shared" si="7"/>
        <v>8384.7999999999993</v>
      </c>
    </row>
    <row r="10" spans="1:14" x14ac:dyDescent="0.25">
      <c r="D10">
        <f>43000</f>
        <v>43000</v>
      </c>
    </row>
    <row r="11" spans="1:14" x14ac:dyDescent="0.25">
      <c r="E11">
        <f>$D$10*E14</f>
        <v>6144.7</v>
      </c>
      <c r="F11">
        <f t="shared" ref="F11:L11" si="8">$D$10*F14</f>
        <v>10530.7</v>
      </c>
      <c r="G11">
        <f t="shared" si="8"/>
        <v>7520.7</v>
      </c>
      <c r="H11">
        <f t="shared" si="8"/>
        <v>5370.7</v>
      </c>
      <c r="I11">
        <f t="shared" si="8"/>
        <v>3839.9</v>
      </c>
      <c r="J11">
        <f t="shared" si="8"/>
        <v>3835.6</v>
      </c>
      <c r="K11">
        <f t="shared" si="8"/>
        <v>3839.9</v>
      </c>
      <c r="L11">
        <f t="shared" si="8"/>
        <v>1917.8</v>
      </c>
    </row>
    <row r="12" spans="1:14" x14ac:dyDescent="0.25">
      <c r="E12">
        <f t="shared" ref="E12" si="9">E11+E9</f>
        <v>29625.9</v>
      </c>
      <c r="F12">
        <f t="shared" ref="F12" si="10">F11+F9</f>
        <v>27319.100000000002</v>
      </c>
      <c r="G12">
        <f t="shared" ref="G12" si="11">G11+G9</f>
        <v>24290.3</v>
      </c>
      <c r="H12">
        <f>H11+H9</f>
        <v>22159.100000000002</v>
      </c>
      <c r="I12">
        <f t="shared" ref="I12:L12" si="12">I11+I9</f>
        <v>12224.699999999999</v>
      </c>
      <c r="J12">
        <f t="shared" si="12"/>
        <v>3835.6</v>
      </c>
      <c r="K12">
        <f t="shared" si="12"/>
        <v>3839.9</v>
      </c>
      <c r="L12">
        <f t="shared" si="12"/>
        <v>1917.8</v>
      </c>
    </row>
    <row r="14" spans="1:14" x14ac:dyDescent="0.25">
      <c r="E14">
        <v>0.1429</v>
      </c>
      <c r="F14">
        <v>0.24490000000000001</v>
      </c>
      <c r="G14">
        <v>0.1749</v>
      </c>
      <c r="H14">
        <v>0.1249</v>
      </c>
      <c r="I14">
        <v>8.9300000000000004E-2</v>
      </c>
      <c r="J14">
        <v>8.9200000000000002E-2</v>
      </c>
      <c r="K14">
        <v>8.9300000000000004E-2</v>
      </c>
      <c r="L14">
        <v>4.4600000000000001E-2</v>
      </c>
    </row>
    <row r="15" spans="1:14" x14ac:dyDescent="0.25">
      <c r="B15">
        <v>0.1429</v>
      </c>
      <c r="C15">
        <v>0.24490000000000001</v>
      </c>
      <c r="D15">
        <v>0.1749</v>
      </c>
      <c r="E15">
        <v>0.1249</v>
      </c>
      <c r="F15">
        <v>8.9300000000000004E-2</v>
      </c>
      <c r="G15">
        <v>8.9200000000000002E-2</v>
      </c>
      <c r="H15">
        <v>8.9300000000000004E-2</v>
      </c>
      <c r="I15">
        <v>4.4600000000000001E-2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chpt14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WANG</dc:creator>
  <cp:lastModifiedBy>XING WANG</cp:lastModifiedBy>
  <dcterms:created xsi:type="dcterms:W3CDTF">2016-04-13T02:04:09Z</dcterms:created>
  <dcterms:modified xsi:type="dcterms:W3CDTF">2016-04-21T03:43:31Z</dcterms:modified>
</cp:coreProperties>
</file>