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am\Documents\Project1_guads\data_publish\"/>
    </mc:Choice>
  </mc:AlternateContent>
  <xr:revisionPtr revIDLastSave="0" documentId="13_ncr:1_{A68BDFA0-2520-4E22-B31A-8C8B7CAC2105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nal_data" sheetId="1" r:id="rId1"/>
    <sheet name="lith_data" sheetId="4" r:id="rId2"/>
    <sheet name="for_calcs" sheetId="5" r:id="rId3"/>
    <sheet name="shape factor" sheetId="9" r:id="rId4"/>
    <sheet name="t tests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0" l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2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49" i="1"/>
  <c r="H49" i="1"/>
  <c r="I49" i="1"/>
  <c r="J49" i="1"/>
  <c r="K49" i="1"/>
  <c r="K51" i="1"/>
  <c r="J51" i="1"/>
  <c r="I51" i="1"/>
  <c r="H51" i="1"/>
  <c r="G51" i="1"/>
  <c r="K50" i="1"/>
  <c r="J50" i="1"/>
  <c r="I50" i="1"/>
  <c r="H50" i="1"/>
  <c r="G50" i="1"/>
  <c r="G60" i="1"/>
  <c r="H60" i="1"/>
  <c r="I60" i="1"/>
  <c r="J60" i="1"/>
  <c r="K60" i="1"/>
  <c r="G59" i="1"/>
  <c r="H59" i="1"/>
  <c r="I59" i="1"/>
  <c r="J59" i="1"/>
  <c r="K59" i="1"/>
  <c r="G58" i="1"/>
  <c r="H58" i="1"/>
  <c r="I58" i="1"/>
  <c r="J58" i="1"/>
  <c r="K58" i="1"/>
  <c r="G57" i="1"/>
  <c r="H57" i="1"/>
  <c r="I57" i="1"/>
  <c r="J57" i="1"/>
  <c r="K57" i="1"/>
  <c r="G56" i="1"/>
  <c r="H56" i="1"/>
  <c r="I56" i="1"/>
  <c r="J56" i="1"/>
  <c r="K56" i="1"/>
  <c r="G55" i="1"/>
  <c r="I55" i="1"/>
  <c r="H55" i="1"/>
  <c r="J55" i="1"/>
  <c r="K55" i="1"/>
  <c r="G54" i="1"/>
  <c r="H54" i="1"/>
  <c r="I54" i="1"/>
  <c r="J54" i="1"/>
  <c r="K54" i="1"/>
  <c r="G53" i="1"/>
  <c r="I53" i="1"/>
  <c r="H53" i="1"/>
  <c r="J53" i="1"/>
  <c r="K53" i="1"/>
  <c r="K52" i="1"/>
  <c r="J52" i="1"/>
  <c r="I52" i="1"/>
  <c r="H52" i="1"/>
  <c r="G52" i="1"/>
  <c r="G48" i="1"/>
  <c r="H48" i="1"/>
  <c r="I48" i="1"/>
  <c r="J48" i="1"/>
  <c r="K48" i="1"/>
  <c r="G47" i="1"/>
  <c r="H47" i="1"/>
  <c r="I47" i="1"/>
  <c r="J47" i="1"/>
  <c r="K47" i="1"/>
  <c r="G46" i="1"/>
  <c r="H46" i="1"/>
  <c r="I46" i="1"/>
  <c r="J46" i="1"/>
  <c r="K46" i="1"/>
  <c r="G45" i="1"/>
  <c r="H45" i="1"/>
  <c r="I45" i="1"/>
  <c r="J45" i="1"/>
  <c r="K45" i="1"/>
  <c r="G44" i="1"/>
  <c r="H44" i="1"/>
  <c r="I44" i="1"/>
  <c r="J44" i="1"/>
  <c r="K44" i="1"/>
  <c r="G43" i="1"/>
  <c r="H43" i="1"/>
  <c r="I43" i="1"/>
  <c r="J43" i="1"/>
  <c r="K43" i="1"/>
  <c r="G41" i="1"/>
  <c r="H41" i="1"/>
  <c r="I41" i="1"/>
  <c r="J41" i="1"/>
  <c r="K41" i="1"/>
  <c r="G42" i="1"/>
  <c r="H42" i="1"/>
  <c r="I42" i="1"/>
  <c r="J42" i="1"/>
  <c r="K42" i="1"/>
  <c r="G40" i="1"/>
  <c r="H40" i="1"/>
  <c r="I40" i="1"/>
  <c r="J40" i="1"/>
  <c r="K40" i="1"/>
  <c r="G39" i="1"/>
  <c r="H39" i="1"/>
  <c r="I39" i="1"/>
  <c r="J39" i="1"/>
  <c r="K39" i="1"/>
  <c r="G38" i="1"/>
  <c r="H38" i="1"/>
  <c r="I38" i="1"/>
  <c r="J38" i="1"/>
  <c r="K38" i="1"/>
  <c r="G37" i="1"/>
  <c r="H37" i="1"/>
  <c r="I37" i="1"/>
  <c r="J37" i="1"/>
  <c r="K37" i="1"/>
  <c r="G35" i="1"/>
  <c r="H35" i="1"/>
  <c r="I35" i="1"/>
  <c r="J35" i="1"/>
  <c r="K35" i="1"/>
  <c r="G34" i="1"/>
  <c r="H34" i="1"/>
  <c r="I34" i="1"/>
  <c r="J34" i="1"/>
  <c r="K34" i="1"/>
  <c r="G33" i="1"/>
  <c r="H33" i="1"/>
  <c r="I33" i="1"/>
  <c r="J33" i="1"/>
  <c r="K33" i="1"/>
  <c r="G32" i="1"/>
  <c r="H32" i="1"/>
  <c r="I32" i="1"/>
  <c r="J32" i="1"/>
  <c r="K32" i="1"/>
  <c r="G31" i="1"/>
  <c r="H31" i="1"/>
  <c r="J31" i="1"/>
  <c r="I31" i="1"/>
  <c r="K31" i="1"/>
  <c r="G30" i="1"/>
  <c r="H30" i="1"/>
  <c r="I30" i="1"/>
  <c r="J30" i="1"/>
  <c r="K30" i="1"/>
  <c r="G29" i="1"/>
  <c r="H29" i="1"/>
  <c r="I29" i="1"/>
  <c r="J29" i="1"/>
  <c r="K29" i="1"/>
  <c r="G28" i="1"/>
  <c r="H28" i="1"/>
  <c r="I28" i="1"/>
  <c r="J28" i="1"/>
  <c r="K28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G27" i="1"/>
  <c r="H27" i="1"/>
  <c r="I27" i="1"/>
  <c r="J27" i="1"/>
  <c r="K27" i="1"/>
  <c r="G26" i="1"/>
  <c r="H26" i="1"/>
  <c r="I26" i="1"/>
  <c r="J26" i="1"/>
  <c r="K26" i="1"/>
  <c r="I2" i="9" l="1"/>
  <c r="J27" i="9"/>
  <c r="J28" i="9"/>
  <c r="I3" i="9"/>
  <c r="I8" i="9"/>
  <c r="J39" i="9"/>
  <c r="J30" i="9"/>
  <c r="J36" i="9"/>
  <c r="J37" i="9"/>
  <c r="J29" i="9"/>
  <c r="J38" i="9"/>
  <c r="G17" i="1"/>
  <c r="H17" i="1"/>
  <c r="I17" i="1"/>
  <c r="J17" i="1"/>
  <c r="K17" i="1"/>
  <c r="G16" i="1"/>
  <c r="H16" i="1"/>
  <c r="I16" i="1"/>
  <c r="J16" i="1"/>
  <c r="K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G12" i="1"/>
  <c r="H12" i="1"/>
  <c r="I12" i="1"/>
  <c r="J12" i="1"/>
  <c r="K12" i="1"/>
  <c r="G11" i="1"/>
  <c r="H11" i="1"/>
  <c r="J11" i="1"/>
  <c r="I11" i="1"/>
  <c r="K11" i="1"/>
  <c r="G10" i="1"/>
  <c r="I10" i="1"/>
  <c r="H10" i="1"/>
  <c r="J10" i="1"/>
  <c r="K10" i="1"/>
  <c r="G9" i="1"/>
  <c r="H9" i="1"/>
  <c r="I9" i="1"/>
  <c r="J9" i="1"/>
  <c r="K9" i="1"/>
  <c r="G8" i="1"/>
  <c r="H8" i="1"/>
  <c r="I8" i="1"/>
  <c r="J8" i="1"/>
  <c r="K8" i="1"/>
  <c r="K3" i="1"/>
  <c r="J3" i="1"/>
  <c r="I3" i="1"/>
  <c r="H3" i="1"/>
  <c r="G3" i="1"/>
  <c r="G7" i="1"/>
  <c r="H7" i="1"/>
  <c r="I7" i="1"/>
  <c r="J7" i="1"/>
  <c r="K7" i="1"/>
  <c r="G6" i="1"/>
  <c r="H6" i="1"/>
  <c r="I6" i="1"/>
  <c r="J6" i="1"/>
  <c r="K6" i="1"/>
  <c r="G5" i="1"/>
  <c r="H5" i="1"/>
  <c r="I5" i="1"/>
  <c r="J5" i="1"/>
  <c r="K5" i="1"/>
  <c r="G4" i="1"/>
  <c r="H4" i="1"/>
  <c r="I4" i="1"/>
  <c r="J4" i="1"/>
  <c r="K4" i="1"/>
  <c r="A58" i="1"/>
  <c r="O12" i="1"/>
  <c r="N50" i="1" l="1"/>
  <c r="N51" i="1"/>
  <c r="N52" i="1"/>
  <c r="N53" i="1"/>
  <c r="N54" i="1"/>
  <c r="N55" i="1"/>
  <c r="N56" i="1"/>
  <c r="N57" i="1"/>
  <c r="N58" i="1"/>
  <c r="N59" i="1"/>
  <c r="N60" i="1"/>
  <c r="N49" i="1"/>
  <c r="M50" i="1"/>
  <c r="M51" i="1"/>
  <c r="M52" i="1"/>
  <c r="M53" i="1"/>
  <c r="M54" i="1"/>
  <c r="M55" i="1"/>
  <c r="M56" i="1"/>
  <c r="M57" i="1"/>
  <c r="M58" i="1"/>
  <c r="M59" i="1"/>
  <c r="M60" i="1"/>
  <c r="M49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O4" i="1"/>
  <c r="O5" i="1"/>
  <c r="O6" i="1"/>
  <c r="O7" i="1"/>
  <c r="O8" i="1"/>
  <c r="O9" i="1"/>
  <c r="O10" i="1"/>
  <c r="O11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S49" i="1"/>
  <c r="R49" i="1"/>
  <c r="Q49" i="1"/>
  <c r="P49" i="1"/>
  <c r="O4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S38" i="1" l="1"/>
  <c r="S39" i="1"/>
  <c r="S40" i="1"/>
  <c r="S41" i="1"/>
  <c r="S42" i="1"/>
  <c r="S43" i="1"/>
  <c r="S44" i="1"/>
  <c r="S45" i="1"/>
  <c r="S46" i="1"/>
  <c r="S47" i="1"/>
  <c r="R38" i="1"/>
  <c r="R39" i="1"/>
  <c r="R40" i="1"/>
  <c r="R41" i="1"/>
  <c r="R42" i="1"/>
  <c r="R43" i="1"/>
  <c r="R44" i="1"/>
  <c r="R45" i="1"/>
  <c r="R46" i="1"/>
  <c r="R47" i="1"/>
  <c r="Q38" i="1"/>
  <c r="Q39" i="1"/>
  <c r="Q40" i="1"/>
  <c r="Q41" i="1"/>
  <c r="Q42" i="1"/>
  <c r="Q43" i="1"/>
  <c r="Q44" i="1"/>
  <c r="Q45" i="1"/>
  <c r="Q46" i="1"/>
  <c r="Q47" i="1"/>
  <c r="P38" i="1"/>
  <c r="P39" i="1"/>
  <c r="P40" i="1"/>
  <c r="P41" i="1"/>
  <c r="P42" i="1"/>
  <c r="P43" i="1"/>
  <c r="P44" i="1"/>
  <c r="P45" i="1"/>
  <c r="P46" i="1"/>
  <c r="P47" i="1"/>
  <c r="P48" i="1"/>
  <c r="O38" i="1"/>
  <c r="O39" i="1"/>
  <c r="O40" i="1"/>
  <c r="O41" i="1"/>
  <c r="O42" i="1"/>
  <c r="O43" i="1"/>
  <c r="O44" i="1"/>
  <c r="O45" i="1"/>
  <c r="O46" i="1"/>
  <c r="O47" i="1"/>
  <c r="O48" i="1"/>
  <c r="N38" i="1"/>
  <c r="N39" i="1"/>
  <c r="N40" i="1"/>
  <c r="N41" i="1"/>
  <c r="N42" i="1"/>
  <c r="N43" i="1"/>
  <c r="N44" i="1"/>
  <c r="N45" i="1"/>
  <c r="N46" i="1"/>
  <c r="N47" i="1"/>
  <c r="N48" i="1"/>
  <c r="S37" i="1"/>
  <c r="R37" i="1"/>
  <c r="Q37" i="1"/>
  <c r="P37" i="1"/>
  <c r="O37" i="1"/>
  <c r="N37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S4" i="1"/>
  <c r="S5" i="1"/>
  <c r="S6" i="1"/>
  <c r="S7" i="1"/>
  <c r="S8" i="1"/>
  <c r="S9" i="1"/>
  <c r="S10" i="1"/>
  <c r="S11" i="1"/>
  <c r="R4" i="1"/>
  <c r="R5" i="1"/>
  <c r="R6" i="1"/>
  <c r="R7" i="1"/>
  <c r="R8" i="1"/>
  <c r="R9" i="1"/>
  <c r="R10" i="1"/>
  <c r="R11" i="1"/>
  <c r="Q4" i="1"/>
  <c r="Q5" i="1"/>
  <c r="Q6" i="1"/>
  <c r="Q7" i="1"/>
  <c r="Q8" i="1"/>
  <c r="Q9" i="1"/>
  <c r="Q10" i="1"/>
  <c r="Q11" i="1"/>
  <c r="P4" i="1"/>
  <c r="P5" i="1"/>
  <c r="P6" i="1"/>
  <c r="P7" i="1"/>
  <c r="P8" i="1"/>
  <c r="P9" i="1"/>
  <c r="P10" i="1"/>
  <c r="P11" i="1"/>
  <c r="P12" i="1"/>
  <c r="S3" i="1"/>
  <c r="R3" i="1"/>
  <c r="Q3" i="1"/>
  <c r="P3" i="1"/>
  <c r="S17" i="1"/>
  <c r="S16" i="1"/>
  <c r="S15" i="1"/>
  <c r="S14" i="1"/>
  <c r="R13" i="1"/>
  <c r="R17" i="1"/>
  <c r="R16" i="1"/>
  <c r="R15" i="1"/>
  <c r="R14" i="1"/>
  <c r="Q17" i="1"/>
  <c r="Q16" i="1"/>
  <c r="Q15" i="1"/>
  <c r="Q14" i="1"/>
  <c r="Q13" i="1"/>
  <c r="P17" i="1"/>
  <c r="P16" i="1"/>
  <c r="P15" i="1"/>
  <c r="P14" i="1"/>
  <c r="O17" i="1"/>
  <c r="O16" i="1"/>
  <c r="O15" i="1"/>
  <c r="O14" i="1"/>
  <c r="N17" i="1"/>
  <c r="N16" i="1"/>
  <c r="N15" i="1"/>
  <c r="N14" i="1"/>
  <c r="S13" i="1"/>
  <c r="P13" i="1"/>
  <c r="O13" i="1"/>
  <c r="N13" i="1"/>
  <c r="A18" i="1"/>
  <c r="E3" i="4"/>
  <c r="E4" i="4"/>
  <c r="E5" i="4"/>
  <c r="T6" i="1" s="1"/>
  <c r="E6" i="4"/>
  <c r="T7" i="1" s="1"/>
  <c r="E7" i="4"/>
  <c r="E8" i="4"/>
  <c r="E9" i="4"/>
  <c r="T10" i="1" s="1"/>
  <c r="E10" i="4"/>
  <c r="T11" i="1" s="1"/>
  <c r="E11" i="4"/>
  <c r="E12" i="4"/>
  <c r="E13" i="4"/>
  <c r="T14" i="1" s="1"/>
  <c r="E14" i="4"/>
  <c r="T15" i="1" s="1"/>
  <c r="E15" i="4"/>
  <c r="E16" i="4"/>
  <c r="E17" i="4"/>
  <c r="T18" i="1" s="1"/>
  <c r="E18" i="4"/>
  <c r="T19" i="1" s="1"/>
  <c r="E19" i="4"/>
  <c r="E20" i="4"/>
  <c r="E21" i="4"/>
  <c r="T22" i="1" s="1"/>
  <c r="E22" i="4"/>
  <c r="T23" i="1" s="1"/>
  <c r="E23" i="4"/>
  <c r="E24" i="4"/>
  <c r="E25" i="4"/>
  <c r="T26" i="1" s="1"/>
  <c r="E26" i="4"/>
  <c r="T27" i="1" s="1"/>
  <c r="E27" i="4"/>
  <c r="E28" i="4"/>
  <c r="E29" i="4"/>
  <c r="T30" i="1" s="1"/>
  <c r="E30" i="4"/>
  <c r="T31" i="1" s="1"/>
  <c r="E31" i="4"/>
  <c r="E32" i="4"/>
  <c r="E33" i="4"/>
  <c r="T34" i="1" s="1"/>
  <c r="E34" i="4"/>
  <c r="T35" i="1" s="1"/>
  <c r="E35" i="4"/>
  <c r="E36" i="4"/>
  <c r="E37" i="4"/>
  <c r="T38" i="1" s="1"/>
  <c r="E38" i="4"/>
  <c r="T39" i="1" s="1"/>
  <c r="E39" i="4"/>
  <c r="E40" i="4"/>
  <c r="E41" i="4"/>
  <c r="T42" i="1" s="1"/>
  <c r="E42" i="4"/>
  <c r="T43" i="1" s="1"/>
  <c r="E43" i="4"/>
  <c r="E44" i="4"/>
  <c r="E45" i="4"/>
  <c r="T46" i="1" s="1"/>
  <c r="E46" i="4"/>
  <c r="T47" i="1" s="1"/>
  <c r="E47" i="4"/>
  <c r="E48" i="4"/>
  <c r="E49" i="4"/>
  <c r="T50" i="1" s="1"/>
  <c r="E50" i="4"/>
  <c r="T51" i="1" s="1"/>
  <c r="E51" i="4"/>
  <c r="E52" i="4"/>
  <c r="E53" i="4"/>
  <c r="T54" i="1" s="1"/>
  <c r="E54" i="4"/>
  <c r="T55" i="1" s="1"/>
  <c r="E55" i="4"/>
  <c r="E56" i="4"/>
  <c r="E57" i="4"/>
  <c r="T58" i="1" s="1"/>
  <c r="E58" i="4"/>
  <c r="T59" i="1" s="1"/>
  <c r="E59" i="4"/>
  <c r="E2" i="4"/>
  <c r="T4" i="1"/>
  <c r="T5" i="1"/>
  <c r="T8" i="1"/>
  <c r="T9" i="1"/>
  <c r="T12" i="1"/>
  <c r="T13" i="1"/>
  <c r="T16" i="1"/>
  <c r="T17" i="1"/>
  <c r="T20" i="1"/>
  <c r="T21" i="1"/>
  <c r="T24" i="1"/>
  <c r="T25" i="1"/>
  <c r="T28" i="1"/>
  <c r="T29" i="1"/>
  <c r="T32" i="1"/>
  <c r="T33" i="1"/>
  <c r="T36" i="1"/>
  <c r="T37" i="1"/>
  <c r="T40" i="1"/>
  <c r="T41" i="1"/>
  <c r="T44" i="1"/>
  <c r="T45" i="1"/>
  <c r="T48" i="1"/>
  <c r="T49" i="1"/>
  <c r="T52" i="1"/>
  <c r="T53" i="1"/>
  <c r="T56" i="1"/>
  <c r="T57" i="1"/>
  <c r="T60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9" i="1"/>
  <c r="A6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T3" i="1" l="1"/>
  <c r="A3" i="1"/>
</calcChain>
</file>

<file path=xl/sharedStrings.xml><?xml version="1.0" encoding="utf-8"?>
<sst xmlns="http://schemas.openxmlformats.org/spreadsheetml/2006/main" count="295" uniqueCount="140">
  <si>
    <t>Geometry</t>
  </si>
  <si>
    <t>a axis</t>
  </si>
  <si>
    <t>b axis</t>
  </si>
  <si>
    <t>c axis</t>
  </si>
  <si>
    <t>Boulder</t>
  </si>
  <si>
    <t>Lith (% carb)</t>
  </si>
  <si>
    <t>sample #</t>
  </si>
  <si>
    <t>beaker weight (g)</t>
  </si>
  <si>
    <t>beaker + undissolved sample weight (g)</t>
  </si>
  <si>
    <t>beaker + dissolved sample weight (g)</t>
  </si>
  <si>
    <t>% Carb</t>
  </si>
  <si>
    <t>LC302</t>
  </si>
  <si>
    <t>LC310</t>
  </si>
  <si>
    <t>LC305</t>
  </si>
  <si>
    <t>LC312</t>
  </si>
  <si>
    <t>LC319</t>
  </si>
  <si>
    <t>LC308</t>
  </si>
  <si>
    <t>LC412</t>
  </si>
  <si>
    <t>LC410</t>
  </si>
  <si>
    <t>LC210</t>
  </si>
  <si>
    <t>LC411</t>
  </si>
  <si>
    <t>LC408</t>
  </si>
  <si>
    <t>LC401</t>
  </si>
  <si>
    <t>LC209</t>
  </si>
  <si>
    <t>LC116</t>
  </si>
  <si>
    <t>LC406</t>
  </si>
  <si>
    <t>LC117</t>
  </si>
  <si>
    <t>LC407</t>
  </si>
  <si>
    <t>LC208.5</t>
  </si>
  <si>
    <t>LC115</t>
  </si>
  <si>
    <t>LC211</t>
  </si>
  <si>
    <t>LC314</t>
  </si>
  <si>
    <t>LC2.8.5</t>
  </si>
  <si>
    <t>LC119 or 125</t>
  </si>
  <si>
    <t>LC126</t>
  </si>
  <si>
    <t>LC124</t>
  </si>
  <si>
    <t>LC118</t>
  </si>
  <si>
    <t>LC318</t>
  </si>
  <si>
    <t>LC121</t>
  </si>
  <si>
    <t>LC303</t>
  </si>
  <si>
    <t>LC309</t>
  </si>
  <si>
    <t>LC311</t>
  </si>
  <si>
    <t>LC123</t>
  </si>
  <si>
    <t>LC315</t>
  </si>
  <si>
    <t>LC306</t>
  </si>
  <si>
    <t>LC304.1</t>
  </si>
  <si>
    <t>LC403</t>
  </si>
  <si>
    <t>LC402</t>
  </si>
  <si>
    <t>LC400</t>
  </si>
  <si>
    <t>LC405</t>
  </si>
  <si>
    <t>LC317</t>
  </si>
  <si>
    <t>LC300</t>
  </si>
  <si>
    <t>LC301</t>
  </si>
  <si>
    <t>LC409</t>
  </si>
  <si>
    <t>LC313</t>
  </si>
  <si>
    <t>LC307</t>
  </si>
  <si>
    <t>LC5.6</t>
  </si>
  <si>
    <t>LC5.7</t>
  </si>
  <si>
    <t>LC500</t>
  </si>
  <si>
    <t>LC505</t>
  </si>
  <si>
    <t>LC504</t>
  </si>
  <si>
    <t>LC501</t>
  </si>
  <si>
    <t>LC5.8</t>
  </si>
  <si>
    <t>LC508</t>
  </si>
  <si>
    <t>LC506</t>
  </si>
  <si>
    <t>LC502</t>
  </si>
  <si>
    <t>LC503</t>
  </si>
  <si>
    <t>LC507</t>
  </si>
  <si>
    <t>LC122</t>
  </si>
  <si>
    <t>Size (cm)</t>
  </si>
  <si>
    <t>Slope (20m)</t>
  </si>
  <si>
    <t>Slope (40m)</t>
  </si>
  <si>
    <t>Slope (10m)</t>
  </si>
  <si>
    <t>Relief (40m)</t>
  </si>
  <si>
    <t>Relief (20m)</t>
  </si>
  <si>
    <t>Slope (60m)</t>
  </si>
  <si>
    <t>Relief (100m)</t>
  </si>
  <si>
    <t>Slope (100m)</t>
  </si>
  <si>
    <t>Slope (200m)</t>
  </si>
  <si>
    <t>Slope (300m)</t>
  </si>
  <si>
    <t>max</t>
  </si>
  <si>
    <t>min</t>
  </si>
  <si>
    <t>point</t>
  </si>
  <si>
    <t>LC2.4</t>
  </si>
  <si>
    <t>LC2.7</t>
  </si>
  <si>
    <t>to all data</t>
  </si>
  <si>
    <t>LC2.8</t>
  </si>
  <si>
    <t>LC2.9</t>
  </si>
  <si>
    <t>LC201</t>
  </si>
  <si>
    <t>LC202</t>
  </si>
  <si>
    <t>LC203</t>
  </si>
  <si>
    <t>LC204.5</t>
  </si>
  <si>
    <t>LC205</t>
  </si>
  <si>
    <t>LC206</t>
  </si>
  <si>
    <t>LC207</t>
  </si>
  <si>
    <t>LC209.5</t>
  </si>
  <si>
    <t>2.8.5</t>
  </si>
  <si>
    <t>LC119</t>
  </si>
  <si>
    <t>red</t>
  </si>
  <si>
    <t>missing</t>
  </si>
  <si>
    <t>orange</t>
  </si>
  <si>
    <t>incomplete</t>
  </si>
  <si>
    <t>yellow</t>
  </si>
  <si>
    <t>off map</t>
  </si>
  <si>
    <t>Relief (200m)</t>
  </si>
  <si>
    <t>Relief (300m)</t>
  </si>
  <si>
    <t>Relief (10m)</t>
  </si>
  <si>
    <t>volumne (m^3)</t>
  </si>
  <si>
    <t>LC504(5.2)</t>
  </si>
  <si>
    <t>LC501)(5.3)</t>
  </si>
  <si>
    <t>LC506r</t>
  </si>
  <si>
    <t>Relief (500m)</t>
  </si>
  <si>
    <t>carb</t>
  </si>
  <si>
    <t>ss</t>
  </si>
  <si>
    <t>avg</t>
  </si>
  <si>
    <t>sd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</si>
  <si>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</si>
  <si>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</si>
  <si>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</si>
  <si>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</si>
  <si>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</si>
  <si>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</si>
  <si>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</si>
  <si>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</si>
  <si>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</si>
  <si>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</si>
  <si>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</si>
  <si>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</si>
  <si>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</si>
  <si>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</si>
  <si>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shape factor (nicole)</t>
  </si>
  <si>
    <t>VOLUME</t>
  </si>
  <si>
    <t>t-Test: Two-Sample Assuming Unequal Variances</t>
  </si>
  <si>
    <t>A axis</t>
  </si>
  <si>
    <t>B axis</t>
  </si>
  <si>
    <t>C axis</t>
  </si>
  <si>
    <t>stdev carb</t>
  </si>
  <si>
    <t>stdev ss</t>
  </si>
  <si>
    <t>average=</t>
  </si>
  <si>
    <t>shape factor (laurent)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</si>
</sst>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8" xfId="0" applyBorder="1"/>
    <xf numFmtId="0" fontId="0" fillId="12" borderId="8" xfId="0" applyFill="1" applyBorder="1"/>
    <xf numFmtId="0" fontId="0" fillId="13" borderId="0" xfId="0" applyFill="1"/>
    <xf numFmtId="0" fontId="0" fillId="4" borderId="8" xfId="0" applyFill="1" applyBorder="1"/>
    <xf numFmtId="0" fontId="0" fillId="14" borderId="0" xfId="0" applyFill="1"/>
    <xf numFmtId="0" fontId="1" fillId="6" borderId="6" xfId="0" applyFont="1" applyFill="1" applyBorder="1"/>
    <xf numFmtId="0" fontId="1" fillId="6" borderId="7" xfId="0" applyFont="1" applyFill="1" applyBorder="1"/>
    <xf numFmtId="0" fontId="0" fillId="6" borderId="7" xfId="0" applyFill="1" applyBorder="1"/>
    <xf numFmtId="0" fontId="1" fillId="6" borderId="0" xfId="0" applyFont="1" applyFill="1"/>
    <xf numFmtId="0" fontId="0" fillId="11" borderId="9" xfId="0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6" borderId="9" xfId="0" applyFill="1" applyBorder="1"/>
    <xf numFmtId="0" fontId="0" fillId="12" borderId="9" xfId="0" applyFill="1" applyBorder="1"/>
    <xf numFmtId="0" fontId="0" fillId="6" borderId="12" xfId="0" applyFill="1" applyBorder="1"/>
    <xf numFmtId="0" fontId="0" fillId="2" borderId="9" xfId="0" applyFill="1" applyBorder="1"/>
    <xf numFmtId="0" fontId="0" fillId="13" borderId="9" xfId="0" applyFill="1" applyBorder="1"/>
    <xf numFmtId="0" fontId="1" fillId="15" borderId="4" xfId="0" applyFont="1" applyFill="1" applyBorder="1"/>
    <xf numFmtId="0" fontId="1" fillId="15" borderId="0" xfId="0" applyFont="1" applyFill="1"/>
    <xf numFmtId="0" fontId="1" fillId="15" borderId="5" xfId="0" applyFont="1" applyFill="1" applyBorder="1"/>
    <xf numFmtId="0" fontId="1" fillId="15" borderId="6" xfId="0" applyFont="1" applyFill="1" applyBorder="1"/>
    <xf numFmtId="0" fontId="0" fillId="15" borderId="0" xfId="0" applyFill="1"/>
    <xf numFmtId="0" fontId="0" fillId="15" borderId="5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10" xfId="0" applyFill="1" applyBorder="1"/>
    <xf numFmtId="0" fontId="0" fillId="15" borderId="9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6" borderId="4" xfId="0" applyFill="1" applyBorder="1"/>
    <xf numFmtId="0" fontId="0" fillId="16" borderId="0" xfId="0" applyFill="1"/>
    <xf numFmtId="0" fontId="0" fillId="16" borderId="5" xfId="0" applyFill="1" applyBorder="1"/>
    <xf numFmtId="0" fontId="0" fillId="16" borderId="7" xfId="0" applyFill="1" applyBorder="1"/>
    <xf numFmtId="0" fontId="0" fillId="16" borderId="10" xfId="0" applyFill="1" applyBorder="1"/>
    <xf numFmtId="0" fontId="0" fillId="16" borderId="9" xfId="0" applyFill="1" applyBorder="1"/>
    <xf numFmtId="0" fontId="0" fillId="16" borderId="11" xfId="0" applyFill="1" applyBorder="1"/>
    <xf numFmtId="0" fontId="0" fillId="16" borderId="12" xfId="0" applyFill="1" applyBorder="1"/>
    <xf numFmtId="0" fontId="2" fillId="0" borderId="13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zoomScale="52" zoomScaleNormal="52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25" sqref="I25"/>
    </sheetView>
  </sheetViews>
  <sheetFormatPr defaultRowHeight="14.4" x14ac:dyDescent="0.3"/>
  <cols>
    <col min="1" max="1" width="11.44140625" bestFit="1" customWidth="1"/>
    <col min="2" max="2" width="12.21875" style="4" customWidth="1"/>
    <col min="3" max="3" width="14.5546875" bestFit="1" customWidth="1"/>
    <col min="4" max="4" width="18.5546875" bestFit="1" customWidth="1"/>
    <col min="5" max="5" width="15.21875" style="5" bestFit="1" customWidth="1"/>
    <col min="6" max="10" width="20" customWidth="1"/>
    <col min="11" max="12" width="20" style="11" customWidth="1"/>
    <col min="13" max="13" width="14.77734375" bestFit="1" customWidth="1"/>
    <col min="14" max="16" width="15.21875" bestFit="1" customWidth="1"/>
    <col min="17" max="17" width="15.21875" customWidth="1"/>
    <col min="18" max="18" width="16.44140625" bestFit="1" customWidth="1"/>
    <col min="19" max="19" width="16.44140625" style="11" customWidth="1"/>
    <col min="20" max="20" width="11.44140625" style="25" bestFit="1" customWidth="1"/>
  </cols>
  <sheetData>
    <row r="1" spans="1:20" s="6" customFormat="1" x14ac:dyDescent="0.3">
      <c r="B1" s="57" t="s">
        <v>69</v>
      </c>
      <c r="C1" s="58"/>
      <c r="D1" s="58"/>
      <c r="E1" s="59"/>
      <c r="F1" s="58" t="s">
        <v>0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23" t="s">
        <v>5</v>
      </c>
    </row>
    <row r="2" spans="1:20" s="2" customFormat="1" x14ac:dyDescent="0.3">
      <c r="A2" s="2" t="s">
        <v>4</v>
      </c>
      <c r="B2" s="1" t="s">
        <v>1</v>
      </c>
      <c r="C2" s="2" t="s">
        <v>2</v>
      </c>
      <c r="D2" s="2" t="s">
        <v>3</v>
      </c>
      <c r="E2" s="3" t="s">
        <v>107</v>
      </c>
      <c r="F2" s="2" t="s">
        <v>106</v>
      </c>
      <c r="G2" s="2" t="s">
        <v>74</v>
      </c>
      <c r="H2" s="2" t="s">
        <v>73</v>
      </c>
      <c r="I2" s="2" t="s">
        <v>76</v>
      </c>
      <c r="J2" s="2" t="s">
        <v>104</v>
      </c>
      <c r="K2" s="26" t="s">
        <v>105</v>
      </c>
      <c r="L2" s="26" t="s">
        <v>111</v>
      </c>
      <c r="M2" s="2" t="s">
        <v>72</v>
      </c>
      <c r="N2" s="2" t="s">
        <v>70</v>
      </c>
      <c r="O2" s="2" t="s">
        <v>71</v>
      </c>
      <c r="P2" s="2" t="s">
        <v>75</v>
      </c>
      <c r="Q2" s="2" t="s">
        <v>77</v>
      </c>
      <c r="R2" s="2" t="s">
        <v>78</v>
      </c>
      <c r="S2" s="26" t="s">
        <v>79</v>
      </c>
      <c r="T2" s="24"/>
    </row>
    <row r="3" spans="1:20" x14ac:dyDescent="0.3">
      <c r="A3" s="16" t="str">
        <f>lith_data!A2</f>
        <v>LC115</v>
      </c>
      <c r="B3">
        <v>229</v>
      </c>
      <c r="C3">
        <v>195</v>
      </c>
      <c r="D3" s="5">
        <v>130</v>
      </c>
      <c r="E3" s="5">
        <f>(B3/100*C3/100*D3/100)</f>
        <v>5.8051500000000011</v>
      </c>
      <c r="G3">
        <f>1539.73-1531.68</f>
        <v>8.0499999999999545</v>
      </c>
      <c r="H3">
        <f>1548.2-1531.48</f>
        <v>16.720000000000027</v>
      </c>
      <c r="I3">
        <f>1573.58-1529.76</f>
        <v>43.819999999999936</v>
      </c>
      <c r="J3">
        <f>1608.07-1525.71</f>
        <v>82.3599999999999</v>
      </c>
      <c r="K3" s="11">
        <f>1627.26-1518.83</f>
        <v>108.43000000000006</v>
      </c>
      <c r="L3" s="11">
        <f>1647.56-1508.8</f>
        <v>138.76</v>
      </c>
      <c r="M3">
        <f>(for_calcs!B22-for_calcs!C22)/for_calcs!T4</f>
        <v>7.999999999999545E-2</v>
      </c>
      <c r="N3">
        <f>(for_calcs!D22-for_calcs!E22)/for_calcs!U4</f>
        <v>0.12899999999999637</v>
      </c>
      <c r="O3">
        <f>(for_calcs!F22-for_calcs!G22)/for_calcs!V4</f>
        <v>8.2499999999998866E-2</v>
      </c>
      <c r="P3">
        <f>(for_calcs!H22-for_calcs!I22)/for_calcs!W4</f>
        <v>7.2666666666665006E-2</v>
      </c>
      <c r="Q3">
        <f>(for_calcs!J22-for_calcs!K22)/for_calcs!X4</f>
        <v>5.9100000000000819E-2</v>
      </c>
      <c r="R3">
        <f>(for_calcs!L22-for_calcs!M22)/for_calcs!Y4</f>
        <v>8.4950000000000039E-2</v>
      </c>
      <c r="S3" s="11">
        <f>(for_calcs!N22-for_calcs!O22)/for_calcs!Z4</f>
        <v>8.4933333333333388E-2</v>
      </c>
      <c r="T3" s="25">
        <f>lith_data!E2</f>
        <v>78.839590443685921</v>
      </c>
    </row>
    <row r="4" spans="1:20" x14ac:dyDescent="0.3">
      <c r="A4" s="16" t="str">
        <f>lith_data!A3</f>
        <v>LC116</v>
      </c>
      <c r="B4">
        <v>264</v>
      </c>
      <c r="C4">
        <v>165</v>
      </c>
      <c r="D4" s="5">
        <v>43</v>
      </c>
      <c r="E4" s="5">
        <f t="shared" ref="E4:E60" si="0">(B4/100*C4/100*D4/100)</f>
        <v>1.8730799999999999</v>
      </c>
      <c r="G4">
        <f>1542.21-1536.65</f>
        <v>5.5599999999999454</v>
      </c>
      <c r="H4">
        <f>1552.32-1535.09</f>
        <v>17.230000000000018</v>
      </c>
      <c r="I4">
        <f>1570.52-1533.56</f>
        <v>36.960000000000036</v>
      </c>
      <c r="J4">
        <f>1604.21-1529.76</f>
        <v>74.450000000000045</v>
      </c>
      <c r="K4" s="11">
        <f>1628.92-1527.28</f>
        <v>101.6400000000001</v>
      </c>
      <c r="L4" s="11">
        <f>1649.11-1512.49</f>
        <v>136.61999999999989</v>
      </c>
      <c r="M4">
        <f>(for_calcs!B23-for_calcs!C23)/for_calcs!T5</f>
        <v>8.9000000000010002E-2</v>
      </c>
      <c r="N4">
        <f>(for_calcs!D23-for_calcs!E23)/for_calcs!U5</f>
        <v>-2.1000000000003637E-2</v>
      </c>
      <c r="O4">
        <f>(for_calcs!F23-for_calcs!G23)/for_calcs!V5</f>
        <v>3.7499999999999999E-2</v>
      </c>
      <c r="P4">
        <f>(for_calcs!H23-for_calcs!I23)/for_calcs!W5</f>
        <v>7.1666666666665907E-2</v>
      </c>
      <c r="Q4">
        <f>(for_calcs!J23-for_calcs!K23)/for_calcs!X5</f>
        <v>8.0800000000001551E-2</v>
      </c>
      <c r="R4">
        <f>(for_calcs!L23-for_calcs!M23)/for_calcs!Y5</f>
        <v>9.1449999999999823E-2</v>
      </c>
      <c r="S4" s="11">
        <f>(for_calcs!N23-for_calcs!O23)/for_calcs!Z5</f>
        <v>8.6699999999999972E-2</v>
      </c>
      <c r="T4" s="25">
        <f>lith_data!E3</f>
        <v>22.589052997393711</v>
      </c>
    </row>
    <row r="5" spans="1:20" x14ac:dyDescent="0.3">
      <c r="A5" s="16" t="str">
        <f>lith_data!A4</f>
        <v>LC117</v>
      </c>
      <c r="B5" s="4">
        <v>168</v>
      </c>
      <c r="C5">
        <v>137</v>
      </c>
      <c r="D5">
        <v>24</v>
      </c>
      <c r="E5" s="5">
        <f t="shared" si="0"/>
        <v>0.55238399999999999</v>
      </c>
      <c r="G5">
        <f>1550.41-1545.38</f>
        <v>5.0299999999999727</v>
      </c>
      <c r="H5">
        <f>1556.6-1542.02</f>
        <v>14.579999999999927</v>
      </c>
      <c r="I5">
        <f>1574.34-1538.9</f>
        <v>35.439999999999827</v>
      </c>
      <c r="J5">
        <f>1600.65-1534.1</f>
        <v>66.550000000000182</v>
      </c>
      <c r="K5" s="11">
        <f>1630.42-1530.74</f>
        <v>99.680000000000064</v>
      </c>
      <c r="L5" s="11">
        <f>1653.18-1521.99</f>
        <v>131.19000000000005</v>
      </c>
      <c r="M5">
        <f>(for_calcs!B24-for_calcs!C24)/for_calcs!T6</f>
        <v>-0.25199999999999817</v>
      </c>
      <c r="N5">
        <f>(for_calcs!D24-for_calcs!E24)/for_calcs!U6</f>
        <v>0.21750000000000683</v>
      </c>
      <c r="O5">
        <f>(for_calcs!F24-for_calcs!G24)/for_calcs!V6</f>
        <v>0.12400000000000092</v>
      </c>
      <c r="P5">
        <f>(for_calcs!H24-for_calcs!I24)/for_calcs!W6</f>
        <v>9.8166666666668331E-2</v>
      </c>
      <c r="Q5">
        <f>(for_calcs!J24-for_calcs!K24)/for_calcs!X6</f>
        <v>0.11970000000000028</v>
      </c>
      <c r="R5">
        <f>(for_calcs!L24-for_calcs!M24)/for_calcs!Y6</f>
        <v>9.2949999999999589E-2</v>
      </c>
      <c r="S5" s="11">
        <f>(for_calcs!N24-for_calcs!O24)/for_calcs!Z6</f>
        <v>9.6500000000000155E-2</v>
      </c>
      <c r="T5" s="25">
        <f>lith_data!E4</f>
        <v>3.464467005076266</v>
      </c>
    </row>
    <row r="6" spans="1:20" x14ac:dyDescent="0.3">
      <c r="A6" s="16" t="str">
        <f>lith_data!A5</f>
        <v>LC118</v>
      </c>
      <c r="B6" s="4">
        <v>117</v>
      </c>
      <c r="C6">
        <v>64</v>
      </c>
      <c r="D6">
        <v>36</v>
      </c>
      <c r="E6" s="5">
        <f t="shared" si="0"/>
        <v>0.26956799999999997</v>
      </c>
      <c r="G6">
        <f>1560.25-1558.01</f>
        <v>2.2400000000000091</v>
      </c>
      <c r="H6">
        <f>1564.99-1556.7</f>
        <v>8.2899999999999636</v>
      </c>
      <c r="I6">
        <f>1586.8-1553.98</f>
        <v>32.819999999999936</v>
      </c>
      <c r="J6">
        <f>1617.28-1548.53</f>
        <v>68.75</v>
      </c>
      <c r="K6" s="11">
        <f>1648.08-1542.02</f>
        <v>106.05999999999995</v>
      </c>
      <c r="L6" s="11">
        <f>1664.4-1531.48</f>
        <v>132.92000000000007</v>
      </c>
      <c r="M6">
        <f>(for_calcs!B25-for_calcs!C25)/for_calcs!T7</f>
        <v>-1.5999999999985449E-2</v>
      </c>
      <c r="N6">
        <f>(for_calcs!D25-for_calcs!E25)/for_calcs!U7</f>
        <v>7.1500000000003186E-2</v>
      </c>
      <c r="O6">
        <f>(for_calcs!F25-for_calcs!G25)/for_calcs!V7</f>
        <v>0.13199999999999931</v>
      </c>
      <c r="P6">
        <f>(for_calcs!H25-for_calcs!I25)/for_calcs!W7</f>
        <v>0.11449999999999819</v>
      </c>
      <c r="Q6">
        <f>(for_calcs!J25-for_calcs!K25)/for_calcs!X7</f>
        <v>0.13610000000000128</v>
      </c>
      <c r="R6">
        <f>(for_calcs!L25-for_calcs!M25)/for_calcs!Y7</f>
        <v>0.1261500000000001</v>
      </c>
      <c r="S6" s="11">
        <f>(for_calcs!N25-for_calcs!O25)/for_calcs!Z7</f>
        <v>0.14376666666666704</v>
      </c>
      <c r="T6" s="25">
        <f>lith_data!E5</f>
        <v>58.991825613079364</v>
      </c>
    </row>
    <row r="7" spans="1:20" x14ac:dyDescent="0.3">
      <c r="A7" s="16" t="str">
        <f>lith_data!A6</f>
        <v>LC119 or 125</v>
      </c>
      <c r="B7" s="4">
        <v>137</v>
      </c>
      <c r="C7">
        <v>132</v>
      </c>
      <c r="D7">
        <v>28</v>
      </c>
      <c r="E7" s="5">
        <f t="shared" si="0"/>
        <v>0.50635200000000002</v>
      </c>
      <c r="G7">
        <f>1574.46-1570.88</f>
        <v>3.5799999999999272</v>
      </c>
      <c r="H7">
        <f>1581.78-1570.88</f>
        <v>10.899999999999864</v>
      </c>
      <c r="I7">
        <f>1608.69-1564.47</f>
        <v>44.220000000000027</v>
      </c>
      <c r="J7">
        <f>1645.74-1558.73</f>
        <v>87.009999999999991</v>
      </c>
      <c r="K7" s="11">
        <f>1660.41-1553.98</f>
        <v>106.43000000000006</v>
      </c>
      <c r="L7" s="11">
        <f>1666.51-1540.95</f>
        <v>125.55999999999995</v>
      </c>
      <c r="M7">
        <f>(for_calcs!B26-for_calcs!C26)/for_calcs!T8</f>
        <v>0.23900000000001001</v>
      </c>
      <c r="N7">
        <f>(for_calcs!D26-for_calcs!E26)/for_calcs!U8</f>
        <v>0.23400000000000318</v>
      </c>
      <c r="O7">
        <f>(for_calcs!F26-for_calcs!G26)/for_calcs!V8</f>
        <v>0.19574999999999818</v>
      </c>
      <c r="P7">
        <f>(for_calcs!H26-for_calcs!I26)/for_calcs!W8</f>
        <v>0.12083333333333333</v>
      </c>
      <c r="Q7">
        <f>(for_calcs!J26-for_calcs!K26)/for_calcs!X8</f>
        <v>0.14779999999999974</v>
      </c>
      <c r="R7">
        <f>(for_calcs!L26-for_calcs!M26)/for_calcs!Y8</f>
        <v>0.15470000000000028</v>
      </c>
      <c r="S7" s="11">
        <f>(for_calcs!N26-for_calcs!O26)/for_calcs!Z8</f>
        <v>0.16143333333333354</v>
      </c>
      <c r="T7" s="25">
        <f>lith_data!E6</f>
        <v>90.455941412709421</v>
      </c>
    </row>
    <row r="8" spans="1:20" x14ac:dyDescent="0.3">
      <c r="A8" s="16" t="str">
        <f>lith_data!A7</f>
        <v>LC121</v>
      </c>
      <c r="B8" s="4">
        <v>156</v>
      </c>
      <c r="C8">
        <v>97</v>
      </c>
      <c r="D8">
        <v>38</v>
      </c>
      <c r="E8" s="5">
        <f t="shared" si="0"/>
        <v>0.57501599999999997</v>
      </c>
      <c r="G8">
        <f>1595.38-1590.46</f>
        <v>4.9200000000000728</v>
      </c>
      <c r="H8">
        <f>1601.16-1584.85</f>
        <v>16.310000000000173</v>
      </c>
      <c r="I8">
        <f>1629.98-1579.14</f>
        <v>50.839999999999918</v>
      </c>
      <c r="J8">
        <f>1655.15-1570.88</f>
        <v>84.269999999999982</v>
      </c>
      <c r="K8" s="11">
        <f>1662.98-1562.97</f>
        <v>100.00999999999999</v>
      </c>
      <c r="L8" s="11">
        <f>1671.24-1553.3</f>
        <v>117.94000000000005</v>
      </c>
      <c r="M8">
        <f>(for_calcs!B27-for_calcs!C27)/for_calcs!T9</f>
        <v>0.26299999999998819</v>
      </c>
      <c r="N8">
        <f>(for_calcs!D27-for_calcs!E27)/for_calcs!U9</f>
        <v>0.12450000000000046</v>
      </c>
      <c r="O8">
        <f>(for_calcs!F27-for_calcs!G27)/for_calcs!V9</f>
        <v>0.16099999999999567</v>
      </c>
      <c r="P8">
        <f>(for_calcs!H27-for_calcs!I27)/for_calcs!W9</f>
        <v>0.1841666666666659</v>
      </c>
      <c r="Q8">
        <f>(for_calcs!J27-for_calcs!K27)/for_calcs!X9</f>
        <v>0.15330000000000155</v>
      </c>
      <c r="R8">
        <f>(for_calcs!L27-for_calcs!M27)/for_calcs!Y9</f>
        <v>0.17125000000000001</v>
      </c>
      <c r="S8" s="11">
        <f>(for_calcs!N27-for_calcs!O27)/for_calcs!Z9</f>
        <v>0.17953333333333299</v>
      </c>
      <c r="T8" s="25">
        <f>lith_data!E7</f>
        <v>99.682323576128979</v>
      </c>
    </row>
    <row r="9" spans="1:20" x14ac:dyDescent="0.3">
      <c r="A9" s="16" t="str">
        <f>lith_data!A8</f>
        <v>LC122</v>
      </c>
      <c r="B9" s="4">
        <v>401</v>
      </c>
      <c r="C9">
        <v>208</v>
      </c>
      <c r="D9">
        <v>74</v>
      </c>
      <c r="E9" s="5">
        <f t="shared" si="0"/>
        <v>6.1721919999999999</v>
      </c>
      <c r="G9">
        <f>1604.85-1598.37</f>
        <v>6.4800000000000182</v>
      </c>
      <c r="H9">
        <f>1616.69-1594.65</f>
        <v>22.039999999999964</v>
      </c>
      <c r="I9">
        <f>1644.62-1590.45</f>
        <v>54.169999999999845</v>
      </c>
      <c r="J9">
        <f>1660.62-1581.59</f>
        <v>79.029999999999973</v>
      </c>
      <c r="K9" s="11">
        <f>1666.19-1574.79</f>
        <v>91.400000000000091</v>
      </c>
      <c r="L9" s="11">
        <f>1675.77-1558.73</f>
        <v>117.03999999999996</v>
      </c>
      <c r="M9">
        <f>(for_calcs!B28-for_calcs!C28)/for_calcs!T10</f>
        <v>0.23499999999999091</v>
      </c>
      <c r="N9">
        <f>(for_calcs!D28-for_calcs!E28)/for_calcs!U10</f>
        <v>0.19700000000000273</v>
      </c>
      <c r="O9">
        <f>(for_calcs!F28-for_calcs!G28)/for_calcs!V10</f>
        <v>0.23075000000000045</v>
      </c>
      <c r="P9">
        <f>(for_calcs!H28-for_calcs!I28)/for_calcs!W10</f>
        <v>0.20949999999999894</v>
      </c>
      <c r="Q9">
        <f>(for_calcs!J28-for_calcs!K28)/for_calcs!X10</f>
        <v>0.17990000000000009</v>
      </c>
      <c r="R9">
        <f>(for_calcs!L28-for_calcs!M28)/for_calcs!Y10</f>
        <v>0.19935000000000058</v>
      </c>
      <c r="S9" s="11">
        <f>(for_calcs!N28-for_calcs!O28)/for_calcs!Z10</f>
        <v>0.17816666666666681</v>
      </c>
      <c r="T9" s="25">
        <f>lith_data!E8</f>
        <v>99.911504424778343</v>
      </c>
    </row>
    <row r="10" spans="1:20" x14ac:dyDescent="0.3">
      <c r="A10" s="16" t="str">
        <f>lith_data!A9</f>
        <v>LC123</v>
      </c>
      <c r="B10" s="4">
        <v>201</v>
      </c>
      <c r="C10">
        <v>99</v>
      </c>
      <c r="D10">
        <v>55</v>
      </c>
      <c r="E10" s="5">
        <f t="shared" si="0"/>
        <v>1.0944449999999999</v>
      </c>
      <c r="G10">
        <f>1613.5-1608.29</f>
        <v>5.2100000000000364</v>
      </c>
      <c r="H10">
        <f>1621.54-1608.29</f>
        <v>13.25</v>
      </c>
      <c r="I10">
        <f>1650.22-1602.81</f>
        <v>47.410000000000082</v>
      </c>
      <c r="J10">
        <f>1663.27-1594.65</f>
        <v>68.619999999999891</v>
      </c>
      <c r="K10" s="11">
        <f>1668.78-1588.32</f>
        <v>80.460000000000036</v>
      </c>
      <c r="L10" s="11">
        <f>1678.43-1572.23</f>
        <v>106.20000000000005</v>
      </c>
      <c r="M10">
        <f>(for_calcs!B29-for_calcs!C29)/for_calcs!T11</f>
        <v>-6.7000000000007276E-2</v>
      </c>
      <c r="N10">
        <f>(for_calcs!D29-for_calcs!E29)/for_calcs!U11</f>
        <v>4.8500000000001361E-2</v>
      </c>
      <c r="O10">
        <f>(for_calcs!F29-for_calcs!G29)/for_calcs!V11</f>
        <v>-3.9249999999998411E-2</v>
      </c>
      <c r="P10">
        <f>(for_calcs!H29-for_calcs!I29)/for_calcs!W11</f>
        <v>5.2666666666668034E-2</v>
      </c>
      <c r="Q10">
        <f>(for_calcs!J29-for_calcs!K29)/for_calcs!X11</f>
        <v>0.18650000000000092</v>
      </c>
      <c r="R10">
        <f>(for_calcs!L29-for_calcs!M29)/for_calcs!Y11</f>
        <v>0.11595000000000028</v>
      </c>
      <c r="S10" s="11">
        <f>(for_calcs!N29-for_calcs!O29)/for_calcs!Z11</f>
        <v>0.13220000000000026</v>
      </c>
      <c r="T10" s="25">
        <f>lith_data!E9</f>
        <v>99.01661580196641</v>
      </c>
    </row>
    <row r="11" spans="1:20" x14ac:dyDescent="0.3">
      <c r="A11" s="16" t="str">
        <f>lith_data!A10</f>
        <v>LC124</v>
      </c>
      <c r="B11" s="4">
        <v>69</v>
      </c>
      <c r="C11">
        <v>46</v>
      </c>
      <c r="D11">
        <v>36</v>
      </c>
      <c r="E11" s="5">
        <f t="shared" si="0"/>
        <v>0.11426399999999999</v>
      </c>
      <c r="G11">
        <f>1624.33-1619.55</f>
        <v>4.7799999999999727</v>
      </c>
      <c r="H11">
        <f>1635.62-1618.04</f>
        <v>17.579999999999927</v>
      </c>
      <c r="I11">
        <f>1653.84-1609.84</f>
        <v>44</v>
      </c>
      <c r="J11">
        <f>1664.8-1602.81</f>
        <v>61.990000000000009</v>
      </c>
      <c r="K11" s="11">
        <f>1670.23-1594.65</f>
        <v>75.579999999999927</v>
      </c>
      <c r="L11" s="11">
        <f>1679.7-1580.39</f>
        <v>99.309999999999945</v>
      </c>
      <c r="M11">
        <f>(for_calcs!B30-for_calcs!C30)/for_calcs!T12</f>
        <v>0.39300000000000634</v>
      </c>
      <c r="N11">
        <f>(for_calcs!D30-for_calcs!E30)/for_calcs!U12</f>
        <v>0.15900000000000319</v>
      </c>
      <c r="O11">
        <f>(for_calcs!F30-for_calcs!G30)/for_calcs!V12</f>
        <v>0.10300000000000295</v>
      </c>
      <c r="P11">
        <f>(for_calcs!H30-for_calcs!I30)/for_calcs!W12</f>
        <v>8.6833333333330154E-2</v>
      </c>
      <c r="Q11">
        <f>(for_calcs!J30-for_calcs!K30)/for_calcs!X12</f>
        <v>9.4499999999998183E-2</v>
      </c>
      <c r="R11">
        <f>(for_calcs!L30-for_calcs!M30)/for_calcs!Y12</f>
        <v>0.15455000000000041</v>
      </c>
      <c r="S11" s="11">
        <f>(for_calcs!N30-for_calcs!O30)/for_calcs!Z12</f>
        <v>0.12369999999999967</v>
      </c>
      <c r="T11" s="25">
        <f>lith_data!E10</f>
        <v>99.05394524959749</v>
      </c>
    </row>
    <row r="12" spans="1:20" s="29" customFormat="1" x14ac:dyDescent="0.3">
      <c r="A12" s="27" t="str">
        <f>lith_data!A11</f>
        <v>LC126</v>
      </c>
      <c r="B12" s="28">
        <v>117</v>
      </c>
      <c r="C12" s="29">
        <v>102</v>
      </c>
      <c r="D12" s="29">
        <v>23</v>
      </c>
      <c r="E12" s="30">
        <f t="shared" si="0"/>
        <v>0.27448199999999995</v>
      </c>
      <c r="G12" s="29">
        <f>1650.57-1645.71</f>
        <v>4.8599999999999</v>
      </c>
      <c r="H12" s="29">
        <f>1654.61-1644.42</f>
        <v>10.189999999999827</v>
      </c>
      <c r="I12" s="29">
        <f>1662.61-1642.23</f>
        <v>20.379999999999882</v>
      </c>
      <c r="J12" s="29">
        <f>1675.14-1638.83</f>
        <v>36.310000000000173</v>
      </c>
      <c r="K12" s="31">
        <f>1678.35-1632.94</f>
        <v>45.409999999999854</v>
      </c>
      <c r="L12" s="31">
        <f>1686.32-1619.55</f>
        <v>66.769999999999982</v>
      </c>
      <c r="M12" s="29">
        <f>(for_calcs!B31-for_calcs!C31)/for_calcs!T13</f>
        <v>-2.6999999999998182E-2</v>
      </c>
      <c r="N12" s="29">
        <f>(for_calcs!D31-for_calcs!E31)/for_calcs!U13</f>
        <v>-2.1000000000003637E-2</v>
      </c>
      <c r="O12" s="29">
        <f>(for_calcs!F31-for_calcs!G31)/for_calcs!V13</f>
        <v>3.7499999999999999E-2</v>
      </c>
      <c r="P12" s="29">
        <f>(for_calcs!H31-for_calcs!I31)/for_calcs!W13</f>
        <v>9.7333333333331967E-2</v>
      </c>
      <c r="Q12" s="32"/>
      <c r="R12" s="32"/>
      <c r="S12" s="32"/>
      <c r="T12" s="33">
        <f>lith_data!E11</f>
        <v>98.530762167125644</v>
      </c>
    </row>
    <row r="13" spans="1:20" x14ac:dyDescent="0.3">
      <c r="A13" s="7" t="str">
        <f>lith_data!A12</f>
        <v>LC2.8.5</v>
      </c>
      <c r="B13" s="4">
        <v>122</v>
      </c>
      <c r="C13">
        <v>81</v>
      </c>
      <c r="D13">
        <v>46</v>
      </c>
      <c r="E13" s="5">
        <f t="shared" si="0"/>
        <v>0.45457199999999998</v>
      </c>
      <c r="G13">
        <f>1604.3-1602.08</f>
        <v>2.2200000000000273</v>
      </c>
      <c r="H13">
        <f>1611.86-1589.74</f>
        <v>22.119999999999891</v>
      </c>
      <c r="I13">
        <f>1629.62-1589.5</f>
        <v>40.119999999999891</v>
      </c>
      <c r="J13">
        <f>1665.65-1580.03</f>
        <v>85.620000000000118</v>
      </c>
      <c r="K13" s="11">
        <f>1677.01-1568.67</f>
        <v>108.33999999999992</v>
      </c>
      <c r="L13" s="11">
        <f>1688.08-1552.39</f>
        <v>135.68999999999983</v>
      </c>
      <c r="M13">
        <f>(for_calcs!B16-for_calcs!C16)/for_calcs!B2</f>
        <v>7.3000000000001813E-2</v>
      </c>
      <c r="N13">
        <f>(for_calcs!D16-for_calcs!E16)/for_calcs!D2</f>
        <v>0.20350000000000817</v>
      </c>
      <c r="O13">
        <f>(for_calcs!F16-for_calcs!G16)/for_calcs!F2</f>
        <v>0.18799999999999956</v>
      </c>
      <c r="P13">
        <f>(for_calcs!H16-for_calcs!I16)/for_calcs!H2</f>
        <v>0.2236666666666641</v>
      </c>
      <c r="Q13">
        <f>(for_calcs!J16-for_calcs!K16)/for_calcs!J2</f>
        <v>0.22359999999999899</v>
      </c>
      <c r="R13">
        <f>(for_calcs!L16-for_calcs!M16)/for_calcs!L2</f>
        <v>0.20424999999999954</v>
      </c>
      <c r="S13" s="11">
        <f>(for_calcs!N16-for_calcs!O16)/for_calcs!N2</f>
        <v>0.22320000000000012</v>
      </c>
      <c r="T13" s="25">
        <f>lith_data!E12</f>
        <v>96.114195083266736</v>
      </c>
    </row>
    <row r="14" spans="1:20" x14ac:dyDescent="0.3">
      <c r="A14" s="7" t="str">
        <f>lith_data!A13</f>
        <v>LC208.5</v>
      </c>
      <c r="B14" s="4">
        <v>170</v>
      </c>
      <c r="C14">
        <v>91</v>
      </c>
      <c r="D14">
        <v>28</v>
      </c>
      <c r="E14" s="5">
        <f t="shared" si="0"/>
        <v>0.43315999999999993</v>
      </c>
      <c r="G14">
        <f>1582.69-1570.55</f>
        <v>12.1400000000001</v>
      </c>
      <c r="H14">
        <f>1593.28-1570.55</f>
        <v>22.730000000000018</v>
      </c>
      <c r="I14">
        <f>1615.09-1562.62</f>
        <v>52.470000000000027</v>
      </c>
      <c r="J14">
        <f>1648.24-1556.86</f>
        <v>91.380000000000109</v>
      </c>
      <c r="K14" s="11">
        <f>1664.48-1549.4</f>
        <v>115.07999999999993</v>
      </c>
      <c r="L14" s="11">
        <f>1682.19-1533.55</f>
        <v>148.6400000000001</v>
      </c>
      <c r="M14">
        <f>(for_calcs!B17-for_calcs!C17)/for_calcs!B2</f>
        <v>0.19700000000000273</v>
      </c>
      <c r="N14">
        <f>(for_calcs!D17-for_calcs!E17)/for_calcs!D2</f>
        <v>0.16949999999999363</v>
      </c>
      <c r="O14">
        <f>(for_calcs!F17-for_calcs!G17)/for_calcs!F2</f>
        <v>0.20299999999999727</v>
      </c>
      <c r="P14">
        <f>(for_calcs!H17-for_calcs!I17)/for_calcs!H2</f>
        <v>0.16866666666666486</v>
      </c>
      <c r="Q14">
        <f>(for_calcs!J17-for_calcs!K17)/for_calcs!J2</f>
        <v>0.18819999999999937</v>
      </c>
      <c r="R14">
        <f>(for_calcs!L17-for_calcs!M17)/for_calcs!L2</f>
        <v>0.18644999999999981</v>
      </c>
      <c r="S14" s="11">
        <f>(for_calcs!N17-for_calcs!O17)/for_calcs!N2</f>
        <v>0.19863333333333305</v>
      </c>
      <c r="T14" s="25">
        <f>lith_data!E13</f>
        <v>95.520104895104936</v>
      </c>
    </row>
    <row r="15" spans="1:20" x14ac:dyDescent="0.3">
      <c r="A15" s="7" t="str">
        <f>lith_data!A14</f>
        <v>LC209</v>
      </c>
      <c r="B15" s="4">
        <v>97</v>
      </c>
      <c r="C15">
        <v>74</v>
      </c>
      <c r="D15">
        <v>46</v>
      </c>
      <c r="E15" s="5">
        <f t="shared" si="0"/>
        <v>0.33018799999999998</v>
      </c>
      <c r="G15">
        <f>1620.24-1618.81</f>
        <v>1.4300000000000637</v>
      </c>
      <c r="H15">
        <f>1628.55-1617.77</f>
        <v>10.779999999999973</v>
      </c>
      <c r="I15">
        <f>1654.16-1613.24</f>
        <v>40.920000000000073</v>
      </c>
      <c r="J15">
        <f>1675.96-1606.22</f>
        <v>69.740000000000009</v>
      </c>
      <c r="K15" s="11">
        <f>1684.81-1593.36</f>
        <v>91.450000000000045</v>
      </c>
      <c r="L15" s="11">
        <f>1690.47-1570.39</f>
        <v>120.07999999999993</v>
      </c>
      <c r="M15">
        <f>(for_calcs!B18-for_calcs!C18)/for_calcs!B2</f>
        <v>0.21100000000001273</v>
      </c>
      <c r="N15">
        <f>(for_calcs!D18-for_calcs!E18)/for_calcs!D2</f>
        <v>0.15750000000000455</v>
      </c>
      <c r="O15">
        <f>(for_calcs!F18-for_calcs!G18)/for_calcs!F2</f>
        <v>0.14649999999999749</v>
      </c>
      <c r="P15">
        <f>(for_calcs!H18-for_calcs!I18)/for_calcs!H2</f>
        <v>0.14250000000000304</v>
      </c>
      <c r="Q15">
        <f>(for_calcs!J18-for_calcs!K18)/for_calcs!J2</f>
        <v>0.20910000000000081</v>
      </c>
      <c r="R15">
        <f>(for_calcs!L18-for_calcs!M18)/for_calcs!L2</f>
        <v>0.18890000000000101</v>
      </c>
      <c r="S15" s="11">
        <f>(for_calcs!N18-for_calcs!O18)/for_calcs!N2</f>
        <v>0.19300000000000031</v>
      </c>
      <c r="T15" s="25">
        <f>lith_data!E14</f>
        <v>94.994519546949221</v>
      </c>
    </row>
    <row r="16" spans="1:20" x14ac:dyDescent="0.3">
      <c r="A16" s="7" t="str">
        <f>lith_data!A15</f>
        <v>LC210</v>
      </c>
      <c r="B16" s="4">
        <v>64</v>
      </c>
      <c r="C16">
        <v>48</v>
      </c>
      <c r="D16">
        <v>41</v>
      </c>
      <c r="E16" s="5">
        <f t="shared" si="0"/>
        <v>0.12595199999999998</v>
      </c>
      <c r="G16">
        <f>1646.15-1642.86</f>
        <v>3.290000000000191</v>
      </c>
      <c r="H16">
        <f>1650.91-1638.46</f>
        <v>12.450000000000045</v>
      </c>
      <c r="I16">
        <f>1670.01-1632.86</f>
        <v>37.150000000000091</v>
      </c>
      <c r="J16">
        <f>1684.84-1620.24</f>
        <v>64.599999999999909</v>
      </c>
      <c r="K16" s="11">
        <f>1690.38-1613.24</f>
        <v>77.1400000000001</v>
      </c>
      <c r="L16" s="11">
        <f>1693.99-1593.36</f>
        <v>100.63000000000011</v>
      </c>
      <c r="M16">
        <f>(for_calcs!B19-for_calcs!C19)/for_calcs!B2</f>
        <v>0.48799999999998817</v>
      </c>
      <c r="N16">
        <f>(for_calcs!D19-for_calcs!E19)/for_calcs!D2</f>
        <v>2.5499999999999544E-2</v>
      </c>
      <c r="O16">
        <f>(for_calcs!F19-for_calcs!G19)/for_calcs!F2</f>
        <v>0.1427500000000009</v>
      </c>
      <c r="P16">
        <f>(for_calcs!H19-for_calcs!I19)/for_calcs!H2</f>
        <v>0.16166666666666743</v>
      </c>
      <c r="Q16">
        <f>(for_calcs!J19-for_calcs!K19)/for_calcs!J2</f>
        <v>0.14209999999999809</v>
      </c>
      <c r="R16">
        <f>(for_calcs!L19-for_calcs!M19)/for_calcs!L2</f>
        <v>0.16430000000000064</v>
      </c>
      <c r="S16" s="11">
        <f>(for_calcs!N19-for_calcs!O19)/for_calcs!N2</f>
        <v>0.15870000000000042</v>
      </c>
      <c r="T16" s="25">
        <f>lith_data!E15</f>
        <v>91.372817528243445</v>
      </c>
    </row>
    <row r="17" spans="1:20" s="29" customFormat="1" x14ac:dyDescent="0.3">
      <c r="A17" s="34" t="str">
        <f>lith_data!A16</f>
        <v>LC211</v>
      </c>
      <c r="B17" s="28">
        <v>109</v>
      </c>
      <c r="C17" s="29">
        <v>84</v>
      </c>
      <c r="D17" s="29">
        <v>33</v>
      </c>
      <c r="E17" s="30">
        <f t="shared" si="0"/>
        <v>0.30214800000000003</v>
      </c>
      <c r="G17" s="29">
        <f>1648.18-1644.33</f>
        <v>3.8500000000001364</v>
      </c>
      <c r="H17" s="29">
        <f>1656.77-1644.25</f>
        <v>12.519999999999982</v>
      </c>
      <c r="I17" s="29">
        <f>1674.07-1642.86</f>
        <v>31.210000000000036</v>
      </c>
      <c r="J17" s="29">
        <f>1686.2-1631.18</f>
        <v>55.019999999999982</v>
      </c>
      <c r="K17" s="31">
        <f>1690.38-1618.81</f>
        <v>71.570000000000164</v>
      </c>
      <c r="L17" s="31">
        <f>1696.27-1605.49</f>
        <v>90.779999999999973</v>
      </c>
      <c r="M17" s="29">
        <f>(for_calcs!B20-for_calcs!C20)/for_calcs!B2</f>
        <v>0.21599999999998545</v>
      </c>
      <c r="N17" s="29">
        <f>(for_calcs!D20-for_calcs!E20)/for_calcs!D2</f>
        <v>0.14600000000000363</v>
      </c>
      <c r="O17" s="29">
        <f>(for_calcs!F20-for_calcs!G20)/for_calcs!F2</f>
        <v>0.13899999999999862</v>
      </c>
      <c r="P17" s="29">
        <f>(for_calcs!H20-for_calcs!I20)/for_calcs!H2</f>
        <v>0.14566666666666681</v>
      </c>
      <c r="Q17" s="29">
        <f>(for_calcs!J20-for_calcs!K20)/for_calcs!J2</f>
        <v>9.1199999999998907E-2</v>
      </c>
      <c r="R17" s="29">
        <f>(for_calcs!L20-for_calcs!M20)/for_calcs!L2</f>
        <v>0.12170000000000072</v>
      </c>
      <c r="S17" s="31">
        <f>(for_calcs!N20-for_calcs!O20)/for_calcs!N2</f>
        <v>0.16413333333333335</v>
      </c>
      <c r="T17" s="33">
        <f>lith_data!E16</f>
        <v>93.171965317918819</v>
      </c>
    </row>
    <row r="18" spans="1:20" x14ac:dyDescent="0.3">
      <c r="A18" s="20" t="str">
        <f>lith_data!A17</f>
        <v>LC300</v>
      </c>
      <c r="B18" s="4">
        <v>51</v>
      </c>
      <c r="C18">
        <v>41</v>
      </c>
      <c r="D18">
        <v>10</v>
      </c>
      <c r="E18" s="5">
        <f t="shared" si="0"/>
        <v>2.0910000000000002E-2</v>
      </c>
      <c r="G18">
        <f>1663.29-1660.34</f>
        <v>2.9500000000000455</v>
      </c>
      <c r="H18">
        <f>1666.6-1658.16</f>
        <v>8.4399999999998272</v>
      </c>
      <c r="I18">
        <f>1672.97-1650.9</f>
        <v>22.069999999999936</v>
      </c>
      <c r="J18">
        <f>1678.59-1642.6</f>
        <v>35.990000000000009</v>
      </c>
      <c r="K18" s="11">
        <f>1683-1635.39</f>
        <v>47.6099999999999</v>
      </c>
      <c r="L18" s="11">
        <f>1687.63-1622.84</f>
        <v>64.790000000000191</v>
      </c>
      <c r="T18" s="25">
        <f>lith_data!E17</f>
        <v>98.926130816791371</v>
      </c>
    </row>
    <row r="19" spans="1:20" x14ac:dyDescent="0.3">
      <c r="A19" s="20" t="str">
        <f>lith_data!A18</f>
        <v>LC301</v>
      </c>
      <c r="B19" s="4">
        <v>104</v>
      </c>
      <c r="C19">
        <v>53</v>
      </c>
      <c r="D19">
        <v>43</v>
      </c>
      <c r="E19" s="5">
        <f t="shared" si="0"/>
        <v>0.23701600000000003</v>
      </c>
      <c r="G19">
        <f>1654.1-1646.49</f>
        <v>7.6099999999999</v>
      </c>
      <c r="H19">
        <f>1660.74-1643.24</f>
        <v>17.5</v>
      </c>
      <c r="I19">
        <f>1670.55-1641.97</f>
        <v>28.579999999999927</v>
      </c>
      <c r="J19">
        <f>1678.94-1632.97</f>
        <v>45.970000000000027</v>
      </c>
      <c r="K19" s="11">
        <f>1679.31-1629.43</f>
        <v>49.879999999999882</v>
      </c>
      <c r="L19" s="11">
        <f>1684.51-1617.52</f>
        <v>66.990000000000009</v>
      </c>
      <c r="T19" s="25">
        <f>lith_data!E18</f>
        <v>98.491907797940115</v>
      </c>
    </row>
    <row r="20" spans="1:20" x14ac:dyDescent="0.3">
      <c r="A20" s="20" t="str">
        <f>lith_data!A19</f>
        <v>LC302</v>
      </c>
      <c r="B20" s="4">
        <v>74</v>
      </c>
      <c r="C20">
        <v>51</v>
      </c>
      <c r="D20">
        <v>20</v>
      </c>
      <c r="E20" s="5">
        <f t="shared" si="0"/>
        <v>7.5480000000000005E-2</v>
      </c>
      <c r="G20">
        <f>1641.1-1632.15</f>
        <v>8.9499999999998181</v>
      </c>
      <c r="H20">
        <f>1646.01-1631.13</f>
        <v>14.879999999999882</v>
      </c>
      <c r="I20">
        <f>1659.05-1629.43</f>
        <v>29.619999999999891</v>
      </c>
      <c r="J20">
        <f>1672.3-1620.99</f>
        <v>51.309999999999945</v>
      </c>
      <c r="K20" s="11">
        <f>1678.41-1617.52</f>
        <v>60.8900000000001</v>
      </c>
      <c r="L20" s="11">
        <f>1679.71-1603.6</f>
        <v>76.110000000000127</v>
      </c>
      <c r="M20">
        <f>(for_calcs!B35-for_calcs!C35)/for_calcs!T6</f>
        <v>7.2000000000002728E-2</v>
      </c>
      <c r="N20">
        <f>(for_calcs!D35-for_calcs!E35)/for_calcs!U6</f>
        <v>0.11700000000000728</v>
      </c>
      <c r="O20">
        <f>(for_calcs!F35-for_calcs!G35)/for_calcs!V6</f>
        <v>0.10749999999999886</v>
      </c>
      <c r="P20" s="17"/>
      <c r="Q20" s="17"/>
      <c r="R20" s="17"/>
      <c r="S20" s="17"/>
      <c r="T20" s="25">
        <f>lith_data!E19</f>
        <v>95.722574551342504</v>
      </c>
    </row>
    <row r="21" spans="1:20" x14ac:dyDescent="0.3">
      <c r="A21" s="20" t="str">
        <f>lith_data!A20</f>
        <v>LC303</v>
      </c>
      <c r="B21" s="4">
        <v>55</v>
      </c>
      <c r="C21">
        <v>43</v>
      </c>
      <c r="D21">
        <v>30</v>
      </c>
      <c r="E21" s="5">
        <f t="shared" si="0"/>
        <v>7.0950000000000013E-2</v>
      </c>
      <c r="G21">
        <f>1631.32-1627.24</f>
        <v>4.0799999999999272</v>
      </c>
      <c r="H21">
        <f>1637.11-1620.76</f>
        <v>16.349999999999909</v>
      </c>
      <c r="I21">
        <f>1648.48-1617.52</f>
        <v>30.960000000000036</v>
      </c>
      <c r="J21">
        <f>1667.36-1608.7</f>
        <v>58.659999999999854</v>
      </c>
      <c r="K21" s="11">
        <f>1676-1604.39</f>
        <v>71.6099999999999</v>
      </c>
      <c r="L21" s="11">
        <f>1678.98-1595.73</f>
        <v>83.25</v>
      </c>
      <c r="M21">
        <f>(for_calcs!B36-for_calcs!C36)/for_calcs!T7</f>
        <v>0.10599999999999454</v>
      </c>
      <c r="N21">
        <f>(for_calcs!D36-for_calcs!E36)/for_calcs!U7</f>
        <v>0.12050000000000409</v>
      </c>
      <c r="O21">
        <f>(for_calcs!F36-for_calcs!G36)/for_calcs!V7</f>
        <v>0.11474999999999795</v>
      </c>
      <c r="P21">
        <f>(for_calcs!H36-for_calcs!I36)/for_calcs!W7</f>
        <v>0.11516666666666803</v>
      </c>
      <c r="Q21">
        <f>(for_calcs!J36-for_calcs!K36)/for_calcs!X7</f>
        <v>0.10950000000000046</v>
      </c>
      <c r="R21">
        <f>(for_calcs!L36-for_calcs!M36)/for_calcs!Y7</f>
        <v>0.10784999999999968</v>
      </c>
      <c r="S21" s="17"/>
      <c r="T21" s="25">
        <f>lith_data!E20</f>
        <v>84.080615942028956</v>
      </c>
    </row>
    <row r="22" spans="1:20" x14ac:dyDescent="0.3">
      <c r="A22" s="20" t="str">
        <f>lith_data!A21</f>
        <v>LC304.1</v>
      </c>
      <c r="B22" s="4">
        <v>51</v>
      </c>
      <c r="C22">
        <v>30</v>
      </c>
      <c r="D22">
        <v>28</v>
      </c>
      <c r="E22" s="5">
        <f t="shared" si="0"/>
        <v>4.2839999999999996E-2</v>
      </c>
      <c r="G22">
        <f>1622.26-1612.7</f>
        <v>9.5599999999999454</v>
      </c>
      <c r="H22">
        <f>1626.36-1607.33</f>
        <v>19.029999999999973</v>
      </c>
      <c r="I22">
        <f>1645.58-1603.6</f>
        <v>41.980000000000018</v>
      </c>
      <c r="J22">
        <f>1659.94-1597.76</f>
        <v>62.180000000000064</v>
      </c>
      <c r="K22" s="11">
        <f>1671.05-1594.41</f>
        <v>76.639999999999873</v>
      </c>
      <c r="L22" s="11">
        <f>1676.61-1588.15</f>
        <v>88.459999999999809</v>
      </c>
      <c r="M22">
        <f>(for_calcs!B37-for_calcs!C37)/for_calcs!T8</f>
        <v>5.8999999999991816E-2</v>
      </c>
      <c r="N22">
        <f>(for_calcs!D37-for_calcs!E37)/for_calcs!U8</f>
        <v>6.6499999999996368E-2</v>
      </c>
      <c r="O22">
        <f>(for_calcs!F37-for_calcs!G37)/for_calcs!V8</f>
        <v>0.10200000000000387</v>
      </c>
      <c r="P22">
        <f>(for_calcs!H37-for_calcs!I37)/for_calcs!W8</f>
        <v>9.8499999999997576E-2</v>
      </c>
      <c r="Q22">
        <f>(for_calcs!J37-for_calcs!K37)/for_calcs!X8</f>
        <v>9.6500000000000904E-2</v>
      </c>
      <c r="R22">
        <f>(for_calcs!L37-for_calcs!M37)/for_calcs!Y8</f>
        <v>9.3149999999999414E-2</v>
      </c>
      <c r="S22" s="11">
        <f>(for_calcs!N37-for_calcs!O37)/for_calcs!Z8</f>
        <v>9.7266666666666876E-2</v>
      </c>
      <c r="T22" s="25">
        <f>lith_data!E21</f>
        <v>99.443430656934368</v>
      </c>
    </row>
    <row r="23" spans="1:20" x14ac:dyDescent="0.3">
      <c r="A23" s="20" t="str">
        <f>lith_data!A22</f>
        <v>LC305</v>
      </c>
      <c r="B23" s="4">
        <v>231</v>
      </c>
      <c r="C23">
        <v>76</v>
      </c>
      <c r="D23">
        <v>38</v>
      </c>
      <c r="E23" s="5">
        <f t="shared" si="0"/>
        <v>0.66712800000000005</v>
      </c>
      <c r="G23">
        <f>1604.68-1595.73</f>
        <v>8.9500000000000455</v>
      </c>
      <c r="H23">
        <f>1612.23-1595.73</f>
        <v>16.5</v>
      </c>
      <c r="I23">
        <f>1622.54-1593.46</f>
        <v>29.079999999999927</v>
      </c>
      <c r="J23">
        <f>1641.52-1590.13</f>
        <v>51.389999999999873</v>
      </c>
      <c r="K23" s="11">
        <f>1654.15-1586.16</f>
        <v>67.990000000000009</v>
      </c>
      <c r="L23" s="11">
        <f>1671.56-1581.66</f>
        <v>89.899999999999864</v>
      </c>
      <c r="M23">
        <f>(for_calcs!B38-for_calcs!C38)/for_calcs!T9</f>
        <v>5.0000000000181895E-3</v>
      </c>
      <c r="N23">
        <f>(for_calcs!D38-for_calcs!E38)/for_calcs!U9</f>
        <v>8.4500000000002726E-2</v>
      </c>
      <c r="O23">
        <f>(for_calcs!F38-for_calcs!G38)/for_calcs!V9</f>
        <v>9.5000000000004553E-2</v>
      </c>
      <c r="P23">
        <f>(for_calcs!H38-for_calcs!I38)/for_calcs!W9</f>
        <v>8.0166666666665762E-2</v>
      </c>
      <c r="Q23">
        <f>(for_calcs!J38-for_calcs!K38)/for_calcs!X9</f>
        <v>7.8800000000001091E-2</v>
      </c>
      <c r="R23">
        <f>(for_calcs!L38-for_calcs!M38)/for_calcs!Y9</f>
        <v>7.9450000000000506E-2</v>
      </c>
      <c r="S23" s="11">
        <f>(for_calcs!N38-for_calcs!O38)/for_calcs!Z9</f>
        <v>7.4933333333333393E-2</v>
      </c>
      <c r="T23" s="25">
        <f>lith_data!E22</f>
        <v>21.915215745647021</v>
      </c>
    </row>
    <row r="24" spans="1:20" x14ac:dyDescent="0.3">
      <c r="A24" s="20" t="str">
        <f>lith_data!A23</f>
        <v>LC306</v>
      </c>
      <c r="B24" s="4">
        <v>99</v>
      </c>
      <c r="C24">
        <v>48</v>
      </c>
      <c r="D24">
        <v>30</v>
      </c>
      <c r="E24" s="5">
        <f t="shared" si="0"/>
        <v>0.14255999999999999</v>
      </c>
      <c r="G24">
        <f>1591.95-1586.64</f>
        <v>5.3099999999999454</v>
      </c>
      <c r="H24">
        <f>1600.86-1584.03</f>
        <v>16.829999999999927</v>
      </c>
      <c r="I24">
        <f>1617.03-1582.86</f>
        <v>34.170000000000073</v>
      </c>
      <c r="J24">
        <f>1633.81-1580.61</f>
        <v>53.200000000000045</v>
      </c>
      <c r="K24" s="11">
        <f>1639.15-1577.81</f>
        <v>61.340000000000146</v>
      </c>
      <c r="L24" s="11">
        <f>1652.07-1571.7</f>
        <v>80.369999999999891</v>
      </c>
      <c r="M24">
        <f>(for_calcs!B39-for_calcs!C39)/for_calcs!T10</f>
        <v>4.1999999999984536E-2</v>
      </c>
      <c r="N24">
        <f>(for_calcs!D39-for_calcs!E39)/for_calcs!U10</f>
        <v>4.1999999999995909E-2</v>
      </c>
      <c r="O24">
        <f>(for_calcs!F39-for_calcs!G39)/for_calcs!V10</f>
        <v>5.4250000000001818E-2</v>
      </c>
      <c r="P24">
        <f>(for_calcs!H39-for_calcs!I39)/for_calcs!W10</f>
        <v>5.633333333333515E-2</v>
      </c>
      <c r="Q24">
        <f>(for_calcs!J39-for_calcs!K39)/for_calcs!X10</f>
        <v>5.8099999999999458E-2</v>
      </c>
      <c r="R24">
        <f>(for_calcs!L39-for_calcs!M39)/for_calcs!Y10</f>
        <v>5.2450000000000045E-2</v>
      </c>
      <c r="S24" s="11">
        <f>(for_calcs!N39-for_calcs!O39)/for_calcs!Z10</f>
        <v>5.7599999999999908E-2</v>
      </c>
      <c r="T24" s="25">
        <f>lith_data!E23</f>
        <v>65.598153609437176</v>
      </c>
    </row>
    <row r="25" spans="1:20" x14ac:dyDescent="0.3">
      <c r="A25" s="20" t="str">
        <f>lith_data!A24</f>
        <v>LC307</v>
      </c>
      <c r="B25" s="4">
        <v>89</v>
      </c>
      <c r="C25">
        <v>53</v>
      </c>
      <c r="D25">
        <v>8</v>
      </c>
      <c r="E25" s="5">
        <f t="shared" si="0"/>
        <v>3.7735999999999999E-2</v>
      </c>
      <c r="G25">
        <f>1573.53-1571.7</f>
        <v>1.8299999999999272</v>
      </c>
      <c r="H25">
        <f>1576.15-1571.56</f>
        <v>4.5900000000001455</v>
      </c>
      <c r="I25">
        <f>1587.33-1569.39</f>
        <v>17.939999999999827</v>
      </c>
      <c r="J25">
        <f>1604.39-1567.07</f>
        <v>37.320000000000164</v>
      </c>
      <c r="K25" s="11">
        <f>1617.53-1564.3</f>
        <v>53.230000000000018</v>
      </c>
      <c r="L25" s="11">
        <f>1634.95-1558.17</f>
        <v>76.779999999999973</v>
      </c>
      <c r="M25">
        <f>(for_calcs!B40-for_calcs!C40)/for_calcs!T11</f>
        <v>7.5999999999999096E-2</v>
      </c>
      <c r="N25">
        <f>(for_calcs!D40-for_calcs!E40)/for_calcs!U11</f>
        <v>2.9499999999995908E-2</v>
      </c>
      <c r="O25">
        <f>(for_calcs!F40-for_calcs!G40)/for_calcs!V11</f>
        <v>8.9999999999974996E-3</v>
      </c>
      <c r="P25">
        <f>(for_calcs!H40-for_calcs!I40)/for_calcs!W11</f>
        <v>3.5000000000002272E-2</v>
      </c>
      <c r="Q25">
        <f>(for_calcs!J40-for_calcs!K40)/for_calcs!X11</f>
        <v>5.7699999999999821E-2</v>
      </c>
      <c r="R25">
        <f>(for_calcs!L40-for_calcs!M40)/for_calcs!Y11</f>
        <v>6.1100000000000133E-2</v>
      </c>
      <c r="S25" s="11">
        <f>(for_calcs!N40-for_calcs!O40)/for_calcs!Z11</f>
        <v>5.6099999999999754E-2</v>
      </c>
      <c r="T25" s="25">
        <f>lith_data!E24</f>
        <v>95.773254170200644</v>
      </c>
    </row>
    <row r="26" spans="1:20" x14ac:dyDescent="0.3">
      <c r="A26" s="20" t="str">
        <f>lith_data!A25</f>
        <v>LC308</v>
      </c>
      <c r="B26" s="4">
        <v>69</v>
      </c>
      <c r="C26">
        <v>56</v>
      </c>
      <c r="D26">
        <v>23</v>
      </c>
      <c r="E26" s="5">
        <f t="shared" si="0"/>
        <v>8.8872000000000007E-2</v>
      </c>
      <c r="G26">
        <f>1566.15-1562.09</f>
        <v>4.0600000000001728</v>
      </c>
      <c r="H26">
        <f>1573.91-1558.17</f>
        <v>15.740000000000009</v>
      </c>
      <c r="I26">
        <f>1591.34-1555.67</f>
        <v>35.669999999999845</v>
      </c>
      <c r="J26">
        <f>1610.69-1553.56</f>
        <v>57.130000000000109</v>
      </c>
      <c r="K26" s="11">
        <f>1624.39-1548.45</f>
        <v>75.940000000000055</v>
      </c>
      <c r="L26" s="11">
        <f>1640.39-1540.63</f>
        <v>99.759999999999991</v>
      </c>
      <c r="M26">
        <f>(for_calcs!B41-for_calcs!C41)/for_calcs!T12</f>
        <v>5.0999999999999088E-2</v>
      </c>
      <c r="N26">
        <f>(for_calcs!D41-for_calcs!E41)/for_calcs!U12</f>
        <v>2.2500000000002275E-2</v>
      </c>
      <c r="O26">
        <f>(for_calcs!F41-for_calcs!G41)/for_calcs!V12</f>
        <v>6.0000000000002274E-2</v>
      </c>
      <c r="P26">
        <f>(for_calcs!H41-for_calcs!I41)/for_calcs!W12</f>
        <v>5.5499999999998786E-2</v>
      </c>
      <c r="Q26">
        <f>(for_calcs!J41-for_calcs!K41)/for_calcs!X12</f>
        <v>6.7699999999999816E-2</v>
      </c>
      <c r="R26">
        <f>(for_calcs!L41-for_calcs!M41)/for_calcs!Y12</f>
        <v>4.7500000000000001E-2</v>
      </c>
      <c r="S26" s="11">
        <f>(for_calcs!N41-for_calcs!O41)/for_calcs!Z12</f>
        <v>5.5433333333333695E-2</v>
      </c>
      <c r="T26" s="25">
        <f>lith_data!E25</f>
        <v>94.775725593668085</v>
      </c>
    </row>
    <row r="27" spans="1:20" x14ac:dyDescent="0.3">
      <c r="A27" s="20" t="str">
        <f>lith_data!A26</f>
        <v>LC309</v>
      </c>
      <c r="B27" s="4">
        <v>79</v>
      </c>
      <c r="C27">
        <v>76</v>
      </c>
      <c r="D27">
        <v>18</v>
      </c>
      <c r="E27" s="5">
        <f t="shared" si="0"/>
        <v>0.10807200000000002</v>
      </c>
      <c r="G27">
        <f>1554.84-1546.66</f>
        <v>8.1799999999998363</v>
      </c>
      <c r="H27">
        <f>1562.65-1544.47</f>
        <v>18.180000000000064</v>
      </c>
      <c r="I27">
        <f>1575.5-1541.25</f>
        <v>34.25</v>
      </c>
      <c r="J27">
        <f>1586.99-1533.35</f>
        <v>53.6400000000001</v>
      </c>
      <c r="K27" s="11">
        <f>1599.55-1523.1</f>
        <v>76.450000000000045</v>
      </c>
      <c r="L27" s="11">
        <f>1616.77-1507.7</f>
        <v>109.06999999999994</v>
      </c>
      <c r="M27">
        <f>(for_calcs!B42-for_calcs!C42)/for_calcs!T13</f>
        <v>3.4999999999990906E-2</v>
      </c>
      <c r="N27">
        <f>(for_calcs!D42-for_calcs!E42)/for_calcs!U13</f>
        <v>3.5500000000001822E-2</v>
      </c>
      <c r="O27">
        <f>(for_calcs!F42-for_calcs!G42)/for_calcs!V13</f>
        <v>7.6999999999998181E-2</v>
      </c>
      <c r="P27">
        <f>(for_calcs!H42-for_calcs!I42)/for_calcs!W13</f>
        <v>5.4999999999999244E-2</v>
      </c>
      <c r="Q27">
        <f>(for_calcs!J42-for_calcs!K42)/for_calcs!X13</f>
        <v>5.7699999999999821E-2</v>
      </c>
      <c r="R27">
        <f>(for_calcs!L42-for_calcs!M42)/for_calcs!Y13</f>
        <v>4.1850000000000588E-2</v>
      </c>
      <c r="S27" s="11">
        <f>(for_calcs!N42-for_calcs!O42)/for_calcs!Z13</f>
        <v>4.6966666666667149E-2</v>
      </c>
      <c r="T27" s="25">
        <f>lith_data!E26</f>
        <v>93.373685887225278</v>
      </c>
    </row>
    <row r="28" spans="1:20" x14ac:dyDescent="0.3">
      <c r="A28" s="20" t="str">
        <f>lith_data!A27</f>
        <v>LC310</v>
      </c>
      <c r="B28" s="4">
        <v>53</v>
      </c>
      <c r="C28">
        <v>41</v>
      </c>
      <c r="D28">
        <v>23</v>
      </c>
      <c r="E28" s="5">
        <f t="shared" si="0"/>
        <v>4.9978999999999996E-2</v>
      </c>
      <c r="G28">
        <f>1540.06-1530.68</f>
        <v>9.3799999999998818</v>
      </c>
      <c r="H28">
        <f>1545.59-1525.51</f>
        <v>20.079999999999927</v>
      </c>
      <c r="I28">
        <f>1564.37-1520.82</f>
        <v>43.549999999999955</v>
      </c>
      <c r="J28">
        <f>1579.01-1517.88</f>
        <v>61.129999999999882</v>
      </c>
      <c r="K28" s="11">
        <f>1592.04-1507.7</f>
        <v>84.339999999999918</v>
      </c>
      <c r="L28" s="11">
        <f>1610.03-1479.82</f>
        <v>130.21000000000004</v>
      </c>
      <c r="M28">
        <f>(for_calcs!B43-for_calcs!C43)/for_calcs!T14</f>
        <v>0.14300000000000637</v>
      </c>
      <c r="N28">
        <f>(for_calcs!D43-for_calcs!E43)/for_calcs!U14</f>
        <v>7.4500000000000455E-2</v>
      </c>
      <c r="O28">
        <f>(for_calcs!F43-for_calcs!G43)/for_calcs!V14</f>
        <v>6.8750000000000006E-2</v>
      </c>
      <c r="P28">
        <f>(for_calcs!H43-for_calcs!I43)/for_calcs!W14</f>
        <v>5.8999999999999393E-2</v>
      </c>
      <c r="Q28">
        <f>(for_calcs!J43-for_calcs!K43)/for_calcs!X14</f>
        <v>6.9100000000000814E-2</v>
      </c>
      <c r="R28">
        <f>(for_calcs!L43-for_calcs!M43)/for_calcs!Y14</f>
        <v>0.10360000000000014</v>
      </c>
      <c r="S28" s="11">
        <f>(for_calcs!N43-for_calcs!O43)/for_calcs!Z14</f>
        <v>0.11119999999999966</v>
      </c>
      <c r="T28" s="25">
        <f>lith_data!E27</f>
        <v>82.175732217573156</v>
      </c>
    </row>
    <row r="29" spans="1:20" x14ac:dyDescent="0.3">
      <c r="A29" s="20" t="str">
        <f>lith_data!A28</f>
        <v>LC311</v>
      </c>
      <c r="B29" s="4">
        <v>282</v>
      </c>
      <c r="C29">
        <v>196</v>
      </c>
      <c r="D29">
        <v>185</v>
      </c>
      <c r="E29" s="5">
        <f t="shared" si="0"/>
        <v>10.225319999999998</v>
      </c>
      <c r="G29">
        <f>1401.73-1399.13</f>
        <v>2.5999999999999091</v>
      </c>
      <c r="H29">
        <f>1405.98-1396.77</f>
        <v>9.2100000000000364</v>
      </c>
      <c r="I29">
        <f>1427.15-1393.66</f>
        <v>33.490000000000009</v>
      </c>
      <c r="J29">
        <f>1458.28-1388.27</f>
        <v>70.009999999999991</v>
      </c>
      <c r="K29" s="11">
        <f>1480.6-1383.62</f>
        <v>96.980000000000018</v>
      </c>
      <c r="L29" s="11">
        <f>1533.62-1380.68</f>
        <v>152.93999999999983</v>
      </c>
      <c r="M29">
        <f>(for_calcs!B44-for_calcs!C44)/for_calcs!T15</f>
        <v>0.14900000000000091</v>
      </c>
      <c r="N29">
        <f>(for_calcs!D44-for_calcs!E44)/for_calcs!U15</f>
        <v>6.7500000000006818E-2</v>
      </c>
      <c r="O29">
        <f>(for_calcs!F44-for_calcs!G44)/for_calcs!V15</f>
        <v>0.11700000000000159</v>
      </c>
      <c r="P29">
        <f>(for_calcs!H44-for_calcs!I44)/for_calcs!W15</f>
        <v>0.14350000000000213</v>
      </c>
      <c r="Q29">
        <f>(for_calcs!J44-for_calcs!K44)/for_calcs!X15</f>
        <v>0.14700000000000046</v>
      </c>
      <c r="R29">
        <f>(for_calcs!L44-for_calcs!M44)/for_calcs!Y15</f>
        <v>0.16810000000000058</v>
      </c>
      <c r="S29" s="11">
        <f>(for_calcs!N44-for_calcs!O44)/for_calcs!Z15</f>
        <v>0.16643333333333354</v>
      </c>
      <c r="T29" s="25">
        <f>lith_data!E28</f>
        <v>77.587681779298507</v>
      </c>
    </row>
    <row r="30" spans="1:20" x14ac:dyDescent="0.3">
      <c r="A30" s="20" t="str">
        <f>lith_data!A29</f>
        <v>LC312</v>
      </c>
      <c r="B30" s="4">
        <v>439</v>
      </c>
      <c r="C30">
        <v>226</v>
      </c>
      <c r="D30">
        <v>104</v>
      </c>
      <c r="E30" s="5">
        <f t="shared" si="0"/>
        <v>10.318255999999998</v>
      </c>
      <c r="G30">
        <f>1416.19-1407.76</f>
        <v>8.4300000000000637</v>
      </c>
      <c r="H30">
        <f>1426.16-1406.07</f>
        <v>20.090000000000146</v>
      </c>
      <c r="I30">
        <f>1439.67-1401.5</f>
        <v>38.170000000000073</v>
      </c>
      <c r="J30">
        <f>1467.02-1394.93</f>
        <v>72.089999999999918</v>
      </c>
      <c r="K30" s="11">
        <f>1489.41-1389.09</f>
        <v>100.32000000000016</v>
      </c>
      <c r="L30" s="11">
        <f>1549.85-1381.35</f>
        <v>168.5</v>
      </c>
      <c r="M30">
        <f>(for_calcs!B45-for_calcs!C45)/for_calcs!T16</f>
        <v>0.21600000000000819</v>
      </c>
      <c r="N30">
        <f>(for_calcs!D45-for_calcs!E45)/for_calcs!U16</f>
        <v>0.11000000000000228</v>
      </c>
      <c r="O30">
        <f>(for_calcs!F45-for_calcs!G45)/for_calcs!V16</f>
        <v>0.14700000000000274</v>
      </c>
      <c r="P30">
        <f>(for_calcs!H45-for_calcs!I45)/for_calcs!W16</f>
        <v>0.21733333333333274</v>
      </c>
      <c r="Q30">
        <f>(for_calcs!J45-for_calcs!K45)/for_calcs!X16</f>
        <v>0.24039999999999964</v>
      </c>
      <c r="R30">
        <f>(for_calcs!L45-for_calcs!M45)/for_calcs!Y16</f>
        <v>0.2206499999999994</v>
      </c>
      <c r="S30" s="11">
        <f>(for_calcs!N45-for_calcs!O45)/for_calcs!Z16</f>
        <v>0.20550000000000029</v>
      </c>
      <c r="T30" s="25">
        <f>lith_data!E29</f>
        <v>19.55951756685922</v>
      </c>
    </row>
    <row r="31" spans="1:20" x14ac:dyDescent="0.3">
      <c r="A31" s="20" t="str">
        <f>lith_data!A30</f>
        <v>LC313</v>
      </c>
      <c r="B31" s="4">
        <v>150</v>
      </c>
      <c r="C31">
        <v>122</v>
      </c>
      <c r="D31">
        <v>102</v>
      </c>
      <c r="E31" s="5">
        <f t="shared" si="0"/>
        <v>1.8666</v>
      </c>
      <c r="G31">
        <f>1436.19-1429.85</f>
        <v>6.3400000000001455</v>
      </c>
      <c r="H31">
        <f>1441.22-1424.6</f>
        <v>16.620000000000118</v>
      </c>
      <c r="I31">
        <f>1461.98-1414.35</f>
        <v>47.630000000000109</v>
      </c>
      <c r="J31">
        <f>1488.01-1404.57</f>
        <v>83.440000000000055</v>
      </c>
      <c r="K31" s="11">
        <f>1511.31-1396.77</f>
        <v>114.53999999999996</v>
      </c>
      <c r="L31" s="11">
        <f>1570.77-1385.26</f>
        <v>185.51</v>
      </c>
      <c r="M31">
        <f>(for_calcs!B46-for_calcs!C46)/for_calcs!T17</f>
        <v>4.9999999999954525E-3</v>
      </c>
      <c r="N31">
        <f>(for_calcs!D46-for_calcs!E46)/for_calcs!U17</f>
        <v>0.13999999999999774</v>
      </c>
      <c r="O31">
        <f>(for_calcs!F46-for_calcs!G46)/for_calcs!V17</f>
        <v>0.18949999999999817</v>
      </c>
      <c r="P31">
        <f>(for_calcs!H46-for_calcs!I46)/for_calcs!W17</f>
        <v>0.18099999999999833</v>
      </c>
      <c r="Q31">
        <f>(for_calcs!J46-for_calcs!K46)/for_calcs!X17</f>
        <v>0.20710000000000037</v>
      </c>
      <c r="R31">
        <f>(for_calcs!L46-for_calcs!M46)/for_calcs!Y17</f>
        <v>0.24870000000000003</v>
      </c>
      <c r="S31" s="11">
        <f>(for_calcs!N46-for_calcs!O46)/for_calcs!Z17</f>
        <v>0.25586666666666663</v>
      </c>
      <c r="T31" s="25">
        <f>lith_data!E30</f>
        <v>17.839630804730412</v>
      </c>
    </row>
    <row r="32" spans="1:20" x14ac:dyDescent="0.3">
      <c r="A32" s="20" t="str">
        <f>lith_data!A31</f>
        <v>LC314</v>
      </c>
      <c r="B32" s="4">
        <v>234</v>
      </c>
      <c r="C32">
        <v>221</v>
      </c>
      <c r="D32">
        <v>84</v>
      </c>
      <c r="E32" s="5">
        <f t="shared" si="0"/>
        <v>4.3439760000000005</v>
      </c>
      <c r="G32">
        <f>1440.05-1432.57</f>
        <v>7.4800000000000182</v>
      </c>
      <c r="H32">
        <f>1450.64-1428.28</f>
        <v>22.360000000000127</v>
      </c>
      <c r="I32">
        <f>1466.35-1419.55</f>
        <v>46.799999999999955</v>
      </c>
      <c r="J32">
        <f>1495.28-1407.76</f>
        <v>87.519999999999982</v>
      </c>
      <c r="K32" s="11">
        <f>1517.99-1400.06</f>
        <v>117.93000000000006</v>
      </c>
      <c r="L32" s="11">
        <f>1571.27-1388.27</f>
        <v>183</v>
      </c>
      <c r="M32">
        <f>(for_calcs!B47-for_calcs!C47)/for_calcs!T18</f>
        <v>0.21099999999999</v>
      </c>
      <c r="N32">
        <f>(for_calcs!D47-for_calcs!E47)/for_calcs!U18</f>
        <v>0.21699999999999592</v>
      </c>
      <c r="O32">
        <f>(for_calcs!F47-for_calcs!G47)/for_calcs!V18</f>
        <v>0.12824999999999703</v>
      </c>
      <c r="P32">
        <f>(for_calcs!H47-for_calcs!I47)/for_calcs!W18</f>
        <v>0.19000000000000153</v>
      </c>
      <c r="Q32">
        <f>(for_calcs!J47-for_calcs!K47)/for_calcs!X18</f>
        <v>0.20549999999999954</v>
      </c>
      <c r="R32">
        <f>(for_calcs!L47-for_calcs!M47)/for_calcs!Y18</f>
        <v>0.25355000000000016</v>
      </c>
      <c r="S32" s="11">
        <f>(for_calcs!N47-for_calcs!O47)/for_calcs!Z18</f>
        <v>0.26816666666666683</v>
      </c>
      <c r="T32" s="25">
        <f>lith_data!E31</f>
        <v>49.432346919784173</v>
      </c>
    </row>
    <row r="33" spans="1:20" x14ac:dyDescent="0.3">
      <c r="A33" s="20" t="str">
        <f>lith_data!A32</f>
        <v>LC315</v>
      </c>
      <c r="B33" s="4">
        <v>191</v>
      </c>
      <c r="C33">
        <v>173</v>
      </c>
      <c r="D33">
        <v>132</v>
      </c>
      <c r="E33" s="5">
        <f t="shared" si="0"/>
        <v>4.3616760000000001</v>
      </c>
      <c r="G33">
        <f>1502.72-1500.62</f>
        <v>2.1000000000001364</v>
      </c>
      <c r="H33">
        <f>1509.91-1499.25</f>
        <v>10.660000000000082</v>
      </c>
      <c r="I33">
        <f>1539.75-1497.08</f>
        <v>42.670000000000073</v>
      </c>
      <c r="J33">
        <f>1566.78-1486.63</f>
        <v>80.149999999999864</v>
      </c>
      <c r="K33" s="11">
        <f>1580.42-1471.93</f>
        <v>108.49000000000001</v>
      </c>
      <c r="L33" s="11">
        <f>1609.52-1442.79</f>
        <v>166.73000000000002</v>
      </c>
      <c r="M33">
        <f>(for_calcs!B48-for_calcs!C48)/for_calcs!T19</f>
        <v>2.4000000000000909E-2</v>
      </c>
      <c r="N33">
        <f>(for_calcs!D48-for_calcs!E48)/for_calcs!U19</f>
        <v>0.25600000000000589</v>
      </c>
      <c r="O33">
        <f>(for_calcs!F48-for_calcs!G48)/for_calcs!V19</f>
        <v>0.20149999999999862</v>
      </c>
      <c r="P33">
        <f>(for_calcs!H48-for_calcs!I48)/for_calcs!W19</f>
        <v>0.21633333333333363</v>
      </c>
      <c r="Q33">
        <f>(for_calcs!J48-for_calcs!K48)/for_calcs!X19</f>
        <v>0.22579999999999928</v>
      </c>
      <c r="R33">
        <f>(for_calcs!L48-for_calcs!M48)/for_calcs!Y19</f>
        <v>0.23399999999999976</v>
      </c>
      <c r="S33" s="11">
        <f>(for_calcs!N48-for_calcs!O48)/for_calcs!Z19</f>
        <v>0.23356666666666645</v>
      </c>
      <c r="T33" s="25">
        <f>lith_data!E32</f>
        <v>52.083912197832717</v>
      </c>
    </row>
    <row r="34" spans="1:20" x14ac:dyDescent="0.3">
      <c r="A34" s="20" t="str">
        <f>lith_data!A33</f>
        <v>LC317</v>
      </c>
      <c r="B34" s="4">
        <v>284</v>
      </c>
      <c r="C34">
        <v>208</v>
      </c>
      <c r="D34">
        <v>79</v>
      </c>
      <c r="E34" s="5">
        <f t="shared" si="0"/>
        <v>4.6666880000000006</v>
      </c>
      <c r="G34">
        <f>1512.68-1507.7</f>
        <v>4.9800000000000182</v>
      </c>
      <c r="H34">
        <f>1521.55-1506.55</f>
        <v>15</v>
      </c>
      <c r="I34">
        <f>1548.17-1503.46</f>
        <v>44.710000000000036</v>
      </c>
      <c r="J34">
        <f>1566.99-1498.03</f>
        <v>68.960000000000036</v>
      </c>
      <c r="K34" s="11">
        <f>1577.42-1490.75</f>
        <v>86.670000000000073</v>
      </c>
      <c r="L34" s="11">
        <f>1605.02-1460.03</f>
        <v>144.99</v>
      </c>
      <c r="M34">
        <f>(for_calcs!B49-for_calcs!C49)/for_calcs!T20</f>
        <v>7.1000000000003644E-2</v>
      </c>
      <c r="N34">
        <f>(for_calcs!D49-for_calcs!E49)/for_calcs!U20</f>
        <v>0.18050000000000638</v>
      </c>
      <c r="O34">
        <f>(for_calcs!F49-for_calcs!G49)/for_calcs!V20</f>
        <v>7.0749999999998175E-2</v>
      </c>
      <c r="P34">
        <f>(for_calcs!H49-for_calcs!I49)/for_calcs!W20</f>
        <v>0.16966666666666394</v>
      </c>
      <c r="Q34">
        <f>(for_calcs!J49-for_calcs!K49)/for_calcs!X20</f>
        <v>0.19120000000000117</v>
      </c>
      <c r="R34">
        <f>(for_calcs!L49-for_calcs!M49)/for_calcs!Y20</f>
        <v>0.19384999999999991</v>
      </c>
      <c r="S34" s="11">
        <f>(for_calcs!N49-for_calcs!O49)/for_calcs!Z20</f>
        <v>0.20343333333333324</v>
      </c>
      <c r="T34" s="25">
        <f>lith_data!E33</f>
        <v>98.853731343283712</v>
      </c>
    </row>
    <row r="35" spans="1:20" x14ac:dyDescent="0.3">
      <c r="A35" s="20" t="str">
        <f>lith_data!A34</f>
        <v>LC318</v>
      </c>
      <c r="B35" s="4">
        <v>198</v>
      </c>
      <c r="C35">
        <v>140</v>
      </c>
      <c r="D35">
        <v>132</v>
      </c>
      <c r="E35" s="5">
        <f t="shared" si="0"/>
        <v>3.6590400000000001</v>
      </c>
      <c r="G35">
        <f>1522.59-1518.28</f>
        <v>4.3099999999999454</v>
      </c>
      <c r="H35">
        <f>1528-1517.88</f>
        <v>10.119999999999891</v>
      </c>
      <c r="I35">
        <f>1549.84-1512.08</f>
        <v>37.759999999999991</v>
      </c>
      <c r="J35">
        <f>1569.56-1504.61</f>
        <v>64.950000000000045</v>
      </c>
      <c r="K35" s="11">
        <f>1580.48-1498.03</f>
        <v>82.450000000000045</v>
      </c>
      <c r="L35" s="11">
        <f>1599.28-1461.19</f>
        <v>138.08999999999992</v>
      </c>
      <c r="M35">
        <f>(for_calcs!B50-for_calcs!C50)/for_calcs!T21</f>
        <v>0.10299999999999727</v>
      </c>
      <c r="N35">
        <f>(for_calcs!D50-for_calcs!E50)/for_calcs!U21</f>
        <v>0.21050000000000182</v>
      </c>
      <c r="O35">
        <f>(for_calcs!F50-for_calcs!G50)/for_calcs!V21</f>
        <v>0.18025000000000091</v>
      </c>
      <c r="P35">
        <f>(for_calcs!H50-for_calcs!I50)/for_calcs!W21</f>
        <v>0.18233333333333424</v>
      </c>
      <c r="Q35">
        <f>(for_calcs!J50-for_calcs!K50)/for_calcs!X21</f>
        <v>0.18039999999999964</v>
      </c>
      <c r="R35">
        <f>(for_calcs!L50-for_calcs!M50)/for_calcs!Y21</f>
        <v>0.15295000000000072</v>
      </c>
      <c r="S35" s="11">
        <f>(for_calcs!N50-for_calcs!O50)/for_calcs!Z21</f>
        <v>0.14780000000000049</v>
      </c>
      <c r="T35" s="25">
        <f>lith_data!E34</f>
        <v>99.308129478626171</v>
      </c>
    </row>
    <row r="36" spans="1:20" s="29" customFormat="1" x14ac:dyDescent="0.3">
      <c r="A36" s="35" t="str">
        <f>lith_data!A35</f>
        <v>LC319</v>
      </c>
      <c r="B36" s="28">
        <v>56</v>
      </c>
      <c r="C36" s="29">
        <v>41</v>
      </c>
      <c r="D36" s="29">
        <v>20</v>
      </c>
      <c r="E36" s="30">
        <f t="shared" si="0"/>
        <v>4.5919999999999996E-2</v>
      </c>
      <c r="K36" s="31"/>
      <c r="L36" s="31"/>
      <c r="S36" s="31"/>
      <c r="T36" s="33">
        <f>lith_data!E35</f>
        <v>17.382617382617958</v>
      </c>
    </row>
    <row r="37" spans="1:20" x14ac:dyDescent="0.3">
      <c r="A37" t="str">
        <f>lith_data!A36</f>
        <v>LC400</v>
      </c>
      <c r="B37" s="4">
        <v>429</v>
      </c>
      <c r="C37">
        <v>428</v>
      </c>
      <c r="D37">
        <v>168</v>
      </c>
      <c r="E37" s="5">
        <f t="shared" si="0"/>
        <v>30.846816</v>
      </c>
      <c r="G37">
        <f>1500.61-1498.83</f>
        <v>1.7799999999999727</v>
      </c>
      <c r="H37">
        <f>1506.06-1497.48</f>
        <v>8.5799999999999272</v>
      </c>
      <c r="I37">
        <f>1524.15-1490.4</f>
        <v>33.75</v>
      </c>
      <c r="J37">
        <f>1563.53-1479.49</f>
        <v>84.039999999999964</v>
      </c>
      <c r="K37" s="11">
        <f>1594.39-1457.33</f>
        <v>137.06000000000017</v>
      </c>
      <c r="L37" s="11">
        <f>1621.97-1447.2</f>
        <v>174.76999999999998</v>
      </c>
      <c r="M37">
        <f>(for_calcs!B53-for_calcs!C53)/for_calcs!T4</f>
        <v>0.24700000000000272</v>
      </c>
      <c r="N37">
        <f>(for_calcs!D53-for_calcs!E53)/for_calcs!U4</f>
        <v>2.599999999999909E-2</v>
      </c>
      <c r="O37">
        <f>(for_calcs!F53-for_calcs!G53)/for_calcs!V4</f>
        <v>0.10774999999999864</v>
      </c>
      <c r="P37">
        <f>(for_calcs!H53-for_calcs!I53)/for_calcs!W4</f>
        <v>0.25566666666666532</v>
      </c>
      <c r="Q37">
        <f>(for_calcs!J53-for_calcs!K53)/for_calcs!X4</f>
        <v>0.19130000000000108</v>
      </c>
      <c r="R37">
        <f>(for_calcs!L53-for_calcs!M53)/for_calcs!Y4</f>
        <v>0.23624999999999999</v>
      </c>
      <c r="S37" s="11">
        <f>(for_calcs!N53-for_calcs!O53)/for_calcs!Z4</f>
        <v>0.21770000000000059</v>
      </c>
      <c r="T37" s="25">
        <f>lith_data!E36</f>
        <v>31.079177233023568</v>
      </c>
    </row>
    <row r="38" spans="1:20" x14ac:dyDescent="0.3">
      <c r="A38" t="str">
        <f>lith_data!A37</f>
        <v>LC401</v>
      </c>
      <c r="B38" s="4">
        <v>279</v>
      </c>
      <c r="C38">
        <v>259</v>
      </c>
      <c r="D38">
        <v>74</v>
      </c>
      <c r="E38" s="5">
        <f t="shared" si="0"/>
        <v>5.3473139999999999</v>
      </c>
      <c r="G38">
        <f>1515.33-1508.81</f>
        <v>6.5199999999999818</v>
      </c>
      <c r="H38">
        <f>1521.62-1506.28</f>
        <v>15.339999999999918</v>
      </c>
      <c r="I38">
        <f>1535.5-1501.52</f>
        <v>33.980000000000018</v>
      </c>
      <c r="J38">
        <f>1580.05-1490.4</f>
        <v>89.649999999999864</v>
      </c>
      <c r="K38" s="11">
        <f>1596.46-1479.49</f>
        <v>116.97000000000003</v>
      </c>
      <c r="L38" s="11">
        <f>1620.42-1448.82</f>
        <v>171.60000000000014</v>
      </c>
      <c r="M38">
        <f>(for_calcs!B54-for_calcs!C54)/for_calcs!T5</f>
        <v>0.63400000000001455</v>
      </c>
      <c r="N38">
        <f>(for_calcs!D54-for_calcs!E54)/for_calcs!U5</f>
        <v>0.2365000000000009</v>
      </c>
      <c r="O38">
        <f>(for_calcs!F54-for_calcs!G54)/for_calcs!V5</f>
        <v>0.33625000000000116</v>
      </c>
      <c r="P38">
        <f>(for_calcs!H54-for_calcs!I54)/for_calcs!W5</f>
        <v>0.27766666666666801</v>
      </c>
      <c r="Q38">
        <f>(for_calcs!J54-for_calcs!K54)/for_calcs!X5</f>
        <v>0.29279999999999973</v>
      </c>
      <c r="R38">
        <f>(for_calcs!L54-for_calcs!M54)/for_calcs!Y5</f>
        <v>0.24590000000000031</v>
      </c>
      <c r="S38" s="11">
        <f>(for_calcs!N54-for_calcs!O54)/for_calcs!Z5</f>
        <v>0.21810000000000021</v>
      </c>
      <c r="T38" s="25">
        <f>lith_data!E37</f>
        <v>13.662486938349083</v>
      </c>
    </row>
    <row r="39" spans="1:20" x14ac:dyDescent="0.3">
      <c r="A39" t="str">
        <f>lith_data!A38</f>
        <v>LC402</v>
      </c>
      <c r="B39" s="4">
        <v>404</v>
      </c>
      <c r="C39">
        <v>351</v>
      </c>
      <c r="D39">
        <v>135</v>
      </c>
      <c r="E39" s="5">
        <f t="shared" si="0"/>
        <v>19.143539999999998</v>
      </c>
      <c r="G39">
        <f>1532.58-1525.72</f>
        <v>6.8599999999999</v>
      </c>
      <c r="H39">
        <f>1544.27-1521.46</f>
        <v>22.809999999999945</v>
      </c>
      <c r="I39">
        <f>1563.15-1513.4</f>
        <v>49.75</v>
      </c>
      <c r="J39">
        <f>1587.17-1501.52</f>
        <v>85.650000000000091</v>
      </c>
      <c r="K39" s="11">
        <f>1596.43-1490.4</f>
        <v>106.02999999999997</v>
      </c>
      <c r="L39" s="11">
        <f>1617.54-1452.93</f>
        <v>164.6099999999999</v>
      </c>
      <c r="M39">
        <f>(for_calcs!B55-for_calcs!C55)/for_calcs!T6</f>
        <v>0.10999999999999091</v>
      </c>
      <c r="N39">
        <f>(for_calcs!D55-for_calcs!E55)/for_calcs!U6</f>
        <v>0.13199999999999362</v>
      </c>
      <c r="O39">
        <f>(for_calcs!F55-for_calcs!G55)/for_calcs!V6</f>
        <v>0.17425000000000068</v>
      </c>
      <c r="P39">
        <f>(for_calcs!H55-for_calcs!I55)/for_calcs!W6</f>
        <v>0.17000000000000076</v>
      </c>
      <c r="Q39">
        <f>(for_calcs!J55-for_calcs!K55)/for_calcs!X6</f>
        <v>0.23290000000000191</v>
      </c>
      <c r="R39">
        <f>(for_calcs!L55-for_calcs!M55)/for_calcs!Y6</f>
        <v>0.23424999999999954</v>
      </c>
      <c r="S39" s="11">
        <f>(for_calcs!N55-for_calcs!O55)/for_calcs!Z6</f>
        <v>0.22596666666666654</v>
      </c>
      <c r="T39" s="25">
        <f>lith_data!E38</f>
        <v>0.67915690866502398</v>
      </c>
    </row>
    <row r="40" spans="1:20" x14ac:dyDescent="0.3">
      <c r="A40" t="str">
        <f>lith_data!A39</f>
        <v>LC403</v>
      </c>
      <c r="B40" s="4">
        <v>274</v>
      </c>
      <c r="C40">
        <v>155</v>
      </c>
      <c r="D40">
        <v>81</v>
      </c>
      <c r="E40" s="5">
        <f t="shared" si="0"/>
        <v>3.4400700000000004</v>
      </c>
      <c r="G40">
        <f>1557.38-1546.08</f>
        <v>11.300000000000182</v>
      </c>
      <c r="H40">
        <f>1562.42-1539.69</f>
        <v>22.730000000000018</v>
      </c>
      <c r="I40">
        <f>1578.54-1539.6</f>
        <v>38.940000000000055</v>
      </c>
      <c r="J40">
        <f>1591.65-1516.5</f>
        <v>75.150000000000091</v>
      </c>
      <c r="K40" s="11">
        <f>1599.95-1504.63</f>
        <v>95.319999999999936</v>
      </c>
      <c r="L40" s="11">
        <f>1621.44-1484.57</f>
        <v>136.87000000000012</v>
      </c>
      <c r="M40">
        <f>(for_calcs!B56-for_calcs!C56)/for_calcs!T7</f>
        <v>0.22699999999999818</v>
      </c>
      <c r="N40">
        <f>(for_calcs!D56-for_calcs!E56)/for_calcs!U7</f>
        <v>0.3355000000000018</v>
      </c>
      <c r="O40">
        <f>(for_calcs!F56-for_calcs!G56)/for_calcs!V7</f>
        <v>0.21349999999999908</v>
      </c>
      <c r="P40">
        <f>(for_calcs!H56-for_calcs!I56)/for_calcs!W7</f>
        <v>0.2351666666666688</v>
      </c>
      <c r="Q40">
        <f>(for_calcs!J56-for_calcs!K56)/for_calcs!X7</f>
        <v>0.21430000000000063</v>
      </c>
      <c r="R40">
        <f>(for_calcs!L56-for_calcs!M56)/for_calcs!Y7</f>
        <v>0.1831000000000006</v>
      </c>
      <c r="S40" s="11">
        <f>(for_calcs!N56-for_calcs!O56)/for_calcs!Z7</f>
        <v>0.23093333333333324</v>
      </c>
      <c r="T40" s="25">
        <f>lith_data!E39</f>
        <v>48.464808691544683</v>
      </c>
    </row>
    <row r="41" spans="1:20" x14ac:dyDescent="0.3">
      <c r="A41" t="str">
        <f>lith_data!A40</f>
        <v>LC405</v>
      </c>
      <c r="B41" s="4">
        <v>114</v>
      </c>
      <c r="C41">
        <v>91</v>
      </c>
      <c r="D41">
        <v>89</v>
      </c>
      <c r="E41" s="5">
        <f t="shared" si="0"/>
        <v>0.92328599999999994</v>
      </c>
      <c r="G41">
        <f>1568.47-1561.8</f>
        <v>6.6700000000000728</v>
      </c>
      <c r="H41">
        <f>1575.88-1560.36</f>
        <v>15.520000000000209</v>
      </c>
      <c r="I41">
        <f>1590.54-1559.05</f>
        <v>31.490000000000009</v>
      </c>
      <c r="J41">
        <f>1607.94-1553.07</f>
        <v>54.870000000000118</v>
      </c>
      <c r="K41" s="11">
        <f>1625.79-1545.24</f>
        <v>80.549999999999955</v>
      </c>
      <c r="L41" s="11">
        <f>1641.59-1521.56</f>
        <v>120.02999999999997</v>
      </c>
      <c r="M41">
        <f>(for_calcs!B57-for_calcs!C57)/for_calcs!T8</f>
        <v>0.24900000000000092</v>
      </c>
      <c r="N41">
        <f>(for_calcs!D57-for_calcs!E57)/for_calcs!U8</f>
        <v>0.17549999999999955</v>
      </c>
      <c r="O41">
        <f>(for_calcs!F57-for_calcs!G57)/for_calcs!V8</f>
        <v>0.11025000000000204</v>
      </c>
      <c r="P41">
        <f>(for_calcs!H57-for_calcs!I57)/for_calcs!W8</f>
        <v>0.10099999999999909</v>
      </c>
      <c r="Q41">
        <f>(for_calcs!J57-for_calcs!K57)/for_calcs!X8</f>
        <v>9.9200000000000732E-2</v>
      </c>
      <c r="R41">
        <f>(for_calcs!L57-for_calcs!M57)/for_calcs!Y8</f>
        <v>0.10259999999999991</v>
      </c>
      <c r="S41" s="11">
        <f>(for_calcs!N57-for_calcs!O57)/for_calcs!Z8</f>
        <v>0.11009999999999991</v>
      </c>
      <c r="T41" s="25">
        <f>lith_data!E40</f>
        <v>4.1696113074202952</v>
      </c>
    </row>
    <row r="42" spans="1:20" x14ac:dyDescent="0.3">
      <c r="A42" t="str">
        <f>lith_data!A41</f>
        <v>LC406</v>
      </c>
      <c r="B42" s="4">
        <v>125</v>
      </c>
      <c r="C42">
        <v>61</v>
      </c>
      <c r="D42">
        <v>28</v>
      </c>
      <c r="E42" s="5">
        <f t="shared" si="0"/>
        <v>0.21349999999999997</v>
      </c>
      <c r="G42">
        <f>1580.31-1575.28</f>
        <v>5.0299999999999727</v>
      </c>
      <c r="H42">
        <f>1583.7-1572.56</f>
        <v>11.1400000000001</v>
      </c>
      <c r="I42">
        <f>1602.36-1569.07</f>
        <v>33.289999999999964</v>
      </c>
      <c r="J42">
        <f>1625.72-1563.54</f>
        <v>62.180000000000064</v>
      </c>
      <c r="K42" s="11">
        <f>1640.81-1560.36</f>
        <v>80.450000000000045</v>
      </c>
      <c r="L42" s="11">
        <f>1652.17-1549.32</f>
        <v>102.85000000000014</v>
      </c>
      <c r="M42">
        <f>(for_calcs!B58-for_calcs!C58)/for_calcs!T9</f>
        <v>0.10799999999999273</v>
      </c>
      <c r="N42">
        <f>(for_calcs!D58-for_calcs!E58)/for_calcs!U9</f>
        <v>0.12749999999999773</v>
      </c>
      <c r="O42">
        <f>(for_calcs!F58-for_calcs!G58)/for_calcs!V9</f>
        <v>7.9250000000001819E-2</v>
      </c>
      <c r="P42">
        <f>(for_calcs!H58-for_calcs!I58)/for_calcs!W9</f>
        <v>0.10183333333333545</v>
      </c>
      <c r="Q42">
        <f>(for_calcs!J58-for_calcs!K58)/for_calcs!X9</f>
        <v>9.5999999999999086E-2</v>
      </c>
      <c r="R42">
        <f>(for_calcs!L58-for_calcs!M58)/for_calcs!Y9</f>
        <v>9.8599999999998994E-2</v>
      </c>
      <c r="S42" s="11">
        <f>(for_calcs!N58-for_calcs!O58)/for_calcs!Z9</f>
        <v>9.5899999999999944E-2</v>
      </c>
      <c r="T42" s="25">
        <f>lith_data!E41</f>
        <v>17.989666510098445</v>
      </c>
    </row>
    <row r="43" spans="1:20" x14ac:dyDescent="0.3">
      <c r="A43" t="str">
        <f>lith_data!A42</f>
        <v>LC407</v>
      </c>
      <c r="B43" s="4">
        <v>58</v>
      </c>
      <c r="C43">
        <v>41</v>
      </c>
      <c r="D43">
        <v>3</v>
      </c>
      <c r="E43" s="5">
        <f t="shared" si="0"/>
        <v>7.1339999999999988E-3</v>
      </c>
      <c r="G43">
        <f>1593.36-1587.13</f>
        <v>6.2299999999997908</v>
      </c>
      <c r="H43">
        <f>1597.94-1584</f>
        <v>13.940000000000055</v>
      </c>
      <c r="I43">
        <f>1610.06-1580.67</f>
        <v>29.389999999999873</v>
      </c>
      <c r="J43">
        <f>1631.2-1576.89</f>
        <v>54.309999999999945</v>
      </c>
      <c r="K43" s="11">
        <f>1647.81-1571.6</f>
        <v>76.210000000000036</v>
      </c>
      <c r="L43" s="11">
        <f>1661.93-1561.43</f>
        <v>100.5</v>
      </c>
      <c r="M43">
        <f>(for_calcs!B59-for_calcs!C59)/for_calcs!T10</f>
        <v>9.200000000000727E-2</v>
      </c>
      <c r="N43">
        <f>(for_calcs!D59-for_calcs!E59)/for_calcs!U10</f>
        <v>2.0000000000004549E-2</v>
      </c>
      <c r="O43">
        <f>(for_calcs!F59-for_calcs!G59)/for_calcs!V10</f>
        <v>3.125E-2</v>
      </c>
      <c r="P43">
        <f>(for_calcs!H59-for_calcs!I59)/for_calcs!W10</f>
        <v>5.2000000000001968E-2</v>
      </c>
      <c r="Q43">
        <f>(for_calcs!J59-for_calcs!K59)/for_calcs!X10</f>
        <v>7.5599999999999459E-2</v>
      </c>
      <c r="R43">
        <f>(for_calcs!L59-for_calcs!M59)/for_calcs!Y10</f>
        <v>8.3750000000000005E-2</v>
      </c>
      <c r="S43" s="11">
        <f>(for_calcs!N59-for_calcs!O59)/for_calcs!Z10</f>
        <v>8.1566666666666759E-2</v>
      </c>
      <c r="T43" s="25">
        <f>lith_data!E42</f>
        <v>96.433289299868079</v>
      </c>
    </row>
    <row r="44" spans="1:20" x14ac:dyDescent="0.3">
      <c r="A44" t="str">
        <f>lith_data!A43</f>
        <v>LC408</v>
      </c>
      <c r="B44" s="4">
        <v>117</v>
      </c>
      <c r="C44">
        <v>33</v>
      </c>
      <c r="D44">
        <v>20</v>
      </c>
      <c r="E44" s="5">
        <f t="shared" si="0"/>
        <v>7.7219999999999997E-2</v>
      </c>
      <c r="G44">
        <f>1599.25-1596.63</f>
        <v>2.6199999999998909</v>
      </c>
      <c r="H44">
        <f>1605.06-1595.8</f>
        <v>9.2599999999999909</v>
      </c>
      <c r="I44">
        <f>1622.06-1594.72</f>
        <v>27.339999999999918</v>
      </c>
      <c r="J44">
        <f>1650.13-1591.89</f>
        <v>58.240000000000009</v>
      </c>
      <c r="K44" s="11">
        <f>1662.16-1589.07</f>
        <v>73.090000000000146</v>
      </c>
      <c r="L44" s="11">
        <f>1674.02-1580.67</f>
        <v>93.349999999999909</v>
      </c>
      <c r="M44">
        <f>(for_calcs!B60-for_calcs!C60)/for_calcs!T11</f>
        <v>9.1000000000008185E-2</v>
      </c>
      <c r="N44">
        <f>(for_calcs!D60-for_calcs!E60)/for_calcs!U11</f>
        <v>7.7500000000009089E-2</v>
      </c>
      <c r="O44">
        <f>(for_calcs!F60-for_calcs!G60)/for_calcs!V11</f>
        <v>7.6500000000004315E-2</v>
      </c>
      <c r="P44">
        <f>(for_calcs!H60-for_calcs!I60)/for_calcs!W11</f>
        <v>9.7166666666665458E-2</v>
      </c>
      <c r="Q44">
        <f>(for_calcs!J60-for_calcs!K60)/for_calcs!X11</f>
        <v>9.2499999999999999E-2</v>
      </c>
      <c r="R44">
        <f>(for_calcs!L60-for_calcs!M60)/for_calcs!Y11</f>
        <v>8.9800000000000185E-2</v>
      </c>
      <c r="S44" s="11">
        <f>(for_calcs!N60-for_calcs!O60)/for_calcs!Z11</f>
        <v>9.2966666666666239E-2</v>
      </c>
      <c r="T44" s="25">
        <f>lith_data!E43</f>
        <v>27.796287482150838</v>
      </c>
    </row>
    <row r="45" spans="1:20" x14ac:dyDescent="0.3">
      <c r="A45" t="str">
        <f>lith_data!A44</f>
        <v>LC409</v>
      </c>
      <c r="B45" s="4">
        <v>152</v>
      </c>
      <c r="C45">
        <v>79</v>
      </c>
      <c r="D45">
        <v>13</v>
      </c>
      <c r="E45" s="5">
        <f t="shared" si="0"/>
        <v>0.15610400000000002</v>
      </c>
      <c r="G45">
        <f>1613.71-1608.72</f>
        <v>4.9900000000000091</v>
      </c>
      <c r="H45">
        <f>1622.81-1607.38</f>
        <v>15.429999999999836</v>
      </c>
      <c r="I45">
        <f>1642.62-1604.45</f>
        <v>38.169999999999845</v>
      </c>
      <c r="J45">
        <f>1661.32-1599.11</f>
        <v>62.210000000000036</v>
      </c>
      <c r="K45" s="11">
        <f>1671.97-1595.8</f>
        <v>76.170000000000073</v>
      </c>
      <c r="L45" s="11">
        <f>1676.9-1589.69</f>
        <v>87.210000000000036</v>
      </c>
      <c r="M45">
        <f>(for_calcs!B61-for_calcs!C61)/for_calcs!T12</f>
        <v>0.15700000000001638</v>
      </c>
      <c r="N45">
        <f>(for_calcs!D61-for_calcs!E61)/for_calcs!U12</f>
        <v>5.4499999999995906E-2</v>
      </c>
      <c r="O45">
        <f>(for_calcs!F61-for_calcs!G61)/for_calcs!V12</f>
        <v>0.12800000000000294</v>
      </c>
      <c r="P45">
        <f>(for_calcs!H61-for_calcs!I61)/for_calcs!W12</f>
        <v>0.13766666666666652</v>
      </c>
      <c r="Q45">
        <f>(for_calcs!J61-for_calcs!K61)/for_calcs!X12</f>
        <v>0.11360000000000127</v>
      </c>
      <c r="R45">
        <f>(for_calcs!L61-for_calcs!M61)/for_calcs!Y12</f>
        <v>0.11320000000000049</v>
      </c>
      <c r="S45" s="11">
        <f>(for_calcs!N61-for_calcs!O61)/for_calcs!Z12</f>
        <v>0.10723333333333357</v>
      </c>
      <c r="T45" s="25">
        <f>lith_data!E44</f>
        <v>91.580041580041566</v>
      </c>
    </row>
    <row r="46" spans="1:20" x14ac:dyDescent="0.3">
      <c r="A46" t="str">
        <f>lith_data!A45</f>
        <v>LC410</v>
      </c>
      <c r="B46" s="4">
        <v>328</v>
      </c>
      <c r="C46">
        <v>152</v>
      </c>
      <c r="D46">
        <v>23</v>
      </c>
      <c r="E46" s="5">
        <f t="shared" si="0"/>
        <v>1.1466879999999999</v>
      </c>
      <c r="G46">
        <f>1627.12-1619.09</f>
        <v>8.0299999999999727</v>
      </c>
      <c r="H46">
        <f>1633.57-1618.17</f>
        <v>15.399999999999864</v>
      </c>
      <c r="I46">
        <f>1651.27-1614.96</f>
        <v>36.309999999999945</v>
      </c>
      <c r="J46">
        <f>1662.73-1608.72</f>
        <v>54.009999999999991</v>
      </c>
      <c r="K46" s="11">
        <f>1670.85-1602.98</f>
        <v>67.869999999999891</v>
      </c>
      <c r="L46" s="11">
        <f>1678.92-1595.2</f>
        <v>83.720000000000027</v>
      </c>
      <c r="M46">
        <f>(for_calcs!B62-for_calcs!C62)/for_calcs!T13</f>
        <v>0.14300000000000637</v>
      </c>
      <c r="N46">
        <f>(for_calcs!D62-for_calcs!E62)/for_calcs!U13</f>
        <v>0.11849999999999454</v>
      </c>
      <c r="O46">
        <f>(for_calcs!F62-for_calcs!G62)/for_calcs!V13</f>
        <v>9.9750000000000227E-2</v>
      </c>
      <c r="P46">
        <f>(for_calcs!H62-for_calcs!I62)/for_calcs!W13</f>
        <v>9.6333333333332882E-2</v>
      </c>
      <c r="Q46">
        <f>(for_calcs!J62-for_calcs!K62)/for_calcs!X13</f>
        <v>8.5499999999999549E-2</v>
      </c>
      <c r="R46">
        <f>(for_calcs!L62-for_calcs!M62)/for_calcs!Y13</f>
        <v>9.9599999999999231E-2</v>
      </c>
      <c r="S46" s="11">
        <f>(for_calcs!N62-for_calcs!O62)/for_calcs!Z13</f>
        <v>9.6233333333333726E-2</v>
      </c>
      <c r="T46" s="25">
        <f>lith_data!E45</f>
        <v>23.166623477584668</v>
      </c>
    </row>
    <row r="47" spans="1:20" x14ac:dyDescent="0.3">
      <c r="A47" t="str">
        <f>lith_data!A46</f>
        <v>LC411</v>
      </c>
      <c r="B47" s="4">
        <v>419</v>
      </c>
      <c r="C47">
        <v>119</v>
      </c>
      <c r="D47">
        <v>43</v>
      </c>
      <c r="E47" s="5">
        <f t="shared" si="0"/>
        <v>2.1440230000000002</v>
      </c>
      <c r="G47">
        <f>1637.87-1631.08</f>
        <v>6.7899999999999636</v>
      </c>
      <c r="H47">
        <f>1643.1-1630.6</f>
        <v>12.5</v>
      </c>
      <c r="I47">
        <f>1655.35-1627.32</f>
        <v>28.029999999999973</v>
      </c>
      <c r="J47">
        <f>1669.63-1623.11</f>
        <v>46.520000000000209</v>
      </c>
      <c r="K47" s="11">
        <f>1676.58-1616.61</f>
        <v>59.970000000000027</v>
      </c>
      <c r="L47" s="11">
        <f>1679.13-1605.62</f>
        <v>73.510000000000218</v>
      </c>
      <c r="M47">
        <f>(for_calcs!B63-for_calcs!C63)/for_calcs!T14</f>
        <v>7.6999999999998181E-2</v>
      </c>
      <c r="N47">
        <f>(for_calcs!D63-for_calcs!E63)/for_calcs!U14</f>
        <v>5.1499999999998637E-2</v>
      </c>
      <c r="O47">
        <f>(for_calcs!F63-for_calcs!G63)/for_calcs!V14</f>
        <v>3.2499999999998863E-2</v>
      </c>
      <c r="P47">
        <f>(for_calcs!H63-for_calcs!I63)/for_calcs!W14</f>
        <v>7.5166666666670309E-2</v>
      </c>
      <c r="Q47">
        <f>(for_calcs!J63-for_calcs!K63)/for_calcs!X14</f>
        <v>6.5399999999999639E-2</v>
      </c>
      <c r="R47">
        <f>(for_calcs!L63-for_calcs!M63)/for_calcs!Y14</f>
        <v>7.4349999999999458E-2</v>
      </c>
      <c r="S47" s="11">
        <f>(for_calcs!N63-for_calcs!O63)/for_calcs!Z14</f>
        <v>7.9533333333333761E-2</v>
      </c>
      <c r="T47" s="25">
        <f>lith_data!E46</f>
        <v>15.251011182488817</v>
      </c>
    </row>
    <row r="48" spans="1:20" s="29" customFormat="1" x14ac:dyDescent="0.3">
      <c r="A48" s="29" t="str">
        <f>lith_data!A47</f>
        <v>LC412</v>
      </c>
      <c r="B48" s="28">
        <v>64</v>
      </c>
      <c r="C48" s="29">
        <v>58</v>
      </c>
      <c r="D48" s="29">
        <v>33</v>
      </c>
      <c r="E48" s="30">
        <f t="shared" si="0"/>
        <v>0.12249599999999999</v>
      </c>
      <c r="G48" s="29">
        <f>1645.03-1643.84</f>
        <v>1.1900000000000546</v>
      </c>
      <c r="H48" s="29">
        <f>1647.36-1642.87</f>
        <v>4.4900000000000091</v>
      </c>
      <c r="I48" s="29">
        <f>1662.03-1639.79</f>
        <v>22.240000000000009</v>
      </c>
      <c r="J48" s="29">
        <f>1674.32-1633.93</f>
        <v>40.389999999999873</v>
      </c>
      <c r="K48" s="31">
        <f>1678.95-1630.14</f>
        <v>48.809999999999945</v>
      </c>
      <c r="L48" s="31">
        <f>1683.95-1619.09</f>
        <v>64.860000000000127</v>
      </c>
      <c r="M48" s="29">
        <f>(for_calcs!B64-for_calcs!C64)/for_calcs!T15</f>
        <v>0.10299999999999727</v>
      </c>
      <c r="N48" s="29">
        <f>(for_calcs!D64-for_calcs!E64)/for_calcs!U15</f>
        <v>9.549999999999273E-2</v>
      </c>
      <c r="O48" s="29">
        <f>(for_calcs!F64-for_calcs!G64)/for_calcs!V15</f>
        <v>8.7000000000000452E-2</v>
      </c>
      <c r="P48" s="29">
        <f>(for_calcs!H64-for_calcs!I64)/for_calcs!W15</f>
        <v>8.2166666666663932E-2</v>
      </c>
      <c r="Q48" s="32"/>
      <c r="R48" s="32"/>
      <c r="S48" s="32"/>
      <c r="T48" s="33">
        <f>lith_data!E47</f>
        <v>97.444391859914717</v>
      </c>
    </row>
    <row r="49" spans="1:20" x14ac:dyDescent="0.3">
      <c r="A49" s="16" t="str">
        <f>lith_data!A48</f>
        <v>LC5.6</v>
      </c>
      <c r="B49" s="4">
        <v>213</v>
      </c>
      <c r="C49">
        <v>145</v>
      </c>
      <c r="D49">
        <v>53</v>
      </c>
      <c r="E49" s="5">
        <f t="shared" si="0"/>
        <v>1.6369049999999998</v>
      </c>
      <c r="G49">
        <f>1566.13-1559.01</f>
        <v>7.1200000000001182</v>
      </c>
      <c r="H49">
        <f>1571.81-1557.66</f>
        <v>14.149999999999864</v>
      </c>
      <c r="I49">
        <f>1583.57-1550.06</f>
        <v>33.509999999999991</v>
      </c>
      <c r="J49">
        <f>1603.08-1542.71</f>
        <v>60.369999999999891</v>
      </c>
      <c r="K49" s="11">
        <f>1620.25-1535.3</f>
        <v>84.950000000000045</v>
      </c>
      <c r="L49" s="11">
        <f>1629.16-1508.77</f>
        <v>120.3900000000001</v>
      </c>
      <c r="M49">
        <f>(for_calcs!B65-for_calcs!C65)/for_calcs!T4</f>
        <v>-3.7999999999988175E-2</v>
      </c>
      <c r="N49">
        <f>(for_calcs!D65-for_calcs!E65)/for_calcs!U4</f>
        <v>-4.7500000000002277E-2</v>
      </c>
      <c r="O49">
        <f>(for_calcs!F65-for_calcs!G65)/for_calcs!V4</f>
        <v>9.1999999999995904E-2</v>
      </c>
      <c r="P49">
        <f>(for_calcs!H65-for_calcs!I65)/for_calcs!W4</f>
        <v>0.12516666666666651</v>
      </c>
      <c r="Q49">
        <f>(for_calcs!J65-for_calcs!K65)/for_calcs!X4</f>
        <v>0.10279999999999972</v>
      </c>
      <c r="R49">
        <f>(for_calcs!L65-for_calcs!M65)/for_calcs!Y4</f>
        <v>0.11274999999999977</v>
      </c>
      <c r="S49" s="11">
        <f>(for_calcs!N65-for_calcs!O65)/for_calcs!Z4</f>
        <v>0.1224666666666667</v>
      </c>
      <c r="T49" s="25">
        <f>lith_data!E48</f>
        <v>23.068432671082238</v>
      </c>
    </row>
    <row r="50" spans="1:20" x14ac:dyDescent="0.3">
      <c r="A50" s="16" t="str">
        <f>lith_data!A49</f>
        <v>LC5.7</v>
      </c>
      <c r="B50" s="4">
        <v>99</v>
      </c>
      <c r="C50">
        <v>69</v>
      </c>
      <c r="D50">
        <v>36</v>
      </c>
      <c r="E50" s="5">
        <f t="shared" si="0"/>
        <v>0.245916</v>
      </c>
      <c r="G50">
        <f>1578.41-1573.03</f>
        <v>5.3800000000001091</v>
      </c>
      <c r="H50">
        <f>1583.69-1572.09</f>
        <v>11.600000000000136</v>
      </c>
      <c r="I50">
        <f>1592-1569.34</f>
        <v>22.660000000000082</v>
      </c>
      <c r="J50">
        <f>1609.74-1565.91</f>
        <v>43.829999999999927</v>
      </c>
      <c r="K50" s="11">
        <f>1621.26-1558.99</f>
        <v>62.269999999999982</v>
      </c>
      <c r="L50" s="11">
        <f>1630.89-1542.71</f>
        <v>88.180000000000064</v>
      </c>
      <c r="M50">
        <f>(for_calcs!B66-for_calcs!C66)/for_calcs!T5</f>
        <v>-5.9999999999945427E-3</v>
      </c>
      <c r="N50">
        <f>(for_calcs!D66-for_calcs!E66)/for_calcs!U5</f>
        <v>2.8500000000008185E-2</v>
      </c>
      <c r="O50">
        <f>(for_calcs!F66-for_calcs!G66)/for_calcs!V5</f>
        <v>2.3250000000001592E-2</v>
      </c>
      <c r="P50">
        <f>(for_calcs!H66-for_calcs!I66)/for_calcs!W5</f>
        <v>1.9500000000001214E-2</v>
      </c>
      <c r="Q50">
        <f>(for_calcs!J66-for_calcs!K66)/for_calcs!X5</f>
        <v>6.9800000000000181E-2</v>
      </c>
      <c r="R50">
        <f>(for_calcs!L66-for_calcs!M66)/for_calcs!Y5</f>
        <v>6.7149999999999183E-2</v>
      </c>
      <c r="S50" s="11">
        <f>(for_calcs!N66-for_calcs!O66)/for_calcs!Z5</f>
        <v>7.6733333333333278E-2</v>
      </c>
      <c r="T50" s="25">
        <f>lith_data!E49</f>
        <v>24.727272727272066</v>
      </c>
    </row>
    <row r="51" spans="1:20" x14ac:dyDescent="0.3">
      <c r="A51" s="16" t="str">
        <f>lith_data!A50</f>
        <v>LC5.8</v>
      </c>
      <c r="B51" s="4">
        <v>137</v>
      </c>
      <c r="C51">
        <v>125</v>
      </c>
      <c r="D51">
        <v>18</v>
      </c>
      <c r="E51" s="5">
        <f t="shared" si="0"/>
        <v>0.30824999999999997</v>
      </c>
      <c r="G51">
        <f>1584.62-1581.77</f>
        <v>2.8499999999999091</v>
      </c>
      <c r="H51">
        <f>1587.4-1581.19</f>
        <v>6.2100000000000364</v>
      </c>
      <c r="I51">
        <f>1596.52-1578.45</f>
        <v>18.069999999999936</v>
      </c>
      <c r="J51">
        <f>1615.19-1575.17</f>
        <v>40.019999999999982</v>
      </c>
      <c r="K51" s="11">
        <f>1624.39-1570.29</f>
        <v>54.100000000000136</v>
      </c>
      <c r="L51" s="11">
        <f>1634.2-1561.13</f>
        <v>73.069999999999936</v>
      </c>
      <c r="M51">
        <f>(for_calcs!B67-for_calcs!C67)/for_calcs!T6</f>
        <v>7.7000000000020913E-2</v>
      </c>
      <c r="N51">
        <f>(for_calcs!D67-for_calcs!E67)/for_calcs!U6</f>
        <v>6.5499999999997269E-2</v>
      </c>
      <c r="O51">
        <f>(for_calcs!F67-for_calcs!G67)/for_calcs!V6</f>
        <v>9.2500000000001137E-2</v>
      </c>
      <c r="P51">
        <f>(for_calcs!H67-for_calcs!I67)/for_calcs!W6</f>
        <v>8.2000000000001211E-2</v>
      </c>
      <c r="Q51">
        <f>(for_calcs!J67-for_calcs!K67)/for_calcs!X6</f>
        <v>6.9399999999998269E-2</v>
      </c>
      <c r="R51">
        <f>(for_calcs!L67-for_calcs!M67)/for_calcs!Y6</f>
        <v>7.1299999999999961E-2</v>
      </c>
      <c r="S51" s="11">
        <f>(for_calcs!N67-for_calcs!O67)/for_calcs!Z6</f>
        <v>7.1999999999999703E-2</v>
      </c>
      <c r="T51" s="25">
        <f>lith_data!E50</f>
        <v>14.638447971781199</v>
      </c>
    </row>
    <row r="52" spans="1:20" x14ac:dyDescent="0.3">
      <c r="A52" s="16" t="str">
        <f>lith_data!A51</f>
        <v>LC500</v>
      </c>
      <c r="B52" s="4">
        <v>467</v>
      </c>
      <c r="C52">
        <v>368</v>
      </c>
      <c r="D52">
        <v>130</v>
      </c>
      <c r="E52" s="5">
        <f t="shared" si="0"/>
        <v>22.341280000000001</v>
      </c>
      <c r="G52">
        <f>1489.46-1482.69</f>
        <v>6.7699999999999818</v>
      </c>
      <c r="H52">
        <f>1495.64-1477.88</f>
        <v>17.759999999999991</v>
      </c>
      <c r="I52">
        <f>1525.54-1470.02</f>
        <v>55.519999999999982</v>
      </c>
      <c r="J52">
        <f>1545.56-1462.06</f>
        <v>83.5</v>
      </c>
      <c r="K52" s="11">
        <f>1575.08-1456.79</f>
        <v>118.28999999999996</v>
      </c>
      <c r="L52" s="11">
        <f>1595.23-1444.62</f>
        <v>150.61000000000013</v>
      </c>
      <c r="M52">
        <f>(for_calcs!B68-for_calcs!C68)/for_calcs!T7</f>
        <v>2.199999999997999E-2</v>
      </c>
      <c r="N52">
        <f>(for_calcs!D68-for_calcs!E68)/for_calcs!U7</f>
        <v>0.16399999999999865</v>
      </c>
      <c r="O52">
        <f>(for_calcs!F68-for_calcs!G68)/for_calcs!V7</f>
        <v>6.0250000000002045E-2</v>
      </c>
      <c r="P52">
        <f>(for_calcs!H68-for_calcs!I68)/for_calcs!W7</f>
        <v>8.7000000000000452E-2</v>
      </c>
      <c r="Q52">
        <f>(for_calcs!J68-for_calcs!K68)/for_calcs!X7</f>
        <v>6.1900000000000545E-2</v>
      </c>
      <c r="R52">
        <f>(for_calcs!L68-for_calcs!M68)/for_calcs!Y7</f>
        <v>0.12330000000000041</v>
      </c>
      <c r="S52" s="11">
        <f>(for_calcs!N68-for_calcs!O68)/for_calcs!Z7</f>
        <v>0.15859999999999977</v>
      </c>
      <c r="T52" s="25">
        <f>lith_data!E51</f>
        <v>97.982345523329357</v>
      </c>
    </row>
    <row r="53" spans="1:20" x14ac:dyDescent="0.3">
      <c r="A53" s="16" t="str">
        <f>lith_data!A52</f>
        <v>LC501</v>
      </c>
      <c r="B53" s="4">
        <v>216</v>
      </c>
      <c r="C53">
        <v>208</v>
      </c>
      <c r="D53">
        <v>107</v>
      </c>
      <c r="E53" s="5">
        <f t="shared" si="0"/>
        <v>4.807296</v>
      </c>
      <c r="G53">
        <f>1492.78-1489.58</f>
        <v>3.2000000000000455</v>
      </c>
      <c r="H53">
        <f>1500.83-1484.61</f>
        <v>16.220000000000027</v>
      </c>
      <c r="I53">
        <f>1516.27-1479</f>
        <v>37.269999999999982</v>
      </c>
      <c r="J53">
        <f>1563.24-1474.15</f>
        <v>89.089999999999918</v>
      </c>
      <c r="K53" s="11">
        <f>1594.53-1469.06</f>
        <v>125.47000000000003</v>
      </c>
      <c r="L53" s="11">
        <f>1619.02-1456.79</f>
        <v>162.23000000000002</v>
      </c>
      <c r="M53">
        <f>(for_calcs!B69-for_calcs!C69)/for_calcs!T8</f>
        <v>0.23099999999999454</v>
      </c>
      <c r="N53">
        <f>(for_calcs!D69-for_calcs!E69)/for_calcs!U8</f>
        <v>0.18150000000000546</v>
      </c>
      <c r="O53">
        <f>(for_calcs!F69-for_calcs!G69)/for_calcs!V8</f>
        <v>0.25974999999999682</v>
      </c>
      <c r="P53">
        <f>(for_calcs!H69-for_calcs!I69)/for_calcs!W8</f>
        <v>0.25216666666666848</v>
      </c>
      <c r="Q53">
        <f>(for_calcs!J69-for_calcs!K69)/for_calcs!X8</f>
        <v>0.24730000000000019</v>
      </c>
      <c r="R53">
        <f>(for_calcs!L69-for_calcs!M69)/for_calcs!Y8</f>
        <v>0.20920000000000072</v>
      </c>
      <c r="S53" s="11">
        <f>(for_calcs!N69-for_calcs!O69)/for_calcs!Z8</f>
        <v>0.17449999999999968</v>
      </c>
      <c r="T53" s="25">
        <f>lith_data!E52</f>
        <v>95.53140096618371</v>
      </c>
    </row>
    <row r="54" spans="1:20" x14ac:dyDescent="0.3">
      <c r="A54" s="16" t="str">
        <f>lith_data!A53</f>
        <v>LC502</v>
      </c>
      <c r="B54" s="4">
        <v>257</v>
      </c>
      <c r="C54">
        <v>208</v>
      </c>
      <c r="D54">
        <v>107</v>
      </c>
      <c r="E54" s="5">
        <f t="shared" si="0"/>
        <v>5.7197919999999991</v>
      </c>
      <c r="G54">
        <f>1499.87-1492.16</f>
        <v>7.709999999999809</v>
      </c>
      <c r="H54">
        <f>1508.02-1488.75</f>
        <v>19.269999999999982</v>
      </c>
      <c r="I54">
        <f>1526.14-1482.84</f>
        <v>43.300000000000182</v>
      </c>
      <c r="J54">
        <f>1576.93-1475.09</f>
        <v>101.84000000000015</v>
      </c>
      <c r="K54" s="11">
        <f>1599.31-1472.76</f>
        <v>126.54999999999995</v>
      </c>
      <c r="L54" s="11">
        <f>1620.62-1459.14</f>
        <v>161.47999999999979</v>
      </c>
      <c r="M54">
        <f>(for_calcs!B70-for_calcs!C70)/for_calcs!T9</f>
        <v>0.50699999999999368</v>
      </c>
      <c r="N54">
        <f>(for_calcs!D70-for_calcs!E70)/for_calcs!U9</f>
        <v>0.37999999999999545</v>
      </c>
      <c r="O54">
        <f>(for_calcs!F70-for_calcs!G70)/for_calcs!V9</f>
        <v>0.32100000000000362</v>
      </c>
      <c r="P54">
        <f>(for_calcs!H70-for_calcs!I70)/for_calcs!W9</f>
        <v>0.28816666666666985</v>
      </c>
      <c r="Q54">
        <f>(for_calcs!J70-for_calcs!K70)/for_calcs!X9</f>
        <v>0.29079999999999928</v>
      </c>
      <c r="R54">
        <f>(for_calcs!L70-for_calcs!M70)/for_calcs!Y9</f>
        <v>0.18789999999999962</v>
      </c>
      <c r="S54" s="11">
        <f>(for_calcs!N70-for_calcs!O70)/for_calcs!Z9</f>
        <v>0.16589999999999994</v>
      </c>
      <c r="T54" s="25">
        <f>lith_data!E53</f>
        <v>99.930795847750531</v>
      </c>
    </row>
    <row r="55" spans="1:20" x14ac:dyDescent="0.3">
      <c r="A55" s="16" t="str">
        <f>lith_data!A54</f>
        <v>LC503</v>
      </c>
      <c r="B55" s="4">
        <v>386</v>
      </c>
      <c r="C55">
        <v>224</v>
      </c>
      <c r="D55">
        <v>135</v>
      </c>
      <c r="E55" s="5">
        <f t="shared" si="0"/>
        <v>11.672639999999999</v>
      </c>
      <c r="G55">
        <f>1479.53-1462.64</f>
        <v>16.889999999999873</v>
      </c>
      <c r="H55">
        <f>1479.53-1462.64</f>
        <v>16.889999999999873</v>
      </c>
      <c r="I55">
        <f>1505.67-1457.08</f>
        <v>48.590000000000146</v>
      </c>
      <c r="J55">
        <f>1557.07-1453.14</f>
        <v>103.92999999999984</v>
      </c>
      <c r="K55" s="11">
        <f>1561.62-1447.55</f>
        <v>114.06999999999994</v>
      </c>
      <c r="L55" s="11">
        <f>1589.82-1436.28</f>
        <v>153.53999999999996</v>
      </c>
      <c r="M55">
        <f>(for_calcs!B71-for_calcs!C71)/for_calcs!T10</f>
        <v>0.32500000000000001</v>
      </c>
      <c r="N55">
        <f>(for_calcs!D71-for_calcs!E71)/for_calcs!U10</f>
        <v>0.24049999999999727</v>
      </c>
      <c r="O55">
        <f>(for_calcs!F71-for_calcs!G71)/for_calcs!V10</f>
        <v>0.10550000000000068</v>
      </c>
      <c r="P55">
        <f>(for_calcs!H71-for_calcs!I71)/for_calcs!W10</f>
        <v>0.11016666666666879</v>
      </c>
      <c r="Q55">
        <f>(for_calcs!J71-for_calcs!K71)/for_calcs!X10</f>
        <v>0.10169999999999846</v>
      </c>
      <c r="R55">
        <f>(for_calcs!L71-for_calcs!M71)/for_calcs!Y10</f>
        <v>0.10779999999999973</v>
      </c>
      <c r="S55" s="11">
        <f>(for_calcs!N71-for_calcs!O71)/for_calcs!Z10</f>
        <v>0.10826666666666673</v>
      </c>
      <c r="T55" s="25">
        <f>lith_data!E54</f>
        <v>98.536585365853611</v>
      </c>
    </row>
    <row r="56" spans="1:20" x14ac:dyDescent="0.3">
      <c r="A56" s="16" t="str">
        <f>lith_data!A55</f>
        <v>LC504</v>
      </c>
      <c r="B56" s="4">
        <v>683</v>
      </c>
      <c r="C56">
        <v>533</v>
      </c>
      <c r="D56">
        <v>170</v>
      </c>
      <c r="E56" s="5">
        <f t="shared" si="0"/>
        <v>61.886630000000004</v>
      </c>
      <c r="G56">
        <f>1464.45-1455.41</f>
        <v>9.0399999999999636</v>
      </c>
      <c r="H56">
        <f>1470.39-1449.75</f>
        <v>20.6400000000001</v>
      </c>
      <c r="I56">
        <f>1505.31-1446.62</f>
        <v>58.690000000000055</v>
      </c>
      <c r="J56">
        <f>1557.67-1440.91</f>
        <v>116.75999999999999</v>
      </c>
      <c r="K56" s="11">
        <f>1561.72-1436.28</f>
        <v>125.44000000000005</v>
      </c>
      <c r="L56" s="11">
        <f>1575.7-1426.66</f>
        <v>149.03999999999996</v>
      </c>
      <c r="M56">
        <f>(for_calcs!B72-for_calcs!C72)/for_calcs!T11</f>
        <v>0.42300000000000182</v>
      </c>
      <c r="N56">
        <f>(for_calcs!D72-for_calcs!E72)/for_calcs!U11</f>
        <v>0.14400000000000546</v>
      </c>
      <c r="O56">
        <f>(for_calcs!F72-for_calcs!G72)/for_calcs!V11</f>
        <v>0.10774999999999864</v>
      </c>
      <c r="P56">
        <f>(for_calcs!H72-for_calcs!I72)/for_calcs!W11</f>
        <v>0.11866666666666864</v>
      </c>
      <c r="Q56">
        <f>(for_calcs!J72-for_calcs!K72)/for_calcs!X11</f>
        <v>7.3800000000001087E-2</v>
      </c>
      <c r="R56">
        <f>(for_calcs!L72-for_calcs!M72)/for_calcs!Y11</f>
        <v>9.3199999999999367E-2</v>
      </c>
      <c r="S56" s="11">
        <f>(for_calcs!N72-for_calcs!O72)/for_calcs!Z11</f>
        <v>0.11913333333333337</v>
      </c>
      <c r="T56" s="25">
        <f>lith_data!E55</f>
        <v>86.088379705399774</v>
      </c>
    </row>
    <row r="57" spans="1:20" x14ac:dyDescent="0.3">
      <c r="A57" s="16" t="str">
        <f>lith_data!A56</f>
        <v>LC505</v>
      </c>
      <c r="B57" s="4">
        <v>188</v>
      </c>
      <c r="C57">
        <v>145</v>
      </c>
      <c r="D57">
        <v>58</v>
      </c>
      <c r="E57" s="5">
        <f t="shared" si="0"/>
        <v>1.5810799999999998</v>
      </c>
      <c r="G57">
        <f>1438.16-1435.04</f>
        <v>3.1200000000001182</v>
      </c>
      <c r="H57">
        <f>1443.62-1434.03</f>
        <v>9.5899999999999181</v>
      </c>
      <c r="I57">
        <f>1458.23-1431.62</f>
        <v>26.610000000000127</v>
      </c>
      <c r="J57">
        <f>1480.84-1429.14</f>
        <v>51.699999999999818</v>
      </c>
      <c r="K57" s="11">
        <f>1506.63-1426.07</f>
        <v>80.560000000000173</v>
      </c>
      <c r="L57" s="11">
        <f>1574.84-1421.65</f>
        <v>153.18999999999983</v>
      </c>
      <c r="M57">
        <f>(for_calcs!B73-for_calcs!C73)/for_calcs!T12</f>
        <v>2.9000000000019101E-2</v>
      </c>
      <c r="N57">
        <f>(for_calcs!D73-for_calcs!E73)/for_calcs!U12</f>
        <v>8.1500000000005457E-2</v>
      </c>
      <c r="O57">
        <f>(for_calcs!F73-for_calcs!G73)/for_calcs!V12</f>
        <v>5.4499999999995906E-2</v>
      </c>
      <c r="P57">
        <f>(for_calcs!H73-for_calcs!I73)/for_calcs!W12</f>
        <v>7.1666666666665907E-2</v>
      </c>
      <c r="Q57">
        <f>(for_calcs!J73-for_calcs!K73)/for_calcs!X12</f>
        <v>5.4200000000000727E-2</v>
      </c>
      <c r="R57">
        <f>(for_calcs!L73-for_calcs!M73)/for_calcs!Y12</f>
        <v>6.2750000000000916E-2</v>
      </c>
      <c r="S57" s="11">
        <f>(for_calcs!N73-for_calcs!O73)/for_calcs!Z12</f>
        <v>6.4333333333333187E-2</v>
      </c>
      <c r="T57" s="25">
        <f>lith_data!E56</f>
        <v>98.454106280194083</v>
      </c>
    </row>
    <row r="58" spans="1:20" x14ac:dyDescent="0.3">
      <c r="A58" s="16" t="str">
        <f>lith_data!A57</f>
        <v>LC506</v>
      </c>
      <c r="B58" s="4">
        <v>191</v>
      </c>
      <c r="C58">
        <v>170</v>
      </c>
      <c r="D58">
        <v>86</v>
      </c>
      <c r="E58" s="5">
        <f t="shared" si="0"/>
        <v>2.7924199999999995</v>
      </c>
      <c r="G58">
        <f>1425.18-1424.58</f>
        <v>0.60000000000013642</v>
      </c>
      <c r="H58">
        <f>1427.54-1424.27</f>
        <v>3.2699999999999818</v>
      </c>
      <c r="I58">
        <f>1441.84-1423.24</f>
        <v>18.599999999999909</v>
      </c>
      <c r="J58">
        <f>1464.53-1420.36</f>
        <v>44.170000000000073</v>
      </c>
      <c r="K58" s="11">
        <f>1501.82-1417.18</f>
        <v>84.639999999999873</v>
      </c>
      <c r="L58" s="11">
        <f>1563.37-1411.74</f>
        <v>151.62999999999988</v>
      </c>
      <c r="M58">
        <f>(for_calcs!B74-for_calcs!C74)/for_calcs!T13</f>
        <v>5.8999999999991816E-2</v>
      </c>
      <c r="N58">
        <f>(for_calcs!D74-for_calcs!E74)/for_calcs!U13</f>
        <v>3.249999999999318E-2</v>
      </c>
      <c r="O58">
        <f>(for_calcs!F74-for_calcs!G74)/for_calcs!V13</f>
        <v>2.22500000000025E-2</v>
      </c>
      <c r="P58">
        <f>(for_calcs!H74-for_calcs!I74)/for_calcs!W13</f>
        <v>5.466666666667E-2</v>
      </c>
      <c r="Q58">
        <f>(for_calcs!J74-for_calcs!K74)/for_calcs!X13</f>
        <v>3.3600000000001275E-2</v>
      </c>
      <c r="R58">
        <f>(for_calcs!L74-for_calcs!M74)/for_calcs!Y13</f>
        <v>3.6199999999998907E-2</v>
      </c>
      <c r="S58" s="11">
        <f>(for_calcs!N74-for_calcs!O74)/for_calcs!Z13</f>
        <v>6.1033333333333911E-2</v>
      </c>
      <c r="T58" s="25">
        <f>lith_data!E57</f>
        <v>96.294307196562684</v>
      </c>
    </row>
    <row r="59" spans="1:20" x14ac:dyDescent="0.3">
      <c r="A59" s="16" t="str">
        <f>lith_data!A58</f>
        <v>LC507</v>
      </c>
      <c r="B59" s="4">
        <v>76</v>
      </c>
      <c r="C59">
        <v>46</v>
      </c>
      <c r="D59">
        <v>28</v>
      </c>
      <c r="E59" s="5">
        <f t="shared" si="0"/>
        <v>9.7888000000000003E-2</v>
      </c>
      <c r="G59">
        <f>1608.94-1607.41</f>
        <v>1.5299999999999727</v>
      </c>
      <c r="H59">
        <f>1612.42-1606.57</f>
        <v>5.8500000000001364</v>
      </c>
      <c r="I59">
        <f>1621.59-1603.9</f>
        <v>17.689999999999827</v>
      </c>
      <c r="J59">
        <f>1636.36-1601.99</f>
        <v>34.369999999999891</v>
      </c>
      <c r="K59" s="11">
        <f>1645.48-1599.44</f>
        <v>46.039999999999964</v>
      </c>
      <c r="L59" s="11">
        <f>1652.84-1547.69</f>
        <v>105.14999999999986</v>
      </c>
      <c r="M59">
        <f>(for_calcs!B75-for_calcs!C75)/for_calcs!T14</f>
        <v>7.0000000000004545E-2</v>
      </c>
      <c r="N59">
        <f>(for_calcs!D75-for_calcs!E75)/for_calcs!U14</f>
        <v>8.7999999999999551E-2</v>
      </c>
      <c r="O59">
        <f>(for_calcs!F75-for_calcs!G75)/for_calcs!V14</f>
        <v>8.2249999999999088E-2</v>
      </c>
      <c r="P59">
        <f>(for_calcs!H75-for_calcs!I75)/for_calcs!W14</f>
        <v>7.5999999999999096E-2</v>
      </c>
      <c r="Q59">
        <f>(for_calcs!J75-for_calcs!K75)/for_calcs!X14</f>
        <v>7.2499999999999995E-2</v>
      </c>
      <c r="R59">
        <f>(for_calcs!L75-for_calcs!M75)/for_calcs!Y14</f>
        <v>6.3400000000000317E-2</v>
      </c>
      <c r="S59" s="11">
        <f>(for_calcs!N75-for_calcs!O75)/for_calcs!Z14</f>
        <v>6.4499999999999696E-2</v>
      </c>
      <c r="T59" s="25">
        <f>lith_data!E58</f>
        <v>65.117759388924085</v>
      </c>
    </row>
    <row r="60" spans="1:20" x14ac:dyDescent="0.3">
      <c r="A60" s="16" t="str">
        <f>lith_data!A59</f>
        <v>LC508</v>
      </c>
      <c r="B60" s="4">
        <v>51</v>
      </c>
      <c r="C60">
        <v>46</v>
      </c>
      <c r="D60">
        <v>10</v>
      </c>
      <c r="E60" s="5">
        <f t="shared" si="0"/>
        <v>2.3460000000000002E-2</v>
      </c>
      <c r="G60">
        <f>1600.27-1596.86</f>
        <v>3.4100000000000819</v>
      </c>
      <c r="H60">
        <f>1603.24-1596.29</f>
        <v>6.9500000000000455</v>
      </c>
      <c r="I60">
        <f>1612.78-1594.33</f>
        <v>18.450000000000045</v>
      </c>
      <c r="J60">
        <f>1624.87-1591.14</f>
        <v>33.729999999999791</v>
      </c>
      <c r="K60" s="11">
        <f>1625.58-1588.17</f>
        <v>37.409999999999854</v>
      </c>
      <c r="L60" s="11">
        <f>1647.71-1581.19</f>
        <v>66.519999999999982</v>
      </c>
      <c r="M60">
        <f>(for_calcs!B76-for_calcs!C76)/for_calcs!T15</f>
        <v>7.1000000000003644E-2</v>
      </c>
      <c r="N60">
        <f>(for_calcs!D76-for_calcs!E76)/for_calcs!U15</f>
        <v>5.2500000000009095E-2</v>
      </c>
      <c r="O60">
        <f>(for_calcs!F76-for_calcs!G76)/for_calcs!V15</f>
        <v>5.5249999999995227E-2</v>
      </c>
      <c r="P60">
        <f>(for_calcs!H76-for_calcs!I76)/for_calcs!W15</f>
        <v>5.6166666666664845E-2</v>
      </c>
      <c r="Q60">
        <f>(for_calcs!J76-for_calcs!K76)/for_calcs!X15</f>
        <v>5.6300000000001092E-2</v>
      </c>
      <c r="R60">
        <f>(for_calcs!L76-for_calcs!M76)/for_calcs!Y15</f>
        <v>3.3849999999999908E-2</v>
      </c>
      <c r="S60" s="11">
        <f>(for_calcs!N76-for_calcs!O76)/for_calcs!Z15</f>
        <v>6.5233333333333879E-2</v>
      </c>
      <c r="T60" s="25">
        <f>lith_data!E59</f>
        <v>68.903628560281078</v>
      </c>
    </row>
  </sheetData>
  <mergeCells count="2">
    <mergeCell ref="B1:E1"/>
    <mergeCell ref="F1:S1"/>
  </mergeCells>
  <conditionalFormatting sqref="M1:S1048576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B366-CAC4-433F-86F9-6D7D95896452}">
  <dimension ref="A1:E59"/>
  <sheetViews>
    <sheetView workbookViewId="0">
      <selection activeCell="G14" sqref="G14:G15"/>
    </sheetView>
  </sheetViews>
  <sheetFormatPr defaultRowHeight="14.4" x14ac:dyDescent="0.3"/>
  <cols>
    <col min="1" max="1" width="11.44140625" bestFit="1" customWidth="1"/>
    <col min="2" max="2" width="15.21875" bestFit="1" customWidth="1"/>
    <col min="3" max="3" width="34" bestFit="1" customWidth="1"/>
    <col min="4" max="4" width="31.7773437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29</v>
      </c>
      <c r="B2">
        <v>85.322999999999993</v>
      </c>
      <c r="C2">
        <v>91.475999999999999</v>
      </c>
      <c r="D2">
        <v>86.625</v>
      </c>
      <c r="E2">
        <f>(1-((D2-B2)/(C2-B2)))*100</f>
        <v>78.839590443685921</v>
      </c>
    </row>
    <row r="3" spans="1:5" x14ac:dyDescent="0.3">
      <c r="A3" t="s">
        <v>24</v>
      </c>
      <c r="B3">
        <v>115.316</v>
      </c>
      <c r="C3">
        <v>119.92</v>
      </c>
      <c r="D3">
        <v>118.88</v>
      </c>
      <c r="E3">
        <f t="shared" ref="E3:E59" si="0">(1-((D3-B3)/(C3-B3)))*100</f>
        <v>22.589052997393711</v>
      </c>
    </row>
    <row r="4" spans="1:5" x14ac:dyDescent="0.3">
      <c r="A4" t="s">
        <v>26</v>
      </c>
      <c r="B4">
        <v>82.043999999999997</v>
      </c>
      <c r="C4">
        <v>89.924000000000007</v>
      </c>
      <c r="D4">
        <v>89.650999999999996</v>
      </c>
      <c r="E4">
        <f t="shared" si="0"/>
        <v>3.464467005076266</v>
      </c>
    </row>
    <row r="5" spans="1:5" x14ac:dyDescent="0.3">
      <c r="A5" t="s">
        <v>36</v>
      </c>
      <c r="B5">
        <v>107.62</v>
      </c>
      <c r="C5">
        <v>109.822</v>
      </c>
      <c r="D5">
        <v>108.523</v>
      </c>
      <c r="E5">
        <f t="shared" si="0"/>
        <v>58.991825613079364</v>
      </c>
    </row>
    <row r="6" spans="1:5" x14ac:dyDescent="0.3">
      <c r="A6" t="s">
        <v>33</v>
      </c>
      <c r="B6">
        <v>107.36199999999999</v>
      </c>
      <c r="C6">
        <v>111.595</v>
      </c>
      <c r="D6">
        <v>107.76600000000001</v>
      </c>
      <c r="E6">
        <f t="shared" si="0"/>
        <v>90.455941412709421</v>
      </c>
    </row>
    <row r="7" spans="1:5" x14ac:dyDescent="0.3">
      <c r="A7" t="s">
        <v>38</v>
      </c>
      <c r="B7">
        <v>112.325</v>
      </c>
      <c r="C7">
        <v>116.732</v>
      </c>
      <c r="D7">
        <v>112.339</v>
      </c>
      <c r="E7">
        <f t="shared" si="0"/>
        <v>99.682323576128979</v>
      </c>
    </row>
    <row r="8" spans="1:5" x14ac:dyDescent="0.3">
      <c r="A8" t="s">
        <v>68</v>
      </c>
      <c r="B8">
        <v>106.283</v>
      </c>
      <c r="C8">
        <v>107.413</v>
      </c>
      <c r="D8">
        <v>106.28400000000001</v>
      </c>
      <c r="E8">
        <f t="shared" si="0"/>
        <v>99.911504424778343</v>
      </c>
    </row>
    <row r="9" spans="1:5" x14ac:dyDescent="0.3">
      <c r="A9" t="s">
        <v>42</v>
      </c>
      <c r="B9">
        <v>108.514</v>
      </c>
      <c r="C9">
        <v>111.46299999999999</v>
      </c>
      <c r="D9">
        <v>108.54300000000001</v>
      </c>
      <c r="E9">
        <f t="shared" si="0"/>
        <v>99.01661580196641</v>
      </c>
    </row>
    <row r="10" spans="1:5" x14ac:dyDescent="0.3">
      <c r="A10" t="s">
        <v>35</v>
      </c>
      <c r="B10">
        <v>108.678</v>
      </c>
      <c r="C10">
        <v>113.646</v>
      </c>
      <c r="D10">
        <v>108.72499999999999</v>
      </c>
      <c r="E10">
        <f t="shared" si="0"/>
        <v>99.05394524959749</v>
      </c>
    </row>
    <row r="11" spans="1:5" x14ac:dyDescent="0.3">
      <c r="A11" t="s">
        <v>34</v>
      </c>
      <c r="B11">
        <v>108.113</v>
      </c>
      <c r="C11">
        <v>112.46899999999999</v>
      </c>
      <c r="D11">
        <v>108.17700000000001</v>
      </c>
      <c r="E11">
        <f t="shared" si="0"/>
        <v>98.530762167125644</v>
      </c>
    </row>
    <row r="12" spans="1:5" x14ac:dyDescent="0.3">
      <c r="A12" t="s">
        <v>32</v>
      </c>
      <c r="B12">
        <v>106.57</v>
      </c>
      <c r="C12">
        <v>109.092</v>
      </c>
      <c r="D12">
        <v>106.66800000000001</v>
      </c>
      <c r="E12">
        <f t="shared" si="0"/>
        <v>96.114195083266736</v>
      </c>
    </row>
    <row r="13" spans="1:5" x14ac:dyDescent="0.3">
      <c r="A13" t="s">
        <v>28</v>
      </c>
      <c r="B13">
        <v>83.311000000000007</v>
      </c>
      <c r="C13">
        <v>87.887</v>
      </c>
      <c r="D13">
        <v>83.516000000000005</v>
      </c>
      <c r="E13">
        <f t="shared" si="0"/>
        <v>95.520104895104936</v>
      </c>
    </row>
    <row r="14" spans="1:5" x14ac:dyDescent="0.3">
      <c r="A14" t="s">
        <v>23</v>
      </c>
      <c r="B14">
        <v>113.121</v>
      </c>
      <c r="C14">
        <v>115.858</v>
      </c>
      <c r="D14">
        <v>113.258</v>
      </c>
      <c r="E14">
        <f t="shared" si="0"/>
        <v>94.994519546949221</v>
      </c>
    </row>
    <row r="15" spans="1:5" x14ac:dyDescent="0.3">
      <c r="A15" t="s">
        <v>19</v>
      </c>
      <c r="B15">
        <v>113.77</v>
      </c>
      <c r="C15">
        <v>116.691</v>
      </c>
      <c r="D15">
        <v>114.02200000000001</v>
      </c>
      <c r="E15">
        <f t="shared" si="0"/>
        <v>91.372817528243445</v>
      </c>
    </row>
    <row r="16" spans="1:5" x14ac:dyDescent="0.3">
      <c r="A16" t="s">
        <v>30</v>
      </c>
      <c r="B16">
        <v>85.784999999999997</v>
      </c>
      <c r="C16">
        <v>88.552999999999997</v>
      </c>
      <c r="D16">
        <v>85.974000000000004</v>
      </c>
      <c r="E16">
        <f t="shared" si="0"/>
        <v>93.171965317918819</v>
      </c>
    </row>
    <row r="17" spans="1:5" x14ac:dyDescent="0.3">
      <c r="A17" t="s">
        <v>51</v>
      </c>
      <c r="B17">
        <v>123.295</v>
      </c>
      <c r="C17">
        <v>126.36799999999999</v>
      </c>
      <c r="D17">
        <v>123.328</v>
      </c>
      <c r="E17">
        <f t="shared" si="0"/>
        <v>98.926130816791371</v>
      </c>
    </row>
    <row r="18" spans="1:5" x14ac:dyDescent="0.3">
      <c r="A18" t="s">
        <v>52</v>
      </c>
      <c r="B18">
        <v>111.639</v>
      </c>
      <c r="C18">
        <v>119.795</v>
      </c>
      <c r="D18">
        <v>111.762</v>
      </c>
      <c r="E18">
        <f t="shared" si="0"/>
        <v>98.491907797940115</v>
      </c>
    </row>
    <row r="19" spans="1:5" x14ac:dyDescent="0.3">
      <c r="A19" t="s">
        <v>11</v>
      </c>
      <c r="B19">
        <v>117.94</v>
      </c>
      <c r="C19">
        <v>125.351</v>
      </c>
      <c r="D19">
        <v>118.25700000000001</v>
      </c>
      <c r="E19">
        <f t="shared" si="0"/>
        <v>95.722574551342504</v>
      </c>
    </row>
    <row r="20" spans="1:5" x14ac:dyDescent="0.3">
      <c r="A20" t="s">
        <v>39</v>
      </c>
      <c r="B20">
        <v>108.74</v>
      </c>
      <c r="C20">
        <v>113.15600000000001</v>
      </c>
      <c r="D20">
        <v>109.443</v>
      </c>
      <c r="E20">
        <f t="shared" si="0"/>
        <v>84.080615942028956</v>
      </c>
    </row>
    <row r="21" spans="1:5" x14ac:dyDescent="0.3">
      <c r="A21" t="s">
        <v>45</v>
      </c>
      <c r="B21">
        <v>108.042</v>
      </c>
      <c r="C21">
        <v>119.002</v>
      </c>
      <c r="D21">
        <v>108.10299999999999</v>
      </c>
      <c r="E21">
        <f t="shared" si="0"/>
        <v>99.443430656934368</v>
      </c>
    </row>
    <row r="22" spans="1:5" x14ac:dyDescent="0.3">
      <c r="A22" t="s">
        <v>13</v>
      </c>
      <c r="B22">
        <v>106.208</v>
      </c>
      <c r="C22">
        <v>108.85</v>
      </c>
      <c r="D22">
        <v>108.271</v>
      </c>
      <c r="E22">
        <f t="shared" si="0"/>
        <v>21.915215745647021</v>
      </c>
    </row>
    <row r="23" spans="1:5" x14ac:dyDescent="0.3">
      <c r="A23" t="s">
        <v>44</v>
      </c>
      <c r="B23">
        <v>113.17400000000001</v>
      </c>
      <c r="C23">
        <v>120.973</v>
      </c>
      <c r="D23">
        <v>115.857</v>
      </c>
      <c r="E23">
        <f t="shared" si="0"/>
        <v>65.598153609437176</v>
      </c>
    </row>
    <row r="24" spans="1:5" x14ac:dyDescent="0.3">
      <c r="A24" t="s">
        <v>55</v>
      </c>
      <c r="B24">
        <v>98.378</v>
      </c>
      <c r="C24">
        <v>105.452</v>
      </c>
      <c r="D24">
        <v>98.677000000000007</v>
      </c>
      <c r="E24">
        <f t="shared" si="0"/>
        <v>95.773254170200644</v>
      </c>
    </row>
    <row r="25" spans="1:5" x14ac:dyDescent="0.3">
      <c r="A25" t="s">
        <v>16</v>
      </c>
      <c r="B25">
        <v>113.01900000000001</v>
      </c>
      <c r="C25">
        <v>114.914</v>
      </c>
      <c r="D25">
        <v>113.11799999999999</v>
      </c>
      <c r="E25">
        <f t="shared" si="0"/>
        <v>94.775725593668085</v>
      </c>
    </row>
    <row r="26" spans="1:5" x14ac:dyDescent="0.3">
      <c r="A26" t="s">
        <v>40</v>
      </c>
      <c r="B26">
        <v>109.444</v>
      </c>
      <c r="C26">
        <v>115.72199999999999</v>
      </c>
      <c r="D26">
        <v>109.86</v>
      </c>
      <c r="E26">
        <f t="shared" si="0"/>
        <v>93.373685887225278</v>
      </c>
    </row>
    <row r="27" spans="1:5" x14ac:dyDescent="0.3">
      <c r="A27" t="s">
        <v>12</v>
      </c>
      <c r="B27">
        <v>121.051</v>
      </c>
      <c r="C27">
        <v>123.441</v>
      </c>
      <c r="D27">
        <v>121.477</v>
      </c>
      <c r="E27">
        <f t="shared" si="0"/>
        <v>82.175732217573156</v>
      </c>
    </row>
    <row r="28" spans="1:5" x14ac:dyDescent="0.3">
      <c r="A28" t="s">
        <v>41</v>
      </c>
      <c r="B28">
        <v>108.52</v>
      </c>
      <c r="C28">
        <v>114.36499999999999</v>
      </c>
      <c r="D28">
        <v>109.83</v>
      </c>
      <c r="E28">
        <f t="shared" si="0"/>
        <v>77.587681779298507</v>
      </c>
    </row>
    <row r="29" spans="1:5" x14ac:dyDescent="0.3">
      <c r="A29" t="s">
        <v>14</v>
      </c>
      <c r="B29">
        <v>116.77200000000001</v>
      </c>
      <c r="C29">
        <v>118.679</v>
      </c>
      <c r="D29">
        <v>118.306</v>
      </c>
      <c r="E29">
        <f t="shared" si="0"/>
        <v>19.55951756685922</v>
      </c>
    </row>
    <row r="30" spans="1:5" x14ac:dyDescent="0.3">
      <c r="A30" t="s">
        <v>54</v>
      </c>
      <c r="B30">
        <v>120.07599999999999</v>
      </c>
      <c r="C30">
        <v>127.01</v>
      </c>
      <c r="D30">
        <v>125.773</v>
      </c>
      <c r="E30">
        <f t="shared" si="0"/>
        <v>17.839630804730412</v>
      </c>
    </row>
    <row r="31" spans="1:5" x14ac:dyDescent="0.3">
      <c r="A31" t="s">
        <v>31</v>
      </c>
      <c r="B31">
        <v>106.298</v>
      </c>
      <c r="C31">
        <v>111.67100000000001</v>
      </c>
      <c r="D31">
        <v>109.015</v>
      </c>
      <c r="E31">
        <f t="shared" si="0"/>
        <v>49.432346919784173</v>
      </c>
    </row>
    <row r="32" spans="1:5" x14ac:dyDescent="0.3">
      <c r="A32" t="s">
        <v>43</v>
      </c>
      <c r="B32">
        <v>112.867</v>
      </c>
      <c r="C32">
        <v>120.065</v>
      </c>
      <c r="D32">
        <v>116.316</v>
      </c>
      <c r="E32">
        <f t="shared" si="0"/>
        <v>52.083912197832717</v>
      </c>
    </row>
    <row r="33" spans="1:5" x14ac:dyDescent="0.3">
      <c r="A33" t="s">
        <v>50</v>
      </c>
      <c r="B33">
        <v>117.17100000000001</v>
      </c>
      <c r="C33">
        <v>125.54600000000001</v>
      </c>
      <c r="D33">
        <v>117.267</v>
      </c>
      <c r="E33">
        <f t="shared" si="0"/>
        <v>98.853731343283712</v>
      </c>
    </row>
    <row r="34" spans="1:5" x14ac:dyDescent="0.3">
      <c r="A34" t="s">
        <v>37</v>
      </c>
      <c r="B34">
        <v>114.477</v>
      </c>
      <c r="C34">
        <v>122.571</v>
      </c>
      <c r="D34">
        <v>114.533</v>
      </c>
      <c r="E34">
        <f t="shared" si="0"/>
        <v>99.308129478626171</v>
      </c>
    </row>
    <row r="35" spans="1:5" x14ac:dyDescent="0.3">
      <c r="A35" s="22" t="s">
        <v>15</v>
      </c>
      <c r="B35">
        <v>128.07599999999999</v>
      </c>
      <c r="C35">
        <v>131.07900000000001</v>
      </c>
      <c r="D35">
        <v>130.55699999999999</v>
      </c>
      <c r="E35">
        <f t="shared" si="0"/>
        <v>17.382617382617958</v>
      </c>
    </row>
    <row r="36" spans="1:5" x14ac:dyDescent="0.3">
      <c r="A36" t="s">
        <v>48</v>
      </c>
      <c r="B36">
        <v>109.029</v>
      </c>
      <c r="C36">
        <v>112.578</v>
      </c>
      <c r="D36">
        <v>111.47499999999999</v>
      </c>
      <c r="E36">
        <f t="shared" si="0"/>
        <v>31.079177233023568</v>
      </c>
    </row>
    <row r="37" spans="1:5" x14ac:dyDescent="0.3">
      <c r="A37" t="s">
        <v>22</v>
      </c>
      <c r="B37">
        <v>113.131</v>
      </c>
      <c r="C37">
        <v>120.78700000000001</v>
      </c>
      <c r="D37">
        <v>119.741</v>
      </c>
      <c r="E37">
        <f t="shared" si="0"/>
        <v>13.662486938349083</v>
      </c>
    </row>
    <row r="38" spans="1:5" x14ac:dyDescent="0.3">
      <c r="A38" t="s">
        <v>47</v>
      </c>
      <c r="B38">
        <v>106.64</v>
      </c>
      <c r="C38">
        <v>110.91</v>
      </c>
      <c r="D38">
        <v>110.881</v>
      </c>
      <c r="E38">
        <f t="shared" si="0"/>
        <v>0.67915690866502398</v>
      </c>
    </row>
    <row r="39" spans="1:5" x14ac:dyDescent="0.3">
      <c r="A39" t="s">
        <v>46</v>
      </c>
      <c r="B39">
        <v>104.17700000000001</v>
      </c>
      <c r="C39">
        <v>106.294</v>
      </c>
      <c r="D39">
        <v>105.268</v>
      </c>
      <c r="E39">
        <f t="shared" si="0"/>
        <v>48.464808691544683</v>
      </c>
    </row>
    <row r="40" spans="1:5" x14ac:dyDescent="0.3">
      <c r="A40" t="s">
        <v>49</v>
      </c>
      <c r="B40">
        <v>107.005</v>
      </c>
      <c r="C40">
        <v>108.42</v>
      </c>
      <c r="D40">
        <v>108.361</v>
      </c>
      <c r="E40">
        <f t="shared" si="0"/>
        <v>4.1696113074202952</v>
      </c>
    </row>
    <row r="41" spans="1:5" x14ac:dyDescent="0.3">
      <c r="A41" t="s">
        <v>25</v>
      </c>
      <c r="B41">
        <v>115.363</v>
      </c>
      <c r="C41">
        <v>119.621</v>
      </c>
      <c r="D41">
        <v>118.855</v>
      </c>
      <c r="E41">
        <f t="shared" si="0"/>
        <v>17.989666510098445</v>
      </c>
    </row>
    <row r="42" spans="1:5" x14ac:dyDescent="0.3">
      <c r="A42" t="s">
        <v>27</v>
      </c>
      <c r="B42">
        <v>112.176</v>
      </c>
      <c r="C42">
        <v>116.718</v>
      </c>
      <c r="D42">
        <v>112.33799999999999</v>
      </c>
      <c r="E42">
        <f t="shared" si="0"/>
        <v>96.433289299868079</v>
      </c>
    </row>
    <row r="43" spans="1:5" x14ac:dyDescent="0.3">
      <c r="A43" t="s">
        <v>21</v>
      </c>
      <c r="B43">
        <v>103.502</v>
      </c>
      <c r="C43">
        <v>105.60299999999999</v>
      </c>
      <c r="D43">
        <v>105.01900000000001</v>
      </c>
      <c r="E43">
        <f t="shared" si="0"/>
        <v>27.796287482150838</v>
      </c>
    </row>
    <row r="44" spans="1:5" x14ac:dyDescent="0.3">
      <c r="A44" t="s">
        <v>53</v>
      </c>
      <c r="B44">
        <v>106.021</v>
      </c>
      <c r="C44">
        <v>110.831</v>
      </c>
      <c r="D44">
        <v>106.426</v>
      </c>
      <c r="E44">
        <f t="shared" si="0"/>
        <v>91.580041580041566</v>
      </c>
    </row>
    <row r="45" spans="1:5" x14ac:dyDescent="0.3">
      <c r="A45" t="s">
        <v>18</v>
      </c>
      <c r="B45">
        <v>121.357</v>
      </c>
      <c r="C45">
        <v>125.21599999999999</v>
      </c>
      <c r="D45">
        <v>124.322</v>
      </c>
      <c r="E45">
        <f t="shared" si="0"/>
        <v>23.166623477584668</v>
      </c>
    </row>
    <row r="46" spans="1:5" x14ac:dyDescent="0.3">
      <c r="A46" t="s">
        <v>20</v>
      </c>
      <c r="B46">
        <v>115.078</v>
      </c>
      <c r="C46">
        <v>119.28100000000001</v>
      </c>
      <c r="D46">
        <v>118.64</v>
      </c>
      <c r="E46">
        <f t="shared" si="0"/>
        <v>15.251011182488817</v>
      </c>
    </row>
    <row r="47" spans="1:5" x14ac:dyDescent="0.3">
      <c r="A47" t="s">
        <v>17</v>
      </c>
      <c r="B47">
        <v>108.72</v>
      </c>
      <c r="C47">
        <v>112.946</v>
      </c>
      <c r="D47">
        <v>108.828</v>
      </c>
      <c r="E47">
        <f t="shared" si="0"/>
        <v>97.444391859914717</v>
      </c>
    </row>
    <row r="48" spans="1:5" x14ac:dyDescent="0.3">
      <c r="A48" t="s">
        <v>56</v>
      </c>
      <c r="B48">
        <v>83.311000000000007</v>
      </c>
      <c r="C48">
        <v>84.216999999999999</v>
      </c>
      <c r="D48">
        <v>84.007999999999996</v>
      </c>
      <c r="E48">
        <f t="shared" si="0"/>
        <v>23.068432671082238</v>
      </c>
    </row>
    <row r="49" spans="1:5" x14ac:dyDescent="0.3">
      <c r="A49" t="s">
        <v>57</v>
      </c>
      <c r="B49">
        <v>115.363</v>
      </c>
      <c r="C49">
        <v>115.913</v>
      </c>
      <c r="D49">
        <v>115.777</v>
      </c>
      <c r="E49">
        <f t="shared" si="0"/>
        <v>24.727272727272066</v>
      </c>
    </row>
    <row r="50" spans="1:5" x14ac:dyDescent="0.3">
      <c r="A50" t="s">
        <v>62</v>
      </c>
      <c r="B50">
        <v>113.01900000000001</v>
      </c>
      <c r="C50">
        <v>113.586</v>
      </c>
      <c r="D50">
        <v>113.503</v>
      </c>
      <c r="E50">
        <f t="shared" si="0"/>
        <v>14.638447971781199</v>
      </c>
    </row>
    <row r="51" spans="1:5" x14ac:dyDescent="0.3">
      <c r="A51" t="s">
        <v>58</v>
      </c>
      <c r="B51">
        <v>117.94</v>
      </c>
      <c r="C51">
        <v>119.526</v>
      </c>
      <c r="D51">
        <v>117.97199999999999</v>
      </c>
      <c r="E51">
        <f t="shared" si="0"/>
        <v>97.982345523329357</v>
      </c>
    </row>
    <row r="52" spans="1:5" x14ac:dyDescent="0.3">
      <c r="A52" t="s">
        <v>61</v>
      </c>
      <c r="B52">
        <v>113.131</v>
      </c>
      <c r="C52">
        <v>114.78700000000001</v>
      </c>
      <c r="D52">
        <v>113.205</v>
      </c>
      <c r="E52">
        <f t="shared" si="0"/>
        <v>95.53140096618371</v>
      </c>
    </row>
    <row r="53" spans="1:5" x14ac:dyDescent="0.3">
      <c r="A53" t="s">
        <v>65</v>
      </c>
      <c r="B53">
        <v>113.77</v>
      </c>
      <c r="C53">
        <v>115.215</v>
      </c>
      <c r="D53">
        <v>113.771</v>
      </c>
      <c r="E53">
        <f t="shared" si="0"/>
        <v>99.930795847750531</v>
      </c>
    </row>
    <row r="54" spans="1:5" x14ac:dyDescent="0.3">
      <c r="A54" t="s">
        <v>66</v>
      </c>
      <c r="B54">
        <v>121.357</v>
      </c>
      <c r="C54">
        <v>122.38200000000001</v>
      </c>
      <c r="D54">
        <v>121.372</v>
      </c>
      <c r="E54">
        <f t="shared" si="0"/>
        <v>98.536585365853611</v>
      </c>
    </row>
    <row r="55" spans="1:5" x14ac:dyDescent="0.3">
      <c r="A55" t="s">
        <v>60</v>
      </c>
      <c r="B55">
        <v>82.08</v>
      </c>
      <c r="C55">
        <v>82.691000000000003</v>
      </c>
      <c r="D55">
        <v>82.165000000000006</v>
      </c>
      <c r="E55">
        <f t="shared" si="0"/>
        <v>86.088379705399774</v>
      </c>
    </row>
    <row r="56" spans="1:5" x14ac:dyDescent="0.3">
      <c r="A56" t="s">
        <v>59</v>
      </c>
      <c r="B56">
        <v>115.078</v>
      </c>
      <c r="C56">
        <v>116.113</v>
      </c>
      <c r="D56">
        <v>115.09399999999999</v>
      </c>
      <c r="E56">
        <f t="shared" si="0"/>
        <v>98.454106280194083</v>
      </c>
    </row>
    <row r="57" spans="1:5" x14ac:dyDescent="0.3">
      <c r="A57" t="s">
        <v>64</v>
      </c>
      <c r="B57">
        <v>115.316</v>
      </c>
      <c r="C57">
        <v>117.178</v>
      </c>
      <c r="D57">
        <v>115.38500000000001</v>
      </c>
      <c r="E57">
        <f t="shared" si="0"/>
        <v>96.294307196562684</v>
      </c>
    </row>
    <row r="58" spans="1:5" x14ac:dyDescent="0.3">
      <c r="A58" t="s">
        <v>67</v>
      </c>
      <c r="B58">
        <v>112.176</v>
      </c>
      <c r="C58">
        <v>113.747</v>
      </c>
      <c r="D58">
        <v>112.724</v>
      </c>
      <c r="E58">
        <f t="shared" si="0"/>
        <v>65.117759388924085</v>
      </c>
    </row>
    <row r="59" spans="1:5" x14ac:dyDescent="0.3">
      <c r="A59" t="s">
        <v>63</v>
      </c>
      <c r="B59">
        <v>108.72</v>
      </c>
      <c r="C59">
        <v>111.283</v>
      </c>
      <c r="D59">
        <v>109.517</v>
      </c>
      <c r="E59">
        <f t="shared" si="0"/>
        <v>68.903628560281078</v>
      </c>
    </row>
  </sheetData>
  <sortState xmlns:xlrd2="http://schemas.microsoft.com/office/spreadsheetml/2017/richdata2" ref="A2:E59">
    <sortCondition ref="A42:A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764A-CED1-42E3-9837-789C9FF65CF6}">
  <dimension ref="A1:Z76"/>
  <sheetViews>
    <sheetView zoomScale="52" zoomScaleNormal="52" workbookViewId="0">
      <pane ySplit="2" topLeftCell="A60" activePane="bottomLeft" state="frozen"/>
      <selection pane="bottomLeft" activeCell="M90" sqref="M90"/>
    </sheetView>
  </sheetViews>
  <sheetFormatPr defaultRowHeight="14.4" x14ac:dyDescent="0.3"/>
  <sheetData>
    <row r="1" spans="1:26" x14ac:dyDescent="0.3">
      <c r="B1" t="s">
        <v>80</v>
      </c>
      <c r="C1" t="s">
        <v>81</v>
      </c>
      <c r="D1" t="s">
        <v>80</v>
      </c>
      <c r="E1" t="s">
        <v>81</v>
      </c>
      <c r="F1" t="s">
        <v>80</v>
      </c>
      <c r="G1" t="s">
        <v>81</v>
      </c>
      <c r="H1" t="s">
        <v>80</v>
      </c>
      <c r="I1" t="s">
        <v>81</v>
      </c>
      <c r="J1" t="s">
        <v>80</v>
      </c>
      <c r="K1" t="s">
        <v>81</v>
      </c>
      <c r="L1" t="s">
        <v>80</v>
      </c>
      <c r="M1" t="s">
        <v>81</v>
      </c>
      <c r="N1" t="s">
        <v>80</v>
      </c>
      <c r="O1" t="s">
        <v>81</v>
      </c>
    </row>
    <row r="2" spans="1:26" x14ac:dyDescent="0.3">
      <c r="A2" t="s">
        <v>82</v>
      </c>
      <c r="B2" s="8">
        <v>10</v>
      </c>
      <c r="C2" s="8"/>
      <c r="D2" s="9">
        <v>20</v>
      </c>
      <c r="E2" s="9"/>
      <c r="F2" s="10">
        <v>40</v>
      </c>
      <c r="G2" s="10"/>
      <c r="H2" s="11">
        <v>60</v>
      </c>
      <c r="I2" s="11"/>
      <c r="J2" s="12">
        <v>100</v>
      </c>
      <c r="K2" s="12"/>
      <c r="L2" s="13">
        <v>200</v>
      </c>
      <c r="M2" s="13"/>
      <c r="N2" s="14">
        <v>300</v>
      </c>
      <c r="O2" s="14"/>
    </row>
    <row r="3" spans="1:26" x14ac:dyDescent="0.3">
      <c r="A3" t="s">
        <v>83</v>
      </c>
      <c r="B3">
        <v>1657.12</v>
      </c>
      <c r="C3">
        <v>1655.79</v>
      </c>
      <c r="D3">
        <v>1657.43</v>
      </c>
      <c r="E3">
        <v>1655.77</v>
      </c>
      <c r="F3">
        <v>1658.92</v>
      </c>
      <c r="G3">
        <v>1658.14</v>
      </c>
      <c r="H3">
        <v>1661.76</v>
      </c>
      <c r="I3">
        <v>1653.93</v>
      </c>
      <c r="J3">
        <v>1662.39</v>
      </c>
      <c r="K3">
        <v>1651</v>
      </c>
      <c r="L3">
        <v>1670.87</v>
      </c>
      <c r="M3">
        <v>1643.26</v>
      </c>
      <c r="N3">
        <v>1678.2</v>
      </c>
      <c r="O3">
        <v>1627.27</v>
      </c>
    </row>
    <row r="4" spans="1:26" x14ac:dyDescent="0.3">
      <c r="A4" t="s">
        <v>84</v>
      </c>
      <c r="B4">
        <v>1633.59</v>
      </c>
      <c r="C4">
        <v>1628.99</v>
      </c>
      <c r="D4">
        <v>1633.98</v>
      </c>
      <c r="E4">
        <v>1633.81</v>
      </c>
      <c r="F4">
        <v>1643.49</v>
      </c>
      <c r="G4">
        <v>1642.91</v>
      </c>
      <c r="H4">
        <v>1640.75</v>
      </c>
      <c r="I4">
        <v>1625.07</v>
      </c>
      <c r="J4">
        <v>1642.55</v>
      </c>
      <c r="K4">
        <v>1618.15</v>
      </c>
      <c r="L4">
        <v>1645.9</v>
      </c>
      <c r="M4">
        <v>1613.45</v>
      </c>
      <c r="N4">
        <v>1655.28</v>
      </c>
      <c r="O4">
        <v>1600.04</v>
      </c>
      <c r="R4" t="s">
        <v>85</v>
      </c>
      <c r="T4">
        <v>10</v>
      </c>
      <c r="U4">
        <v>20</v>
      </c>
      <c r="V4">
        <v>40</v>
      </c>
      <c r="W4">
        <v>60</v>
      </c>
      <c r="X4">
        <v>100</v>
      </c>
      <c r="Y4">
        <v>200</v>
      </c>
      <c r="Z4">
        <v>300</v>
      </c>
    </row>
    <row r="5" spans="1:26" x14ac:dyDescent="0.3">
      <c r="A5" t="s">
        <v>86</v>
      </c>
      <c r="B5">
        <v>1605.47</v>
      </c>
      <c r="C5">
        <v>1604.74</v>
      </c>
      <c r="D5">
        <v>1607.69</v>
      </c>
      <c r="E5">
        <v>1603.62</v>
      </c>
      <c r="F5">
        <v>1610.55</v>
      </c>
      <c r="G5">
        <v>1603.03</v>
      </c>
      <c r="H5">
        <v>1612.86</v>
      </c>
      <c r="I5">
        <v>1599.44</v>
      </c>
      <c r="J5">
        <v>1615.6</v>
      </c>
      <c r="K5">
        <v>1593.24</v>
      </c>
      <c r="L5">
        <v>1624.29</v>
      </c>
      <c r="M5">
        <v>1583.44</v>
      </c>
      <c r="N5">
        <v>1639.3</v>
      </c>
      <c r="O5">
        <v>1572.34</v>
      </c>
      <c r="T5">
        <v>10</v>
      </c>
      <c r="U5">
        <v>20</v>
      </c>
      <c r="V5">
        <v>40</v>
      </c>
      <c r="W5">
        <v>60</v>
      </c>
      <c r="X5">
        <v>100</v>
      </c>
      <c r="Y5">
        <v>200</v>
      </c>
      <c r="Z5">
        <v>300</v>
      </c>
    </row>
    <row r="6" spans="1:26" x14ac:dyDescent="0.3">
      <c r="A6" t="s">
        <v>87</v>
      </c>
      <c r="B6">
        <v>1600.61</v>
      </c>
      <c r="C6">
        <v>1593.99</v>
      </c>
      <c r="D6">
        <v>1597.04</v>
      </c>
      <c r="E6">
        <v>1593.38</v>
      </c>
      <c r="F6">
        <v>1603.38</v>
      </c>
      <c r="G6">
        <v>1592</v>
      </c>
      <c r="H6">
        <v>1603.94</v>
      </c>
      <c r="I6">
        <v>1589.65</v>
      </c>
      <c r="J6">
        <v>1607.85</v>
      </c>
      <c r="K6">
        <v>1584.71</v>
      </c>
      <c r="L6">
        <v>1624.43</v>
      </c>
      <c r="M6">
        <v>1583.28</v>
      </c>
      <c r="N6">
        <v>1639.01</v>
      </c>
      <c r="O6">
        <v>1572.63</v>
      </c>
      <c r="T6">
        <v>10</v>
      </c>
      <c r="U6">
        <v>20</v>
      </c>
      <c r="V6">
        <v>40</v>
      </c>
      <c r="W6">
        <v>60</v>
      </c>
      <c r="X6">
        <v>100</v>
      </c>
      <c r="Y6">
        <v>200</v>
      </c>
      <c r="Z6">
        <v>300</v>
      </c>
    </row>
    <row r="7" spans="1:26" x14ac:dyDescent="0.3">
      <c r="A7" t="s">
        <v>88</v>
      </c>
      <c r="T7">
        <v>10</v>
      </c>
      <c r="U7">
        <v>20</v>
      </c>
      <c r="V7">
        <v>40</v>
      </c>
      <c r="W7">
        <v>60</v>
      </c>
      <c r="X7">
        <v>100</v>
      </c>
      <c r="Y7">
        <v>200</v>
      </c>
      <c r="Z7">
        <v>300</v>
      </c>
    </row>
    <row r="8" spans="1:26" x14ac:dyDescent="0.3">
      <c r="A8" s="15" t="s">
        <v>89</v>
      </c>
      <c r="T8">
        <v>10</v>
      </c>
      <c r="U8">
        <v>20</v>
      </c>
      <c r="V8">
        <v>40</v>
      </c>
      <c r="W8">
        <v>60</v>
      </c>
      <c r="X8">
        <v>100</v>
      </c>
      <c r="Y8">
        <v>200</v>
      </c>
      <c r="Z8">
        <v>300</v>
      </c>
    </row>
    <row r="9" spans="1:26" x14ac:dyDescent="0.3">
      <c r="A9" t="s">
        <v>90</v>
      </c>
      <c r="T9">
        <v>10</v>
      </c>
      <c r="U9">
        <v>20</v>
      </c>
      <c r="V9">
        <v>40</v>
      </c>
      <c r="W9">
        <v>60</v>
      </c>
      <c r="X9">
        <v>100</v>
      </c>
      <c r="Y9">
        <v>200</v>
      </c>
      <c r="Z9">
        <v>300</v>
      </c>
    </row>
    <row r="10" spans="1:26" x14ac:dyDescent="0.3">
      <c r="A10" s="15" t="s">
        <v>91</v>
      </c>
      <c r="T10">
        <v>10</v>
      </c>
      <c r="U10">
        <v>20</v>
      </c>
      <c r="V10">
        <v>40</v>
      </c>
      <c r="W10">
        <v>60</v>
      </c>
      <c r="X10">
        <v>100</v>
      </c>
      <c r="Y10">
        <v>200</v>
      </c>
      <c r="Z10">
        <v>300</v>
      </c>
    </row>
    <row r="11" spans="1:26" x14ac:dyDescent="0.3">
      <c r="A11" t="s">
        <v>92</v>
      </c>
      <c r="Q11" t="s">
        <v>98</v>
      </c>
      <c r="R11" t="s">
        <v>99</v>
      </c>
      <c r="T11">
        <v>10</v>
      </c>
      <c r="U11">
        <v>20</v>
      </c>
      <c r="V11">
        <v>40</v>
      </c>
      <c r="W11">
        <v>60</v>
      </c>
      <c r="X11">
        <v>100</v>
      </c>
      <c r="Y11">
        <v>200</v>
      </c>
      <c r="Z11">
        <v>300</v>
      </c>
    </row>
    <row r="12" spans="1:26" x14ac:dyDescent="0.3">
      <c r="A12" t="s">
        <v>93</v>
      </c>
      <c r="B12">
        <v>1567.76</v>
      </c>
      <c r="C12">
        <v>1566.39</v>
      </c>
      <c r="D12">
        <v>1566.93</v>
      </c>
      <c r="E12">
        <v>1563.31</v>
      </c>
      <c r="F12">
        <v>1566.08</v>
      </c>
      <c r="G12">
        <v>1559.71</v>
      </c>
      <c r="H12">
        <v>1567.76</v>
      </c>
      <c r="I12">
        <v>1556.73</v>
      </c>
      <c r="J12">
        <v>1571.46</v>
      </c>
      <c r="K12">
        <v>1555.84</v>
      </c>
      <c r="L12">
        <v>1580.57</v>
      </c>
      <c r="M12">
        <v>1548.76</v>
      </c>
      <c r="N12">
        <v>1589.32</v>
      </c>
      <c r="O12">
        <v>1539.33</v>
      </c>
      <c r="Q12" t="s">
        <v>100</v>
      </c>
      <c r="R12" t="s">
        <v>101</v>
      </c>
      <c r="T12">
        <v>10</v>
      </c>
      <c r="U12">
        <v>20</v>
      </c>
      <c r="V12">
        <v>40</v>
      </c>
      <c r="W12">
        <v>60</v>
      </c>
      <c r="X12">
        <v>100</v>
      </c>
      <c r="Y12">
        <v>200</v>
      </c>
      <c r="Z12">
        <v>300</v>
      </c>
    </row>
    <row r="13" spans="1:26" x14ac:dyDescent="0.3">
      <c r="A13" t="s">
        <v>94</v>
      </c>
      <c r="B13">
        <v>1573.16</v>
      </c>
      <c r="C13">
        <v>1571.43</v>
      </c>
      <c r="D13">
        <v>1574.02</v>
      </c>
      <c r="E13">
        <v>1570.97</v>
      </c>
      <c r="F13">
        <v>1576.69</v>
      </c>
      <c r="G13">
        <v>1568.59</v>
      </c>
      <c r="H13">
        <v>1578.89</v>
      </c>
      <c r="I13">
        <v>1566.89</v>
      </c>
      <c r="J13">
        <v>1581.49</v>
      </c>
      <c r="K13">
        <v>1563.17</v>
      </c>
      <c r="L13">
        <v>1591.75</v>
      </c>
      <c r="M13">
        <v>1557.19</v>
      </c>
      <c r="N13">
        <v>1604.62</v>
      </c>
      <c r="O13">
        <v>1550.67</v>
      </c>
      <c r="Q13" t="s">
        <v>102</v>
      </c>
      <c r="R13" t="s">
        <v>103</v>
      </c>
      <c r="T13">
        <v>10</v>
      </c>
      <c r="U13">
        <v>20</v>
      </c>
      <c r="V13">
        <v>40</v>
      </c>
      <c r="W13">
        <v>60</v>
      </c>
      <c r="X13">
        <v>100</v>
      </c>
      <c r="Y13">
        <v>200</v>
      </c>
      <c r="Z13">
        <v>300</v>
      </c>
    </row>
    <row r="14" spans="1:26" x14ac:dyDescent="0.3">
      <c r="A14" t="s">
        <v>95</v>
      </c>
      <c r="B14">
        <v>1627.56</v>
      </c>
      <c r="C14">
        <v>1625.57</v>
      </c>
      <c r="D14">
        <v>1628.47</v>
      </c>
      <c r="E14">
        <v>1628.56</v>
      </c>
      <c r="F14">
        <v>1629.51</v>
      </c>
      <c r="G14">
        <v>1623.49</v>
      </c>
      <c r="H14">
        <v>1633.44</v>
      </c>
      <c r="I14">
        <v>1625.13</v>
      </c>
      <c r="J14">
        <v>1639.61</v>
      </c>
      <c r="K14">
        <v>1621.54</v>
      </c>
      <c r="L14">
        <v>1646.59</v>
      </c>
      <c r="M14">
        <v>1608.89</v>
      </c>
      <c r="N14">
        <v>1653.65</v>
      </c>
      <c r="O14">
        <v>1600.76</v>
      </c>
      <c r="T14">
        <v>10</v>
      </c>
      <c r="U14">
        <v>20</v>
      </c>
      <c r="V14">
        <v>40</v>
      </c>
      <c r="W14">
        <v>60</v>
      </c>
      <c r="X14">
        <v>100</v>
      </c>
      <c r="Y14">
        <v>200</v>
      </c>
      <c r="Z14">
        <v>300</v>
      </c>
    </row>
    <row r="15" spans="1:26" x14ac:dyDescent="0.3">
      <c r="T15">
        <v>10</v>
      </c>
      <c r="U15">
        <v>20</v>
      </c>
      <c r="V15">
        <v>40</v>
      </c>
      <c r="W15">
        <v>60</v>
      </c>
      <c r="X15">
        <v>100</v>
      </c>
      <c r="Y15">
        <v>200</v>
      </c>
      <c r="Z15">
        <v>300</v>
      </c>
    </row>
    <row r="16" spans="1:26" x14ac:dyDescent="0.3">
      <c r="A16" t="s">
        <v>96</v>
      </c>
      <c r="B16">
        <v>1605.47</v>
      </c>
      <c r="C16">
        <v>1604.74</v>
      </c>
      <c r="D16">
        <v>1607.69</v>
      </c>
      <c r="E16">
        <v>1603.62</v>
      </c>
      <c r="F16">
        <v>1610.55</v>
      </c>
      <c r="G16">
        <v>1603.03</v>
      </c>
      <c r="H16">
        <v>1612.86</v>
      </c>
      <c r="I16">
        <v>1599.44</v>
      </c>
      <c r="J16">
        <v>1615.6</v>
      </c>
      <c r="K16">
        <v>1593.24</v>
      </c>
      <c r="L16">
        <v>1624.29</v>
      </c>
      <c r="M16">
        <v>1583.44</v>
      </c>
      <c r="N16">
        <v>1639.3</v>
      </c>
      <c r="O16">
        <v>1572.34</v>
      </c>
      <c r="T16">
        <v>10</v>
      </c>
      <c r="U16">
        <v>20</v>
      </c>
      <c r="V16">
        <v>40</v>
      </c>
      <c r="W16">
        <v>60</v>
      </c>
      <c r="X16">
        <v>100</v>
      </c>
      <c r="Y16">
        <v>200</v>
      </c>
      <c r="Z16">
        <v>300</v>
      </c>
    </row>
    <row r="17" spans="1:26" x14ac:dyDescent="0.3">
      <c r="A17">
        <v>208.5</v>
      </c>
      <c r="B17">
        <v>1580.04</v>
      </c>
      <c r="C17">
        <v>1578.07</v>
      </c>
      <c r="D17">
        <v>1580.52</v>
      </c>
      <c r="E17">
        <v>1577.13</v>
      </c>
      <c r="F17">
        <v>1583.3</v>
      </c>
      <c r="G17">
        <v>1575.18</v>
      </c>
      <c r="H17">
        <v>1583.08</v>
      </c>
      <c r="I17">
        <v>1572.96</v>
      </c>
      <c r="J17">
        <v>1588.56</v>
      </c>
      <c r="K17">
        <v>1569.74</v>
      </c>
      <c r="L17">
        <v>1598.95</v>
      </c>
      <c r="M17">
        <v>1561.66</v>
      </c>
      <c r="N17">
        <v>1611.58</v>
      </c>
      <c r="O17">
        <v>1551.99</v>
      </c>
      <c r="T17">
        <v>10</v>
      </c>
      <c r="U17">
        <v>20</v>
      </c>
      <c r="V17">
        <v>40</v>
      </c>
      <c r="W17">
        <v>60</v>
      </c>
      <c r="X17">
        <v>100</v>
      </c>
      <c r="Y17">
        <v>200</v>
      </c>
      <c r="Z17">
        <v>300</v>
      </c>
    </row>
    <row r="18" spans="1:26" x14ac:dyDescent="0.3">
      <c r="A18">
        <v>209</v>
      </c>
      <c r="B18">
        <v>1627.68</v>
      </c>
      <c r="C18">
        <v>1625.57</v>
      </c>
      <c r="D18">
        <v>1628.5</v>
      </c>
      <c r="E18">
        <v>1625.35</v>
      </c>
      <c r="F18">
        <v>1629.35</v>
      </c>
      <c r="G18">
        <v>1623.49</v>
      </c>
      <c r="H18">
        <v>1633.4</v>
      </c>
      <c r="I18">
        <v>1624.85</v>
      </c>
      <c r="J18">
        <v>1638.94</v>
      </c>
      <c r="K18">
        <v>1618.03</v>
      </c>
      <c r="L18">
        <v>1646.63</v>
      </c>
      <c r="M18">
        <v>1608.85</v>
      </c>
      <c r="N18">
        <v>1654.41</v>
      </c>
      <c r="O18">
        <v>1596.51</v>
      </c>
      <c r="T18">
        <v>10</v>
      </c>
      <c r="U18">
        <v>20</v>
      </c>
      <c r="V18">
        <v>40</v>
      </c>
      <c r="W18">
        <v>60</v>
      </c>
      <c r="X18">
        <v>100</v>
      </c>
      <c r="Y18">
        <v>200</v>
      </c>
      <c r="Z18">
        <v>300</v>
      </c>
    </row>
    <row r="19" spans="1:26" x14ac:dyDescent="0.3">
      <c r="A19">
        <v>210</v>
      </c>
      <c r="B19">
        <v>1650.31</v>
      </c>
      <c r="C19">
        <v>1645.43</v>
      </c>
      <c r="D19">
        <v>1647.17</v>
      </c>
      <c r="E19">
        <v>1646.66</v>
      </c>
      <c r="F19">
        <v>1650.16</v>
      </c>
      <c r="G19">
        <v>1644.45</v>
      </c>
      <c r="H19">
        <v>1652.28</v>
      </c>
      <c r="I19">
        <v>1642.58</v>
      </c>
      <c r="J19">
        <v>1654.36</v>
      </c>
      <c r="K19">
        <v>1640.15</v>
      </c>
      <c r="L19">
        <v>1660.22</v>
      </c>
      <c r="M19">
        <v>1627.36</v>
      </c>
      <c r="N19">
        <v>1665.45</v>
      </c>
      <c r="O19">
        <v>1617.84</v>
      </c>
      <c r="T19">
        <v>10</v>
      </c>
      <c r="U19">
        <v>20</v>
      </c>
      <c r="V19">
        <v>40</v>
      </c>
      <c r="W19">
        <v>60</v>
      </c>
      <c r="X19">
        <v>100</v>
      </c>
      <c r="Y19">
        <v>200</v>
      </c>
      <c r="Z19">
        <v>300</v>
      </c>
    </row>
    <row r="20" spans="1:26" ht="15" thickBot="1" x14ac:dyDescent="0.35">
      <c r="A20" s="18">
        <v>211</v>
      </c>
      <c r="B20" s="18">
        <v>1654.08</v>
      </c>
      <c r="C20" s="18">
        <v>1651.92</v>
      </c>
      <c r="D20" s="18">
        <v>1654.16</v>
      </c>
      <c r="E20" s="18">
        <v>1651.24</v>
      </c>
      <c r="F20" s="18">
        <v>1655.96</v>
      </c>
      <c r="G20" s="18">
        <v>1650.4</v>
      </c>
      <c r="H20" s="18">
        <v>1656.02</v>
      </c>
      <c r="I20" s="18">
        <v>1647.28</v>
      </c>
      <c r="J20" s="18">
        <v>1658.52</v>
      </c>
      <c r="K20" s="18">
        <v>1649.4</v>
      </c>
      <c r="L20" s="18">
        <v>1663.9</v>
      </c>
      <c r="M20" s="18">
        <v>1639.56</v>
      </c>
      <c r="N20" s="18">
        <v>1674.59</v>
      </c>
      <c r="O20" s="18">
        <v>1625.35</v>
      </c>
      <c r="T20">
        <v>10</v>
      </c>
      <c r="U20">
        <v>20</v>
      </c>
      <c r="V20">
        <v>40</v>
      </c>
      <c r="W20">
        <v>60</v>
      </c>
      <c r="X20">
        <v>100</v>
      </c>
      <c r="Y20">
        <v>200</v>
      </c>
      <c r="Z20">
        <v>300</v>
      </c>
    </row>
    <row r="21" spans="1:26" x14ac:dyDescent="0.3">
      <c r="T21">
        <v>10</v>
      </c>
      <c r="U21">
        <v>20</v>
      </c>
      <c r="V21">
        <v>40</v>
      </c>
      <c r="W21">
        <v>60</v>
      </c>
      <c r="X21">
        <v>100</v>
      </c>
      <c r="Y21">
        <v>200</v>
      </c>
      <c r="Z21">
        <v>300</v>
      </c>
    </row>
    <row r="22" spans="1:26" x14ac:dyDescent="0.3">
      <c r="A22" t="s">
        <v>29</v>
      </c>
      <c r="B22">
        <v>1538.56</v>
      </c>
      <c r="C22">
        <v>1537.76</v>
      </c>
      <c r="D22">
        <v>1539.34</v>
      </c>
      <c r="E22">
        <v>1536.76</v>
      </c>
      <c r="F22">
        <v>1539.56</v>
      </c>
      <c r="G22">
        <v>1536.26</v>
      </c>
      <c r="H22">
        <v>1539.99</v>
      </c>
      <c r="I22">
        <v>1535.63</v>
      </c>
      <c r="J22">
        <v>1540.88</v>
      </c>
      <c r="K22">
        <v>1534.97</v>
      </c>
      <c r="L22">
        <v>1547.05</v>
      </c>
      <c r="M22">
        <v>1530.06</v>
      </c>
      <c r="N22">
        <v>1551.39</v>
      </c>
      <c r="O22">
        <v>1525.91</v>
      </c>
      <c r="T22">
        <v>10</v>
      </c>
      <c r="U22">
        <v>20</v>
      </c>
      <c r="V22">
        <v>40</v>
      </c>
      <c r="W22">
        <v>60</v>
      </c>
      <c r="X22">
        <v>100</v>
      </c>
      <c r="Y22">
        <v>200</v>
      </c>
      <c r="Z22">
        <v>300</v>
      </c>
    </row>
    <row r="23" spans="1:26" x14ac:dyDescent="0.3">
      <c r="A23" t="s">
        <v>24</v>
      </c>
      <c r="B23">
        <v>1542.43</v>
      </c>
      <c r="C23">
        <v>1541.54</v>
      </c>
      <c r="D23">
        <v>1542.77</v>
      </c>
      <c r="E23">
        <v>1543.19</v>
      </c>
      <c r="F23">
        <v>1543.93</v>
      </c>
      <c r="G23">
        <v>1542.43</v>
      </c>
      <c r="H23">
        <v>1545.31</v>
      </c>
      <c r="I23">
        <v>1541.01</v>
      </c>
      <c r="J23">
        <v>1547.41</v>
      </c>
      <c r="K23">
        <v>1539.33</v>
      </c>
      <c r="L23">
        <v>1553.73</v>
      </c>
      <c r="M23">
        <v>1535.44</v>
      </c>
      <c r="N23">
        <v>1557.27</v>
      </c>
      <c r="O23">
        <v>1531.26</v>
      </c>
      <c r="T23">
        <v>10</v>
      </c>
      <c r="U23">
        <v>20</v>
      </c>
      <c r="V23">
        <v>40</v>
      </c>
      <c r="W23">
        <v>60</v>
      </c>
      <c r="X23">
        <v>100</v>
      </c>
      <c r="Y23">
        <v>200</v>
      </c>
      <c r="Z23">
        <v>300</v>
      </c>
    </row>
    <row r="24" spans="1:26" x14ac:dyDescent="0.3">
      <c r="A24" t="s">
        <v>26</v>
      </c>
      <c r="B24">
        <v>1549.07</v>
      </c>
      <c r="C24">
        <v>1551.59</v>
      </c>
      <c r="D24">
        <v>1551.7</v>
      </c>
      <c r="E24">
        <v>1547.35</v>
      </c>
      <c r="F24">
        <v>1550.68</v>
      </c>
      <c r="G24">
        <v>1545.72</v>
      </c>
      <c r="H24">
        <v>1551.51</v>
      </c>
      <c r="I24">
        <v>1545.62</v>
      </c>
      <c r="J24">
        <v>1554.41</v>
      </c>
      <c r="K24">
        <v>1542.44</v>
      </c>
      <c r="L24">
        <v>1558.22</v>
      </c>
      <c r="M24">
        <v>1539.63</v>
      </c>
      <c r="N24">
        <v>1566.49</v>
      </c>
      <c r="O24">
        <v>1537.54</v>
      </c>
      <c r="T24">
        <v>10</v>
      </c>
      <c r="U24">
        <v>20</v>
      </c>
      <c r="V24">
        <v>40</v>
      </c>
      <c r="W24">
        <v>60</v>
      </c>
      <c r="X24">
        <v>100</v>
      </c>
      <c r="Y24">
        <v>200</v>
      </c>
      <c r="Z24">
        <v>300</v>
      </c>
    </row>
    <row r="25" spans="1:26" x14ac:dyDescent="0.3">
      <c r="A25" t="s">
        <v>36</v>
      </c>
      <c r="B25">
        <v>1563.4</v>
      </c>
      <c r="C25">
        <v>1563.56</v>
      </c>
      <c r="D25">
        <v>1565.19</v>
      </c>
      <c r="E25">
        <v>1563.76</v>
      </c>
      <c r="F25">
        <v>1567.92</v>
      </c>
      <c r="G25">
        <v>1562.64</v>
      </c>
      <c r="H25">
        <v>1569.81</v>
      </c>
      <c r="I25">
        <v>1562.94</v>
      </c>
      <c r="J25">
        <v>1571.21</v>
      </c>
      <c r="K25">
        <v>1557.6</v>
      </c>
      <c r="L25">
        <v>1577.33</v>
      </c>
      <c r="M25">
        <v>1552.1</v>
      </c>
      <c r="N25">
        <v>1588.68</v>
      </c>
      <c r="O25">
        <v>1545.55</v>
      </c>
    </row>
    <row r="26" spans="1:26" x14ac:dyDescent="0.3">
      <c r="A26" t="s">
        <v>97</v>
      </c>
      <c r="B26">
        <v>1581.16</v>
      </c>
      <c r="C26">
        <v>1578.77</v>
      </c>
      <c r="D26">
        <v>1582.7</v>
      </c>
      <c r="E26">
        <v>1578.02</v>
      </c>
      <c r="F26">
        <v>1584.76</v>
      </c>
      <c r="G26">
        <v>1576.93</v>
      </c>
      <c r="H26">
        <v>1581.74</v>
      </c>
      <c r="I26">
        <v>1574.49</v>
      </c>
      <c r="J26">
        <v>1587.51</v>
      </c>
      <c r="K26">
        <v>1572.73</v>
      </c>
      <c r="L26">
        <v>1597.02</v>
      </c>
      <c r="M26">
        <v>1566.08</v>
      </c>
      <c r="N26">
        <v>1609.22</v>
      </c>
      <c r="O26">
        <v>1560.79</v>
      </c>
    </row>
    <row r="27" spans="1:26" x14ac:dyDescent="0.3">
      <c r="A27" t="s">
        <v>38</v>
      </c>
      <c r="B27">
        <v>1601.3</v>
      </c>
      <c r="C27">
        <v>1598.67</v>
      </c>
      <c r="D27">
        <v>1600.05</v>
      </c>
      <c r="E27">
        <v>1597.56</v>
      </c>
      <c r="F27">
        <v>1597.6</v>
      </c>
      <c r="G27">
        <v>1591.16</v>
      </c>
      <c r="H27">
        <v>1598.33</v>
      </c>
      <c r="I27">
        <v>1587.28</v>
      </c>
      <c r="J27">
        <v>1604.9</v>
      </c>
      <c r="K27">
        <v>1589.57</v>
      </c>
      <c r="L27">
        <v>1611.75</v>
      </c>
      <c r="M27">
        <v>1577.5</v>
      </c>
      <c r="N27">
        <v>1624.01</v>
      </c>
      <c r="O27">
        <v>1570.15</v>
      </c>
    </row>
    <row r="28" spans="1:26" x14ac:dyDescent="0.3">
      <c r="A28" t="s">
        <v>68</v>
      </c>
      <c r="B28">
        <v>1607.24</v>
      </c>
      <c r="C28">
        <v>1604.89</v>
      </c>
      <c r="D28">
        <v>1611.06</v>
      </c>
      <c r="E28">
        <v>1607.12</v>
      </c>
      <c r="F28">
        <v>1611.32</v>
      </c>
      <c r="G28">
        <v>1602.09</v>
      </c>
      <c r="H28">
        <v>1611.87</v>
      </c>
      <c r="I28">
        <v>1599.3</v>
      </c>
      <c r="J28">
        <v>1613.7</v>
      </c>
      <c r="K28">
        <v>1595.71</v>
      </c>
      <c r="L28">
        <v>1626.94</v>
      </c>
      <c r="M28">
        <v>1587.07</v>
      </c>
      <c r="N28">
        <v>1634.39</v>
      </c>
      <c r="O28">
        <v>1580.94</v>
      </c>
    </row>
    <row r="29" spans="1:26" x14ac:dyDescent="0.3">
      <c r="A29" t="s">
        <v>42</v>
      </c>
      <c r="B29">
        <v>1627.83</v>
      </c>
      <c r="C29">
        <v>1628.5</v>
      </c>
      <c r="D29">
        <v>1625.32</v>
      </c>
      <c r="E29">
        <v>1624.35</v>
      </c>
      <c r="F29">
        <v>1623.63</v>
      </c>
      <c r="G29">
        <v>1625.2</v>
      </c>
      <c r="H29">
        <v>1629.38</v>
      </c>
      <c r="I29">
        <v>1626.22</v>
      </c>
      <c r="J29">
        <v>1631.96</v>
      </c>
      <c r="K29">
        <v>1613.31</v>
      </c>
      <c r="L29">
        <v>1634.65</v>
      </c>
      <c r="M29">
        <v>1611.46</v>
      </c>
      <c r="N29">
        <v>1641.65</v>
      </c>
      <c r="O29">
        <v>1601.99</v>
      </c>
    </row>
    <row r="30" spans="1:26" x14ac:dyDescent="0.3">
      <c r="A30" t="s">
        <v>35</v>
      </c>
      <c r="B30">
        <v>1633.5</v>
      </c>
      <c r="C30">
        <v>1629.57</v>
      </c>
      <c r="D30">
        <v>1632.03</v>
      </c>
      <c r="E30">
        <v>1628.85</v>
      </c>
      <c r="F30">
        <v>1634.64</v>
      </c>
      <c r="G30">
        <v>1630.52</v>
      </c>
      <c r="H30">
        <v>1635.6</v>
      </c>
      <c r="I30">
        <v>1630.39</v>
      </c>
      <c r="J30">
        <v>1634.6</v>
      </c>
      <c r="K30">
        <v>1625.15</v>
      </c>
      <c r="L30">
        <v>1643.71</v>
      </c>
      <c r="M30">
        <v>1612.8</v>
      </c>
      <c r="N30">
        <v>1644.52</v>
      </c>
      <c r="O30">
        <v>1607.41</v>
      </c>
    </row>
    <row r="31" spans="1:26" ht="15" thickBot="1" x14ac:dyDescent="0.35">
      <c r="A31" s="19" t="s">
        <v>34</v>
      </c>
      <c r="B31" s="18">
        <v>1653.72</v>
      </c>
      <c r="C31" s="18">
        <v>1653.99</v>
      </c>
      <c r="D31" s="18">
        <v>1653.24</v>
      </c>
      <c r="E31" s="18">
        <v>1653.66</v>
      </c>
      <c r="F31" s="18">
        <v>1656.17</v>
      </c>
      <c r="G31" s="18">
        <v>1654.67</v>
      </c>
      <c r="H31" s="18">
        <v>1656.01</v>
      </c>
      <c r="I31" s="18">
        <v>1650.17</v>
      </c>
      <c r="J31" s="18"/>
      <c r="K31" s="18"/>
      <c r="L31" s="18"/>
      <c r="M31" s="18"/>
      <c r="N31" s="18"/>
      <c r="O31" s="18"/>
    </row>
    <row r="33" spans="1:15" x14ac:dyDescent="0.3">
      <c r="A33" s="15" t="s">
        <v>51</v>
      </c>
    </row>
    <row r="34" spans="1:15" x14ac:dyDescent="0.3">
      <c r="A34" s="15" t="s">
        <v>52</v>
      </c>
    </row>
    <row r="35" spans="1:15" x14ac:dyDescent="0.3">
      <c r="A35" s="17" t="s">
        <v>11</v>
      </c>
      <c r="B35">
        <v>1635.38</v>
      </c>
      <c r="C35">
        <v>1634.66</v>
      </c>
      <c r="D35">
        <v>1635.91</v>
      </c>
      <c r="E35">
        <v>1633.57</v>
      </c>
      <c r="F35">
        <v>1636.99</v>
      </c>
      <c r="G35">
        <v>1632.69</v>
      </c>
    </row>
    <row r="36" spans="1:15" x14ac:dyDescent="0.3">
      <c r="A36" s="17" t="s">
        <v>39</v>
      </c>
      <c r="B36">
        <v>1624.62</v>
      </c>
      <c r="C36">
        <v>1623.56</v>
      </c>
      <c r="D36">
        <v>1624.99</v>
      </c>
      <c r="E36">
        <v>1622.58</v>
      </c>
      <c r="F36">
        <v>1626.48</v>
      </c>
      <c r="G36">
        <v>1621.89</v>
      </c>
      <c r="H36">
        <v>1627.52</v>
      </c>
      <c r="I36">
        <v>1620.61</v>
      </c>
      <c r="J36">
        <v>1629.5</v>
      </c>
      <c r="K36">
        <v>1618.55</v>
      </c>
      <c r="L36">
        <v>1635.12</v>
      </c>
      <c r="M36">
        <v>1613.55</v>
      </c>
      <c r="O36">
        <v>1609.33</v>
      </c>
    </row>
    <row r="37" spans="1:15" x14ac:dyDescent="0.3">
      <c r="A37" t="s">
        <v>45</v>
      </c>
      <c r="B37">
        <v>1613.48</v>
      </c>
      <c r="C37">
        <v>1612.89</v>
      </c>
      <c r="D37">
        <v>1613.71</v>
      </c>
      <c r="E37">
        <v>1612.38</v>
      </c>
      <c r="F37">
        <v>1615.63</v>
      </c>
      <c r="G37">
        <v>1611.55</v>
      </c>
      <c r="H37">
        <v>1616.12</v>
      </c>
      <c r="I37">
        <v>1610.21</v>
      </c>
      <c r="J37">
        <v>1618</v>
      </c>
      <c r="K37">
        <v>1608.35</v>
      </c>
      <c r="L37">
        <v>1623.08</v>
      </c>
      <c r="M37">
        <v>1604.45</v>
      </c>
      <c r="N37">
        <v>1629.02</v>
      </c>
      <c r="O37">
        <v>1599.84</v>
      </c>
    </row>
    <row r="38" spans="1:15" x14ac:dyDescent="0.3">
      <c r="A38" t="s">
        <v>13</v>
      </c>
      <c r="B38">
        <v>1601.39</v>
      </c>
      <c r="C38">
        <v>1601.34</v>
      </c>
      <c r="D38">
        <v>1601.69</v>
      </c>
      <c r="E38">
        <v>1600</v>
      </c>
      <c r="F38">
        <v>1603.63</v>
      </c>
      <c r="G38">
        <v>1599.83</v>
      </c>
      <c r="H38">
        <v>1604.22</v>
      </c>
      <c r="I38">
        <v>1599.41</v>
      </c>
      <c r="J38">
        <v>1606.43</v>
      </c>
      <c r="K38">
        <v>1598.55</v>
      </c>
      <c r="L38">
        <v>1611.43</v>
      </c>
      <c r="M38">
        <v>1595.54</v>
      </c>
      <c r="N38">
        <v>1615.79</v>
      </c>
      <c r="O38">
        <v>1593.31</v>
      </c>
    </row>
    <row r="39" spans="1:15" x14ac:dyDescent="0.3">
      <c r="A39" t="s">
        <v>44</v>
      </c>
      <c r="B39">
        <v>1592.57</v>
      </c>
      <c r="C39">
        <v>1592.15</v>
      </c>
      <c r="D39">
        <v>1592.36</v>
      </c>
      <c r="E39">
        <v>1591.52</v>
      </c>
      <c r="F39">
        <v>1592.95</v>
      </c>
      <c r="G39">
        <v>1590.78</v>
      </c>
      <c r="H39">
        <v>1593.18</v>
      </c>
      <c r="I39">
        <v>1589.8</v>
      </c>
      <c r="J39">
        <v>1593.75</v>
      </c>
      <c r="K39">
        <v>1587.94</v>
      </c>
      <c r="L39">
        <v>1595.65</v>
      </c>
      <c r="M39">
        <v>1585.16</v>
      </c>
      <c r="N39">
        <v>1599.52</v>
      </c>
      <c r="O39">
        <v>1582.24</v>
      </c>
    </row>
    <row r="40" spans="1:15" x14ac:dyDescent="0.3">
      <c r="A40" t="s">
        <v>55</v>
      </c>
      <c r="B40">
        <v>1577.15</v>
      </c>
      <c r="C40">
        <v>1576.39</v>
      </c>
      <c r="D40">
        <v>1577.28</v>
      </c>
      <c r="E40">
        <v>1576.69</v>
      </c>
      <c r="F40">
        <v>1577.12</v>
      </c>
      <c r="G40">
        <v>1576.76</v>
      </c>
      <c r="H40">
        <v>1577.93</v>
      </c>
      <c r="I40">
        <v>1575.83</v>
      </c>
      <c r="J40">
        <v>1579.21</v>
      </c>
      <c r="K40">
        <v>1573.44</v>
      </c>
      <c r="L40">
        <v>1582.3</v>
      </c>
      <c r="M40">
        <v>1570.08</v>
      </c>
      <c r="N40">
        <v>1584.58</v>
      </c>
      <c r="O40">
        <v>1567.75</v>
      </c>
    </row>
    <row r="41" spans="1:15" x14ac:dyDescent="0.3">
      <c r="A41" t="s">
        <v>16</v>
      </c>
      <c r="B41">
        <v>1564.14</v>
      </c>
      <c r="C41">
        <v>1563.63</v>
      </c>
      <c r="D41">
        <v>1564.68</v>
      </c>
      <c r="E41">
        <v>1564.23</v>
      </c>
      <c r="F41">
        <v>1564.99</v>
      </c>
      <c r="G41">
        <v>1562.59</v>
      </c>
      <c r="H41">
        <v>1565.82</v>
      </c>
      <c r="I41">
        <v>1562.49</v>
      </c>
      <c r="J41">
        <v>1567.17</v>
      </c>
      <c r="K41">
        <v>1560.4</v>
      </c>
      <c r="L41">
        <v>1568</v>
      </c>
      <c r="M41">
        <v>1558.5</v>
      </c>
      <c r="N41">
        <v>1569.99</v>
      </c>
      <c r="O41">
        <v>1553.36</v>
      </c>
    </row>
    <row r="42" spans="1:15" x14ac:dyDescent="0.3">
      <c r="A42" t="s">
        <v>40</v>
      </c>
      <c r="B42">
        <v>1558.84</v>
      </c>
      <c r="C42">
        <v>1558.49</v>
      </c>
      <c r="D42">
        <v>1558.54</v>
      </c>
      <c r="E42">
        <v>1557.83</v>
      </c>
      <c r="F42">
        <v>1559.32</v>
      </c>
      <c r="G42">
        <v>1556.24</v>
      </c>
      <c r="H42">
        <v>1559.53</v>
      </c>
      <c r="I42">
        <v>1556.23</v>
      </c>
      <c r="J42">
        <v>1559.96</v>
      </c>
      <c r="K42">
        <v>1554.19</v>
      </c>
      <c r="L42">
        <v>1558.13</v>
      </c>
      <c r="M42">
        <v>1549.76</v>
      </c>
      <c r="N42">
        <v>1560.95</v>
      </c>
      <c r="O42">
        <v>1546.86</v>
      </c>
    </row>
    <row r="43" spans="1:15" x14ac:dyDescent="0.3">
      <c r="A43" t="s">
        <v>12</v>
      </c>
      <c r="B43">
        <v>1550.97</v>
      </c>
      <c r="C43">
        <v>1549.54</v>
      </c>
      <c r="D43">
        <v>1550.25</v>
      </c>
      <c r="E43">
        <v>1548.76</v>
      </c>
      <c r="F43">
        <v>1550.21</v>
      </c>
      <c r="G43">
        <v>1547.46</v>
      </c>
      <c r="H43">
        <v>1551.22</v>
      </c>
      <c r="I43">
        <v>1547.68</v>
      </c>
      <c r="J43">
        <v>1552.99</v>
      </c>
      <c r="K43">
        <v>1546.08</v>
      </c>
      <c r="L43">
        <v>1556.93</v>
      </c>
      <c r="M43">
        <v>1536.21</v>
      </c>
      <c r="N43">
        <v>1559.58</v>
      </c>
      <c r="O43">
        <v>1526.22</v>
      </c>
    </row>
    <row r="44" spans="1:15" x14ac:dyDescent="0.3">
      <c r="A44" t="s">
        <v>41</v>
      </c>
      <c r="B44">
        <v>1402.85</v>
      </c>
      <c r="C44">
        <v>1401.36</v>
      </c>
      <c r="D44">
        <v>1402.91</v>
      </c>
      <c r="E44">
        <v>1401.56</v>
      </c>
      <c r="F44">
        <v>1406.28</v>
      </c>
      <c r="G44">
        <v>1401.6</v>
      </c>
      <c r="H44">
        <v>1408.44</v>
      </c>
      <c r="I44">
        <v>1399.83</v>
      </c>
      <c r="J44">
        <v>1412.04</v>
      </c>
      <c r="K44">
        <v>1397.34</v>
      </c>
      <c r="L44">
        <v>1424.93</v>
      </c>
      <c r="M44">
        <v>1391.31</v>
      </c>
      <c r="N44">
        <v>1440.18</v>
      </c>
      <c r="O44">
        <v>1390.25</v>
      </c>
    </row>
    <row r="45" spans="1:15" x14ac:dyDescent="0.3">
      <c r="A45" t="s">
        <v>14</v>
      </c>
      <c r="B45">
        <v>1414.48</v>
      </c>
      <c r="C45">
        <v>1412.32</v>
      </c>
      <c r="D45">
        <v>1414.75</v>
      </c>
      <c r="E45">
        <v>1412.55</v>
      </c>
      <c r="F45">
        <v>1417.14</v>
      </c>
      <c r="G45">
        <v>1411.26</v>
      </c>
      <c r="H45">
        <v>1421.01</v>
      </c>
      <c r="I45">
        <v>1407.97</v>
      </c>
      <c r="J45">
        <v>1427.71</v>
      </c>
      <c r="K45">
        <v>1403.67</v>
      </c>
      <c r="L45">
        <v>1442.03</v>
      </c>
      <c r="M45">
        <v>1397.9</v>
      </c>
      <c r="N45">
        <v>1453.68</v>
      </c>
      <c r="O45">
        <v>1392.03</v>
      </c>
    </row>
    <row r="46" spans="1:15" x14ac:dyDescent="0.3">
      <c r="A46" t="s">
        <v>54</v>
      </c>
      <c r="B46">
        <v>1434.59</v>
      </c>
      <c r="C46">
        <v>1434.54</v>
      </c>
      <c r="D46">
        <v>1436.32</v>
      </c>
      <c r="E46">
        <v>1433.52</v>
      </c>
      <c r="F46">
        <v>1438.83</v>
      </c>
      <c r="G46">
        <v>1431.25</v>
      </c>
      <c r="H46">
        <v>1440.31</v>
      </c>
      <c r="I46">
        <v>1429.45</v>
      </c>
      <c r="J46">
        <v>1444.8</v>
      </c>
      <c r="K46">
        <v>1424.09</v>
      </c>
      <c r="L46">
        <v>1455.89</v>
      </c>
      <c r="M46">
        <v>1406.15</v>
      </c>
      <c r="N46">
        <v>1476.17</v>
      </c>
      <c r="O46">
        <v>1399.41</v>
      </c>
    </row>
    <row r="47" spans="1:15" x14ac:dyDescent="0.3">
      <c r="A47" t="s">
        <v>31</v>
      </c>
      <c r="B47">
        <v>1440.24</v>
      </c>
      <c r="C47">
        <v>1438.13</v>
      </c>
      <c r="D47">
        <v>1441.26</v>
      </c>
      <c r="E47">
        <v>1436.92</v>
      </c>
      <c r="F47">
        <v>1443.35</v>
      </c>
      <c r="G47">
        <v>1438.22</v>
      </c>
      <c r="H47">
        <v>1445.4</v>
      </c>
      <c r="I47">
        <v>1434</v>
      </c>
      <c r="J47">
        <v>1450.49</v>
      </c>
      <c r="K47">
        <v>1429.94</v>
      </c>
      <c r="L47">
        <v>1464.91</v>
      </c>
      <c r="M47">
        <v>1414.2</v>
      </c>
      <c r="N47">
        <v>1481.67</v>
      </c>
      <c r="O47">
        <v>1401.22</v>
      </c>
    </row>
    <row r="48" spans="1:15" x14ac:dyDescent="0.3">
      <c r="A48" t="s">
        <v>43</v>
      </c>
      <c r="B48">
        <v>1512.54</v>
      </c>
      <c r="C48">
        <v>1512.3</v>
      </c>
      <c r="D48">
        <v>1517.4</v>
      </c>
      <c r="E48">
        <v>1512.28</v>
      </c>
      <c r="F48">
        <v>1518.35</v>
      </c>
      <c r="G48">
        <v>1510.29</v>
      </c>
      <c r="H48">
        <v>1521.84</v>
      </c>
      <c r="I48">
        <v>1508.86</v>
      </c>
      <c r="J48">
        <v>1526.28</v>
      </c>
      <c r="K48">
        <v>1503.7</v>
      </c>
      <c r="L48">
        <v>1532.18</v>
      </c>
      <c r="M48">
        <v>1485.38</v>
      </c>
      <c r="N48">
        <v>1546.47</v>
      </c>
      <c r="O48">
        <v>1476.4</v>
      </c>
    </row>
    <row r="49" spans="1:15" x14ac:dyDescent="0.3">
      <c r="A49" t="s">
        <v>50</v>
      </c>
      <c r="B49">
        <v>1526.31</v>
      </c>
      <c r="C49">
        <v>1525.6</v>
      </c>
      <c r="D49">
        <v>1528.22</v>
      </c>
      <c r="E49">
        <v>1524.61</v>
      </c>
      <c r="F49">
        <v>1528.76</v>
      </c>
      <c r="G49">
        <v>1525.93</v>
      </c>
      <c r="H49">
        <v>1531.86</v>
      </c>
      <c r="I49">
        <v>1521.68</v>
      </c>
      <c r="J49">
        <v>1535.23</v>
      </c>
      <c r="K49">
        <v>1516.11</v>
      </c>
      <c r="L49">
        <v>1545.51</v>
      </c>
      <c r="M49">
        <v>1506.74</v>
      </c>
      <c r="N49">
        <v>1549.93</v>
      </c>
      <c r="O49">
        <v>1488.9</v>
      </c>
    </row>
    <row r="50" spans="1:15" x14ac:dyDescent="0.3">
      <c r="A50" t="s">
        <v>37</v>
      </c>
      <c r="B50">
        <v>1537.57</v>
      </c>
      <c r="C50">
        <v>1536.54</v>
      </c>
      <c r="D50">
        <v>1539.56</v>
      </c>
      <c r="E50">
        <v>1535.35</v>
      </c>
      <c r="F50">
        <v>1541.01</v>
      </c>
      <c r="G50">
        <v>1533.8</v>
      </c>
      <c r="H50">
        <v>1543.16</v>
      </c>
      <c r="I50">
        <v>1532.22</v>
      </c>
      <c r="J50">
        <v>1546.01</v>
      </c>
      <c r="K50">
        <v>1527.97</v>
      </c>
      <c r="L50">
        <v>1549.64</v>
      </c>
      <c r="M50">
        <v>1519.05</v>
      </c>
      <c r="N50">
        <v>1553.46</v>
      </c>
      <c r="O50">
        <v>1509.12</v>
      </c>
    </row>
    <row r="51" spans="1:15" ht="15" thickBot="1" x14ac:dyDescent="0.35">
      <c r="A51" s="21" t="s">
        <v>15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3" spans="1:15" x14ac:dyDescent="0.3">
      <c r="A53" t="s">
        <v>48</v>
      </c>
      <c r="B53">
        <v>1499.54</v>
      </c>
      <c r="C53">
        <v>1497.07</v>
      </c>
      <c r="D53">
        <v>1496.85</v>
      </c>
      <c r="E53">
        <v>1496.33</v>
      </c>
      <c r="F53">
        <v>1497.21</v>
      </c>
      <c r="G53">
        <v>1492.9</v>
      </c>
      <c r="H53">
        <v>1501.22</v>
      </c>
      <c r="I53">
        <v>1485.88</v>
      </c>
      <c r="J53">
        <v>1504.38</v>
      </c>
      <c r="K53">
        <v>1485.25</v>
      </c>
      <c r="L53">
        <v>1521.17</v>
      </c>
      <c r="M53">
        <v>1473.92</v>
      </c>
      <c r="N53">
        <v>1528.67</v>
      </c>
      <c r="O53">
        <v>1463.36</v>
      </c>
    </row>
    <row r="54" spans="1:15" x14ac:dyDescent="0.3">
      <c r="A54" t="s">
        <v>22</v>
      </c>
      <c r="B54">
        <v>1511.13</v>
      </c>
      <c r="C54">
        <v>1504.79</v>
      </c>
      <c r="D54">
        <v>1508.88</v>
      </c>
      <c r="E54">
        <v>1504.15</v>
      </c>
      <c r="F54">
        <v>1514.89</v>
      </c>
      <c r="G54">
        <v>1501.44</v>
      </c>
      <c r="H54">
        <v>1514.93</v>
      </c>
      <c r="I54">
        <v>1498.27</v>
      </c>
      <c r="J54">
        <v>1520.97</v>
      </c>
      <c r="K54">
        <v>1491.69</v>
      </c>
      <c r="L54">
        <v>1530.27</v>
      </c>
      <c r="M54">
        <v>1481.09</v>
      </c>
      <c r="N54">
        <v>1541.03</v>
      </c>
      <c r="O54">
        <v>1475.6</v>
      </c>
    </row>
    <row r="55" spans="1:15" x14ac:dyDescent="0.3">
      <c r="A55" t="s">
        <v>47</v>
      </c>
      <c r="B55">
        <v>1523.34</v>
      </c>
      <c r="C55">
        <v>1522.24</v>
      </c>
      <c r="D55">
        <v>1523.37</v>
      </c>
      <c r="E55">
        <v>1520.73</v>
      </c>
      <c r="F55">
        <v>1524.76</v>
      </c>
      <c r="G55">
        <v>1517.79</v>
      </c>
      <c r="H55">
        <v>1525.54</v>
      </c>
      <c r="I55">
        <v>1515.34</v>
      </c>
      <c r="J55">
        <v>1531.13</v>
      </c>
      <c r="K55">
        <v>1507.84</v>
      </c>
      <c r="L55">
        <v>1540.78</v>
      </c>
      <c r="M55">
        <v>1493.93</v>
      </c>
      <c r="N55">
        <v>1549.55</v>
      </c>
      <c r="O55">
        <v>1481.76</v>
      </c>
    </row>
    <row r="56" spans="1:15" x14ac:dyDescent="0.3">
      <c r="A56" t="s">
        <v>46</v>
      </c>
      <c r="B56">
        <v>1537.77</v>
      </c>
      <c r="C56">
        <v>1535.5</v>
      </c>
      <c r="D56">
        <v>1539.44</v>
      </c>
      <c r="E56">
        <v>1532.73</v>
      </c>
      <c r="F56">
        <v>1540.8</v>
      </c>
      <c r="G56">
        <v>1532.26</v>
      </c>
      <c r="H56">
        <v>1542.15</v>
      </c>
      <c r="I56">
        <v>1528.04</v>
      </c>
      <c r="J56">
        <v>1544.64</v>
      </c>
      <c r="K56">
        <v>1523.21</v>
      </c>
      <c r="L56">
        <v>1552.4</v>
      </c>
      <c r="M56">
        <v>1515.78</v>
      </c>
      <c r="N56">
        <v>1558.49</v>
      </c>
      <c r="O56">
        <v>1489.21</v>
      </c>
    </row>
    <row r="57" spans="1:15" x14ac:dyDescent="0.3">
      <c r="A57" t="s">
        <v>49</v>
      </c>
      <c r="B57">
        <v>1561.69</v>
      </c>
      <c r="C57">
        <v>1559.2</v>
      </c>
      <c r="D57">
        <v>1562.43</v>
      </c>
      <c r="E57">
        <v>1558.92</v>
      </c>
      <c r="F57">
        <v>1562.19</v>
      </c>
      <c r="G57">
        <v>1557.78</v>
      </c>
      <c r="H57">
        <v>1562.59</v>
      </c>
      <c r="I57">
        <v>1556.53</v>
      </c>
      <c r="J57">
        <v>1564.21</v>
      </c>
      <c r="K57">
        <v>1554.29</v>
      </c>
      <c r="L57">
        <v>1568.5</v>
      </c>
      <c r="M57">
        <v>1547.98</v>
      </c>
      <c r="N57">
        <v>1574.27</v>
      </c>
      <c r="O57">
        <v>1541.24</v>
      </c>
    </row>
    <row r="58" spans="1:15" x14ac:dyDescent="0.3">
      <c r="A58" t="s">
        <v>25</v>
      </c>
      <c r="B58">
        <v>1574.82</v>
      </c>
      <c r="C58">
        <v>1573.74</v>
      </c>
      <c r="D58">
        <v>1575.43</v>
      </c>
      <c r="E58">
        <v>1572.88</v>
      </c>
      <c r="F58">
        <v>1574.66</v>
      </c>
      <c r="G58">
        <v>1571.49</v>
      </c>
      <c r="H58">
        <v>1575.89</v>
      </c>
      <c r="I58">
        <v>1569.78</v>
      </c>
      <c r="J58">
        <v>1577.98</v>
      </c>
      <c r="K58">
        <v>1568.38</v>
      </c>
      <c r="L58">
        <v>1582.86</v>
      </c>
      <c r="M58">
        <v>1563.14</v>
      </c>
      <c r="N58">
        <v>1586.78</v>
      </c>
      <c r="O58">
        <v>1558.01</v>
      </c>
    </row>
    <row r="59" spans="1:15" x14ac:dyDescent="0.3">
      <c r="A59" t="s">
        <v>27</v>
      </c>
      <c r="B59">
        <v>1589.51</v>
      </c>
      <c r="C59">
        <v>1588.59</v>
      </c>
      <c r="D59">
        <v>1586.96</v>
      </c>
      <c r="E59">
        <v>1586.56</v>
      </c>
      <c r="F59">
        <v>1586.97</v>
      </c>
      <c r="G59">
        <v>1585.72</v>
      </c>
      <c r="H59">
        <v>1587.19</v>
      </c>
      <c r="I59">
        <v>1584.07</v>
      </c>
      <c r="J59">
        <v>1589.04</v>
      </c>
      <c r="K59">
        <v>1581.48</v>
      </c>
      <c r="L59">
        <v>1592.84</v>
      </c>
      <c r="M59">
        <v>1576.09</v>
      </c>
      <c r="N59">
        <v>1596.24</v>
      </c>
      <c r="O59">
        <v>1571.77</v>
      </c>
    </row>
    <row r="60" spans="1:15" x14ac:dyDescent="0.3">
      <c r="A60" t="s">
        <v>21</v>
      </c>
      <c r="B60">
        <v>1601.19</v>
      </c>
      <c r="C60">
        <v>1600.28</v>
      </c>
      <c r="D60">
        <v>1601.39</v>
      </c>
      <c r="E60">
        <v>1599.84</v>
      </c>
      <c r="F60">
        <v>1602.38</v>
      </c>
      <c r="G60">
        <v>1599.32</v>
      </c>
      <c r="H60">
        <v>1603.62</v>
      </c>
      <c r="I60">
        <v>1597.79</v>
      </c>
      <c r="J60">
        <v>1605.39</v>
      </c>
      <c r="K60">
        <v>1596.14</v>
      </c>
      <c r="L60">
        <v>1610.9</v>
      </c>
      <c r="M60">
        <v>1592.94</v>
      </c>
      <c r="N60">
        <v>1617.09</v>
      </c>
      <c r="O60">
        <v>1589.2</v>
      </c>
    </row>
    <row r="61" spans="1:15" x14ac:dyDescent="0.3">
      <c r="A61" t="s">
        <v>53</v>
      </c>
      <c r="B61">
        <v>1614.64</v>
      </c>
      <c r="C61">
        <v>1613.07</v>
      </c>
      <c r="D61">
        <v>1614.48</v>
      </c>
      <c r="E61">
        <v>1613.39</v>
      </c>
      <c r="F61">
        <v>1616.63</v>
      </c>
      <c r="G61">
        <v>1611.51</v>
      </c>
      <c r="H61">
        <v>1618.69</v>
      </c>
      <c r="I61">
        <v>1610.43</v>
      </c>
      <c r="J61">
        <v>1620.21</v>
      </c>
      <c r="K61">
        <v>1608.85</v>
      </c>
      <c r="L61">
        <v>1625.23</v>
      </c>
      <c r="M61">
        <v>1602.59</v>
      </c>
      <c r="N61">
        <v>1629.93</v>
      </c>
      <c r="O61">
        <v>1597.76</v>
      </c>
    </row>
    <row r="62" spans="1:15" x14ac:dyDescent="0.3">
      <c r="A62" t="s">
        <v>18</v>
      </c>
      <c r="B62">
        <v>1626.01</v>
      </c>
      <c r="C62">
        <v>1624.58</v>
      </c>
      <c r="D62">
        <v>1625.77</v>
      </c>
      <c r="E62">
        <v>1623.4</v>
      </c>
      <c r="F62">
        <v>1626.41</v>
      </c>
      <c r="G62">
        <v>1622.42</v>
      </c>
      <c r="H62">
        <v>1626.61</v>
      </c>
      <c r="I62">
        <v>1620.83</v>
      </c>
      <c r="J62">
        <v>1627.45</v>
      </c>
      <c r="K62">
        <v>1618.9</v>
      </c>
      <c r="L62">
        <v>1633.3</v>
      </c>
      <c r="M62">
        <v>1613.38</v>
      </c>
      <c r="N62">
        <v>1636.66</v>
      </c>
      <c r="O62">
        <v>1607.79</v>
      </c>
    </row>
    <row r="63" spans="1:15" x14ac:dyDescent="0.3">
      <c r="A63" t="s">
        <v>20</v>
      </c>
      <c r="B63">
        <v>1635.22</v>
      </c>
      <c r="C63">
        <v>1634.45</v>
      </c>
      <c r="D63">
        <v>1635.32</v>
      </c>
      <c r="E63">
        <v>1634.29</v>
      </c>
      <c r="F63">
        <v>1635.47</v>
      </c>
      <c r="G63">
        <v>1634.17</v>
      </c>
      <c r="H63">
        <v>1637.38</v>
      </c>
      <c r="I63">
        <v>1632.87</v>
      </c>
      <c r="J63">
        <v>1637.84</v>
      </c>
      <c r="K63">
        <v>1631.3</v>
      </c>
      <c r="L63">
        <v>1641.33</v>
      </c>
      <c r="M63">
        <v>1626.46</v>
      </c>
      <c r="N63">
        <v>1645.95</v>
      </c>
      <c r="O63">
        <v>1622.09</v>
      </c>
    </row>
    <row r="64" spans="1:15" ht="15" thickBot="1" x14ac:dyDescent="0.35">
      <c r="A64" s="19" t="s">
        <v>17</v>
      </c>
      <c r="B64" s="18">
        <v>1643.73</v>
      </c>
      <c r="C64" s="18">
        <v>1642.7</v>
      </c>
      <c r="D64" s="18">
        <v>1643.86</v>
      </c>
      <c r="E64" s="18">
        <v>1641.95</v>
      </c>
      <c r="F64" s="18">
        <v>1645.32</v>
      </c>
      <c r="G64" s="18">
        <v>1641.84</v>
      </c>
      <c r="H64" s="18">
        <v>1645.82</v>
      </c>
      <c r="I64" s="18">
        <v>1640.89</v>
      </c>
      <c r="J64" s="18"/>
      <c r="K64" s="18">
        <v>1639.4</v>
      </c>
      <c r="L64" s="18"/>
      <c r="M64" s="18">
        <v>1636.46</v>
      </c>
      <c r="N64" s="18"/>
      <c r="O64" s="18">
        <v>1632.37</v>
      </c>
    </row>
    <row r="65" spans="1:15" x14ac:dyDescent="0.3">
      <c r="A65" t="s">
        <v>56</v>
      </c>
      <c r="B65">
        <v>1563.47</v>
      </c>
      <c r="C65">
        <v>1563.85</v>
      </c>
      <c r="D65">
        <v>1563.6</v>
      </c>
      <c r="E65">
        <v>1564.55</v>
      </c>
      <c r="F65">
        <v>1564.07</v>
      </c>
      <c r="G65">
        <v>1560.39</v>
      </c>
      <c r="H65">
        <v>1564.9</v>
      </c>
      <c r="I65">
        <v>1557.39</v>
      </c>
      <c r="J65">
        <v>1566.24</v>
      </c>
      <c r="K65">
        <v>1555.96</v>
      </c>
      <c r="L65">
        <v>1569.71</v>
      </c>
      <c r="M65">
        <v>1547.16</v>
      </c>
      <c r="N65">
        <v>1574.09</v>
      </c>
      <c r="O65">
        <v>1537.35</v>
      </c>
    </row>
    <row r="66" spans="1:15" x14ac:dyDescent="0.3">
      <c r="A66" t="s">
        <v>57</v>
      </c>
      <c r="B66">
        <v>1574.42</v>
      </c>
      <c r="C66">
        <v>1574.48</v>
      </c>
      <c r="D66">
        <v>1574.65</v>
      </c>
      <c r="E66">
        <v>1574.08</v>
      </c>
      <c r="F66">
        <v>1575.02</v>
      </c>
      <c r="G66">
        <v>1574.09</v>
      </c>
      <c r="H66">
        <v>1576.45</v>
      </c>
      <c r="I66">
        <v>1575.28</v>
      </c>
      <c r="J66">
        <v>1577.32</v>
      </c>
      <c r="K66">
        <v>1570.34</v>
      </c>
      <c r="L66">
        <v>1580.56</v>
      </c>
      <c r="M66">
        <v>1567.13</v>
      </c>
      <c r="N66">
        <v>1586.03</v>
      </c>
      <c r="O66">
        <v>1563.01</v>
      </c>
    </row>
    <row r="67" spans="1:15" x14ac:dyDescent="0.3">
      <c r="A67" t="s">
        <v>62</v>
      </c>
      <c r="B67">
        <v>1582.89</v>
      </c>
      <c r="C67">
        <v>1582.12</v>
      </c>
      <c r="D67">
        <v>1583.31</v>
      </c>
      <c r="E67">
        <v>1582</v>
      </c>
      <c r="F67">
        <v>1584.57</v>
      </c>
      <c r="G67">
        <v>1580.87</v>
      </c>
      <c r="H67">
        <v>1585.38</v>
      </c>
      <c r="I67">
        <v>1580.46</v>
      </c>
      <c r="J67">
        <v>1586.12</v>
      </c>
      <c r="K67">
        <v>1579.18</v>
      </c>
      <c r="L67">
        <v>1589.55</v>
      </c>
      <c r="M67">
        <v>1575.29</v>
      </c>
      <c r="N67">
        <v>1593.35</v>
      </c>
      <c r="O67">
        <v>1571.75</v>
      </c>
    </row>
    <row r="68" spans="1:15" x14ac:dyDescent="0.3">
      <c r="A68" t="s">
        <v>58</v>
      </c>
      <c r="B68">
        <v>1473.12</v>
      </c>
      <c r="C68">
        <v>1472.9</v>
      </c>
      <c r="D68">
        <v>1476.23</v>
      </c>
      <c r="E68">
        <v>1472.95</v>
      </c>
      <c r="F68">
        <v>1478.01</v>
      </c>
      <c r="G68">
        <v>1475.6</v>
      </c>
      <c r="H68">
        <v>1478.58</v>
      </c>
      <c r="I68">
        <v>1473.36</v>
      </c>
      <c r="J68">
        <v>1480.01</v>
      </c>
      <c r="K68">
        <v>1473.82</v>
      </c>
      <c r="L68">
        <v>1489.7</v>
      </c>
      <c r="M68">
        <v>1465.04</v>
      </c>
      <c r="N68">
        <v>1506.54</v>
      </c>
      <c r="O68">
        <v>1458.96</v>
      </c>
    </row>
    <row r="69" spans="1:15" x14ac:dyDescent="0.3">
      <c r="A69" t="s">
        <v>109</v>
      </c>
      <c r="B69">
        <v>1490.71</v>
      </c>
      <c r="C69">
        <v>1488.4</v>
      </c>
      <c r="D69">
        <v>1492.16</v>
      </c>
      <c r="E69">
        <v>1488.53</v>
      </c>
      <c r="F69">
        <v>1495.02</v>
      </c>
      <c r="G69">
        <v>1484.63</v>
      </c>
      <c r="H69">
        <v>1497.69</v>
      </c>
      <c r="I69">
        <v>1482.56</v>
      </c>
      <c r="J69">
        <v>1505.16</v>
      </c>
      <c r="K69">
        <v>1480.43</v>
      </c>
      <c r="L69">
        <v>1515.63</v>
      </c>
      <c r="M69">
        <v>1473.79</v>
      </c>
      <c r="N69">
        <v>1525.87</v>
      </c>
      <c r="O69">
        <v>1473.52</v>
      </c>
    </row>
    <row r="70" spans="1:15" x14ac:dyDescent="0.3">
      <c r="A70" t="s">
        <v>65</v>
      </c>
      <c r="B70">
        <v>1503.45</v>
      </c>
      <c r="C70">
        <v>1498.38</v>
      </c>
      <c r="D70">
        <v>1504.78</v>
      </c>
      <c r="E70">
        <v>1497.18</v>
      </c>
      <c r="F70">
        <v>1506.65</v>
      </c>
      <c r="G70">
        <v>1493.81</v>
      </c>
      <c r="H70">
        <v>1511.89</v>
      </c>
      <c r="I70">
        <v>1494.6</v>
      </c>
      <c r="J70">
        <v>1513.29</v>
      </c>
      <c r="K70">
        <v>1484.21</v>
      </c>
      <c r="L70">
        <v>1516.22</v>
      </c>
      <c r="M70">
        <v>1478.64</v>
      </c>
      <c r="N70">
        <v>1526.02</v>
      </c>
      <c r="O70">
        <v>1476.25</v>
      </c>
    </row>
    <row r="71" spans="1:15" x14ac:dyDescent="0.3">
      <c r="A71" t="s">
        <v>66</v>
      </c>
      <c r="B71">
        <v>1469.38</v>
      </c>
      <c r="C71">
        <v>1466.13</v>
      </c>
      <c r="D71">
        <v>1469.97</v>
      </c>
      <c r="E71">
        <v>1465.16</v>
      </c>
      <c r="F71">
        <v>1469.34</v>
      </c>
      <c r="G71">
        <v>1465.12</v>
      </c>
      <c r="H71">
        <v>1471.19</v>
      </c>
      <c r="I71">
        <v>1464.58</v>
      </c>
      <c r="J71">
        <v>1472.84</v>
      </c>
      <c r="K71">
        <v>1462.67</v>
      </c>
      <c r="L71">
        <v>1476.33</v>
      </c>
      <c r="M71">
        <v>1454.77</v>
      </c>
      <c r="N71">
        <v>1481.42</v>
      </c>
      <c r="O71">
        <v>1448.94</v>
      </c>
    </row>
    <row r="72" spans="1:15" x14ac:dyDescent="0.3">
      <c r="A72" t="s">
        <v>108</v>
      </c>
      <c r="B72">
        <v>1455.48</v>
      </c>
      <c r="C72">
        <v>1451.25</v>
      </c>
      <c r="D72">
        <v>1453.98</v>
      </c>
      <c r="E72">
        <v>1451.1</v>
      </c>
      <c r="F72">
        <v>1454.33</v>
      </c>
      <c r="G72">
        <v>1450.02</v>
      </c>
      <c r="H72">
        <v>1455.91</v>
      </c>
      <c r="I72">
        <v>1448.79</v>
      </c>
      <c r="J72">
        <v>1455.91</v>
      </c>
      <c r="K72">
        <v>1448.53</v>
      </c>
      <c r="L72">
        <v>1464.33</v>
      </c>
      <c r="M72">
        <v>1445.69</v>
      </c>
      <c r="N72">
        <v>1472.78</v>
      </c>
      <c r="O72">
        <v>1437.04</v>
      </c>
    </row>
    <row r="73" spans="1:15" x14ac:dyDescent="0.3">
      <c r="A73" t="s">
        <v>59</v>
      </c>
      <c r="B73">
        <v>1437.39</v>
      </c>
      <c r="C73">
        <v>1437.1</v>
      </c>
      <c r="D73">
        <v>1438.24</v>
      </c>
      <c r="E73">
        <v>1436.61</v>
      </c>
      <c r="F73">
        <v>1437.83</v>
      </c>
      <c r="G73">
        <v>1435.65</v>
      </c>
      <c r="H73">
        <v>1439.34</v>
      </c>
      <c r="I73">
        <v>1435.04</v>
      </c>
      <c r="J73">
        <v>1439.72</v>
      </c>
      <c r="K73">
        <v>1434.3</v>
      </c>
      <c r="L73">
        <v>1444.91</v>
      </c>
      <c r="M73">
        <v>1432.36</v>
      </c>
      <c r="N73">
        <v>1449.02</v>
      </c>
      <c r="O73">
        <v>1429.72</v>
      </c>
    </row>
    <row r="74" spans="1:15" x14ac:dyDescent="0.3">
      <c r="A74" t="s">
        <v>110</v>
      </c>
      <c r="B74">
        <v>1427.32</v>
      </c>
      <c r="C74">
        <v>1426.73</v>
      </c>
      <c r="D74">
        <v>1426.86</v>
      </c>
      <c r="E74">
        <v>1426.21</v>
      </c>
      <c r="F74">
        <v>1427.88</v>
      </c>
      <c r="G74">
        <v>1426.99</v>
      </c>
      <c r="H74">
        <v>1428.64</v>
      </c>
      <c r="I74">
        <v>1425.36</v>
      </c>
      <c r="J74">
        <v>1428.65</v>
      </c>
      <c r="K74">
        <v>1425.29</v>
      </c>
      <c r="L74">
        <v>1430.62</v>
      </c>
      <c r="M74">
        <v>1423.38</v>
      </c>
      <c r="N74">
        <v>1435.15</v>
      </c>
      <c r="O74">
        <v>1416.84</v>
      </c>
    </row>
    <row r="75" spans="1:15" x14ac:dyDescent="0.3">
      <c r="A75" t="s">
        <v>67</v>
      </c>
      <c r="B75">
        <v>1610.51</v>
      </c>
      <c r="C75">
        <v>1609.81</v>
      </c>
      <c r="D75">
        <v>1611.28</v>
      </c>
      <c r="E75">
        <v>1609.52</v>
      </c>
      <c r="F75">
        <v>1611.93</v>
      </c>
      <c r="G75">
        <v>1608.64</v>
      </c>
      <c r="H75">
        <v>1612.37</v>
      </c>
      <c r="I75">
        <v>1607.81</v>
      </c>
      <c r="J75">
        <v>1613.64</v>
      </c>
      <c r="K75">
        <v>1606.39</v>
      </c>
      <c r="L75">
        <v>1616.47</v>
      </c>
      <c r="M75">
        <v>1603.79</v>
      </c>
      <c r="N75">
        <v>1619.24</v>
      </c>
      <c r="O75">
        <v>1599.89</v>
      </c>
    </row>
    <row r="76" spans="1:15" x14ac:dyDescent="0.3">
      <c r="A76" t="s">
        <v>63</v>
      </c>
      <c r="B76">
        <v>1598.24</v>
      </c>
      <c r="C76">
        <v>1597.53</v>
      </c>
      <c r="D76">
        <v>1598.4</v>
      </c>
      <c r="E76">
        <v>1597.35</v>
      </c>
      <c r="F76">
        <v>1598.62</v>
      </c>
      <c r="G76">
        <v>1596.41</v>
      </c>
      <c r="H76">
        <v>1599.26</v>
      </c>
      <c r="I76">
        <v>1595.89</v>
      </c>
      <c r="J76">
        <v>1600.48</v>
      </c>
      <c r="K76">
        <v>1594.85</v>
      </c>
      <c r="L76">
        <v>1603.71</v>
      </c>
      <c r="M76">
        <v>1596.94</v>
      </c>
      <c r="N76">
        <v>1608.65</v>
      </c>
      <c r="O76">
        <v>1589.08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FEB1-60FA-4007-A65D-5BE8AD4B90EE}">
  <dimension ref="A1:O59"/>
  <sheetViews>
    <sheetView workbookViewId="0">
      <selection activeCell="I6" sqref="I6"/>
    </sheetView>
  </sheetViews>
  <sheetFormatPr defaultRowHeight="14.4" x14ac:dyDescent="0.3"/>
  <cols>
    <col min="1" max="1" width="12.21875" style="4" customWidth="1"/>
    <col min="2" max="2" width="14.5546875" bestFit="1" customWidth="1"/>
    <col min="3" max="3" width="18.5546875" bestFit="1" customWidth="1"/>
    <col min="4" max="4" width="15.21875" style="5" bestFit="1" customWidth="1"/>
    <col min="5" max="5" width="19.21875" bestFit="1" customWidth="1"/>
    <col min="6" max="6" width="18.109375" bestFit="1" customWidth="1"/>
    <col min="7" max="7" width="11.44140625" style="25" bestFit="1" customWidth="1"/>
    <col min="11" max="11" width="39.44140625" bestFit="1" customWidth="1"/>
    <col min="13" max="13" width="41.88671875" bestFit="1" customWidth="1"/>
  </cols>
  <sheetData>
    <row r="1" spans="1:13" x14ac:dyDescent="0.3">
      <c r="A1" s="36" t="s">
        <v>1</v>
      </c>
      <c r="B1" s="37" t="s">
        <v>2</v>
      </c>
      <c r="C1" s="37" t="s">
        <v>3</v>
      </c>
      <c r="D1" s="38" t="s">
        <v>107</v>
      </c>
      <c r="E1" s="37" t="s">
        <v>139</v>
      </c>
      <c r="F1" s="37" t="s">
        <v>130</v>
      </c>
      <c r="G1" s="39" t="s">
        <v>5</v>
      </c>
    </row>
    <row r="2" spans="1:13" x14ac:dyDescent="0.3">
      <c r="A2" s="40">
        <v>257</v>
      </c>
      <c r="B2" s="40">
        <v>208</v>
      </c>
      <c r="C2" s="41">
        <v>107</v>
      </c>
      <c r="D2" s="41">
        <f t="shared" ref="D2:D59" si="0">(A2/100*B2/100*C2/100)</f>
        <v>5.7197919999999991</v>
      </c>
      <c r="E2" s="40">
        <f>C2/(SQRT(A2*B2))</f>
        <v>0.46279168625506484</v>
      </c>
      <c r="F2" s="40">
        <f>C2/A2</f>
        <v>0.41634241245136189</v>
      </c>
      <c r="G2" s="42">
        <v>99.930795847750531</v>
      </c>
      <c r="H2" t="s">
        <v>136</v>
      </c>
      <c r="I2">
        <f>STDEV(F2:F40)</f>
        <v>0.1690748148595918</v>
      </c>
    </row>
    <row r="3" spans="1:13" x14ac:dyDescent="0.3">
      <c r="A3" s="40">
        <v>401</v>
      </c>
      <c r="B3" s="40">
        <v>208</v>
      </c>
      <c r="C3" s="41">
        <v>74</v>
      </c>
      <c r="D3" s="41">
        <f t="shared" si="0"/>
        <v>6.1721919999999999</v>
      </c>
      <c r="E3" s="40">
        <f>C3/(SQRT(A3*B3))</f>
        <v>0.25622875473962547</v>
      </c>
      <c r="F3" s="40">
        <f t="shared" ref="F3:F59" si="1">C3/A3</f>
        <v>0.18453865336658354</v>
      </c>
      <c r="G3" s="42">
        <v>99.911504424778343</v>
      </c>
      <c r="H3" t="s">
        <v>137</v>
      </c>
      <c r="I3">
        <f>STDEV(F41:F59)</f>
        <v>0.18343552575926614</v>
      </c>
    </row>
    <row r="4" spans="1:13" x14ac:dyDescent="0.3">
      <c r="A4" s="43">
        <v>156</v>
      </c>
      <c r="B4" s="40">
        <v>97</v>
      </c>
      <c r="C4" s="40">
        <v>38</v>
      </c>
      <c r="D4" s="41">
        <f t="shared" si="0"/>
        <v>0.57501599999999997</v>
      </c>
      <c r="E4" s="40">
        <f t="shared" ref="E4:E59" si="2">C4/(SQRT(A4*B4))</f>
        <v>0.30891246310225096</v>
      </c>
      <c r="F4" s="40">
        <f t="shared" si="1"/>
        <v>0.24358974358974358</v>
      </c>
      <c r="G4" s="42">
        <v>99.682323576128979</v>
      </c>
    </row>
    <row r="5" spans="1:13" x14ac:dyDescent="0.3">
      <c r="A5" s="43">
        <v>51</v>
      </c>
      <c r="B5" s="40">
        <v>30</v>
      </c>
      <c r="C5" s="40">
        <v>28</v>
      </c>
      <c r="D5" s="41">
        <f t="shared" si="0"/>
        <v>4.2839999999999996E-2</v>
      </c>
      <c r="E5" s="40">
        <f t="shared" si="2"/>
        <v>0.71583398959087907</v>
      </c>
      <c r="F5" s="40">
        <f t="shared" si="1"/>
        <v>0.5490196078431373</v>
      </c>
      <c r="G5" s="42">
        <v>99.443430656934368</v>
      </c>
      <c r="K5" t="s">
        <v>128</v>
      </c>
    </row>
    <row r="6" spans="1:13" ht="15" thickBot="1" x14ac:dyDescent="0.35">
      <c r="A6" s="43">
        <v>198</v>
      </c>
      <c r="B6" s="40">
        <v>140</v>
      </c>
      <c r="C6" s="40">
        <v>132</v>
      </c>
      <c r="D6" s="41">
        <f t="shared" si="0"/>
        <v>3.6590400000000001</v>
      </c>
      <c r="E6" s="40">
        <f t="shared" si="2"/>
        <v>0.79282496717209194</v>
      </c>
      <c r="F6" s="40">
        <f t="shared" si="1"/>
        <v>0.66666666666666663</v>
      </c>
      <c r="G6" s="42">
        <v>99.308129478626171</v>
      </c>
    </row>
    <row r="7" spans="1:13" x14ac:dyDescent="0.3">
      <c r="A7" s="43">
        <v>69</v>
      </c>
      <c r="B7" s="40">
        <v>46</v>
      </c>
      <c r="C7" s="40">
        <v>36</v>
      </c>
      <c r="D7" s="41">
        <f t="shared" si="0"/>
        <v>0.11426399999999999</v>
      </c>
      <c r="E7" s="40">
        <f t="shared" si="2"/>
        <v>0.63899732420430733</v>
      </c>
      <c r="F7" s="40">
        <f t="shared" si="1"/>
        <v>0.52173913043478259</v>
      </c>
      <c r="G7" s="42">
        <v>99.05394524959749</v>
      </c>
      <c r="K7" s="56"/>
      <c r="L7" s="56" t="s">
        <v>112</v>
      </c>
      <c r="M7" s="56" t="s">
        <v>113</v>
      </c>
    </row>
    <row r="8" spans="1:13" x14ac:dyDescent="0.3">
      <c r="A8" s="43">
        <v>201</v>
      </c>
      <c r="B8" s="40">
        <v>99</v>
      </c>
      <c r="C8" s="40">
        <v>55</v>
      </c>
      <c r="D8" s="41">
        <f t="shared" si="0"/>
        <v>1.0944449999999999</v>
      </c>
      <c r="E8" s="40">
        <f t="shared" si="2"/>
        <v>0.38989445922085397</v>
      </c>
      <c r="F8" s="40">
        <f t="shared" si="1"/>
        <v>0.27363184079601988</v>
      </c>
      <c r="G8" s="42">
        <v>99.01661580196641</v>
      </c>
      <c r="H8" t="s">
        <v>138</v>
      </c>
      <c r="I8">
        <f>AVERAGE(F41:F59)</f>
        <v>0.28853243540478052</v>
      </c>
      <c r="K8" t="s">
        <v>118</v>
      </c>
      <c r="L8">
        <v>0.35585595671766956</v>
      </c>
      <c r="M8">
        <v>0.28853243540478052</v>
      </c>
    </row>
    <row r="9" spans="1:13" x14ac:dyDescent="0.3">
      <c r="A9" s="43">
        <v>51</v>
      </c>
      <c r="B9" s="40">
        <v>41</v>
      </c>
      <c r="C9" s="40">
        <v>10</v>
      </c>
      <c r="D9" s="41">
        <f t="shared" si="0"/>
        <v>2.0910000000000002E-2</v>
      </c>
      <c r="E9" s="40">
        <f t="shared" si="2"/>
        <v>0.21868700842034769</v>
      </c>
      <c r="F9" s="40">
        <f t="shared" si="1"/>
        <v>0.19607843137254902</v>
      </c>
      <c r="G9" s="42">
        <v>98.926130816791371</v>
      </c>
      <c r="K9" t="s">
        <v>119</v>
      </c>
      <c r="L9">
        <v>2.858629301980525E-2</v>
      </c>
      <c r="M9">
        <v>3.3648592110578392E-2</v>
      </c>
    </row>
    <row r="10" spans="1:13" x14ac:dyDescent="0.3">
      <c r="A10" s="43">
        <v>284</v>
      </c>
      <c r="B10" s="40">
        <v>208</v>
      </c>
      <c r="C10" s="40">
        <v>79</v>
      </c>
      <c r="D10" s="41">
        <f t="shared" si="0"/>
        <v>4.6666880000000006</v>
      </c>
      <c r="E10" s="40">
        <f t="shared" si="2"/>
        <v>0.32503958422158763</v>
      </c>
      <c r="F10" s="40">
        <f t="shared" si="1"/>
        <v>0.27816901408450706</v>
      </c>
      <c r="G10" s="42">
        <v>98.853731343283712</v>
      </c>
      <c r="K10" t="s">
        <v>120</v>
      </c>
      <c r="L10">
        <v>39</v>
      </c>
      <c r="M10">
        <v>19</v>
      </c>
    </row>
    <row r="11" spans="1:13" x14ac:dyDescent="0.3">
      <c r="A11" s="44">
        <v>386</v>
      </c>
      <c r="B11" s="45">
        <v>224</v>
      </c>
      <c r="C11" s="45">
        <v>135</v>
      </c>
      <c r="D11" s="46">
        <f t="shared" si="0"/>
        <v>11.672639999999999</v>
      </c>
      <c r="E11" s="40">
        <f t="shared" si="2"/>
        <v>0.4591093177611083</v>
      </c>
      <c r="F11" s="40">
        <f t="shared" si="1"/>
        <v>0.34974093264248707</v>
      </c>
      <c r="G11" s="47">
        <v>98.536585365853611</v>
      </c>
      <c r="K11" t="s">
        <v>129</v>
      </c>
      <c r="L11">
        <v>3.0213460584696619E-2</v>
      </c>
    </row>
    <row r="12" spans="1:13" x14ac:dyDescent="0.3">
      <c r="A12" s="43">
        <v>117</v>
      </c>
      <c r="B12" s="40">
        <v>102</v>
      </c>
      <c r="C12" s="40">
        <v>23</v>
      </c>
      <c r="D12" s="41">
        <f t="shared" si="0"/>
        <v>0.27448199999999995</v>
      </c>
      <c r="E12" s="40">
        <f t="shared" si="2"/>
        <v>0.21054009727941772</v>
      </c>
      <c r="F12" s="40">
        <f t="shared" si="1"/>
        <v>0.19658119658119658</v>
      </c>
      <c r="G12" s="42">
        <v>98.530762167125644</v>
      </c>
      <c r="K12" t="s">
        <v>121</v>
      </c>
      <c r="L12">
        <v>0</v>
      </c>
    </row>
    <row r="13" spans="1:13" x14ac:dyDescent="0.3">
      <c r="A13" s="43">
        <v>104</v>
      </c>
      <c r="B13" s="40">
        <v>53</v>
      </c>
      <c r="C13" s="40">
        <v>43</v>
      </c>
      <c r="D13" s="41">
        <f t="shared" si="0"/>
        <v>0.23701600000000003</v>
      </c>
      <c r="E13" s="40">
        <f t="shared" si="2"/>
        <v>0.57918039282339273</v>
      </c>
      <c r="F13" s="40">
        <f t="shared" si="1"/>
        <v>0.41346153846153844</v>
      </c>
      <c r="G13" s="42">
        <v>98.491907797940115</v>
      </c>
      <c r="K13" t="s">
        <v>122</v>
      </c>
      <c r="L13">
        <v>56</v>
      </c>
    </row>
    <row r="14" spans="1:13" x14ac:dyDescent="0.3">
      <c r="A14" s="43">
        <v>188</v>
      </c>
      <c r="B14" s="40">
        <v>145</v>
      </c>
      <c r="C14" s="40">
        <v>58</v>
      </c>
      <c r="D14" s="41">
        <f t="shared" si="0"/>
        <v>1.5810799999999998</v>
      </c>
      <c r="E14" s="40">
        <f t="shared" si="2"/>
        <v>0.35128941817132625</v>
      </c>
      <c r="F14" s="40">
        <f t="shared" si="1"/>
        <v>0.30851063829787234</v>
      </c>
      <c r="G14" s="42">
        <v>98.454106280194083</v>
      </c>
      <c r="K14" t="s">
        <v>123</v>
      </c>
      <c r="L14">
        <v>1.3844003325896477</v>
      </c>
    </row>
    <row r="15" spans="1:13" x14ac:dyDescent="0.3">
      <c r="A15" s="43">
        <v>467</v>
      </c>
      <c r="B15" s="40">
        <v>368</v>
      </c>
      <c r="C15" s="40">
        <v>130</v>
      </c>
      <c r="D15" s="41">
        <f t="shared" si="0"/>
        <v>22.341280000000001</v>
      </c>
      <c r="E15" s="40">
        <f t="shared" si="2"/>
        <v>0.31358913176647552</v>
      </c>
      <c r="F15" s="40">
        <f t="shared" si="1"/>
        <v>0.27837259100642398</v>
      </c>
      <c r="G15" s="42">
        <v>97.982345523329357</v>
      </c>
      <c r="K15" t="s">
        <v>124</v>
      </c>
      <c r="L15">
        <v>8.5863953438493304E-2</v>
      </c>
    </row>
    <row r="16" spans="1:13" x14ac:dyDescent="0.3">
      <c r="A16" s="44">
        <v>64</v>
      </c>
      <c r="B16" s="45">
        <v>58</v>
      </c>
      <c r="C16" s="45">
        <v>33</v>
      </c>
      <c r="D16" s="46">
        <f t="shared" si="0"/>
        <v>0.12249599999999999</v>
      </c>
      <c r="E16" s="40">
        <f t="shared" si="2"/>
        <v>0.54163903554635551</v>
      </c>
      <c r="F16" s="40">
        <f t="shared" si="1"/>
        <v>0.515625</v>
      </c>
      <c r="G16" s="47">
        <v>97.444391859914717</v>
      </c>
      <c r="K16" t="s">
        <v>125</v>
      </c>
      <c r="L16">
        <v>1.6725223030755785</v>
      </c>
    </row>
    <row r="17" spans="1:13" x14ac:dyDescent="0.3">
      <c r="A17" s="43">
        <v>58</v>
      </c>
      <c r="B17" s="40">
        <v>41</v>
      </c>
      <c r="C17" s="40">
        <v>3</v>
      </c>
      <c r="D17" s="41">
        <f t="shared" si="0"/>
        <v>7.1339999999999988E-3</v>
      </c>
      <c r="E17" s="40">
        <f t="shared" si="2"/>
        <v>6.1519858739629646E-2</v>
      </c>
      <c r="F17" s="40">
        <f t="shared" si="1"/>
        <v>5.1724137931034482E-2</v>
      </c>
      <c r="G17" s="42">
        <v>96.433289299868079</v>
      </c>
      <c r="K17" t="s">
        <v>126</v>
      </c>
      <c r="L17">
        <v>0.17172790687698661</v>
      </c>
    </row>
    <row r="18" spans="1:13" ht="15" thickBot="1" x14ac:dyDescent="0.35">
      <c r="A18" s="43">
        <v>191</v>
      </c>
      <c r="B18" s="40">
        <v>170</v>
      </c>
      <c r="C18" s="40">
        <v>86</v>
      </c>
      <c r="D18" s="41">
        <f t="shared" si="0"/>
        <v>2.7924199999999995</v>
      </c>
      <c r="E18" s="40">
        <f t="shared" si="2"/>
        <v>0.47726249460737463</v>
      </c>
      <c r="F18" s="40">
        <f t="shared" si="1"/>
        <v>0.45026178010471202</v>
      </c>
      <c r="G18" s="42">
        <v>96.294307196562684</v>
      </c>
      <c r="K18" s="18" t="s">
        <v>127</v>
      </c>
      <c r="L18" s="18">
        <v>2.0032407188478727</v>
      </c>
      <c r="M18" s="18"/>
    </row>
    <row r="19" spans="1:13" x14ac:dyDescent="0.3">
      <c r="A19" s="43">
        <v>122</v>
      </c>
      <c r="B19" s="40">
        <v>81</v>
      </c>
      <c r="C19" s="40">
        <v>46</v>
      </c>
      <c r="D19" s="41">
        <f t="shared" si="0"/>
        <v>0.45457199999999998</v>
      </c>
      <c r="E19" s="40">
        <f t="shared" si="2"/>
        <v>0.46273825755065023</v>
      </c>
      <c r="F19" s="40">
        <f t="shared" si="1"/>
        <v>0.37704918032786883</v>
      </c>
      <c r="G19" s="42">
        <v>96.114195083266736</v>
      </c>
    </row>
    <row r="20" spans="1:13" x14ac:dyDescent="0.3">
      <c r="A20" s="43">
        <v>89</v>
      </c>
      <c r="B20" s="40">
        <v>53</v>
      </c>
      <c r="C20" s="40">
        <v>8</v>
      </c>
      <c r="D20" s="41">
        <f t="shared" si="0"/>
        <v>3.7735999999999999E-2</v>
      </c>
      <c r="E20" s="40">
        <f t="shared" si="2"/>
        <v>0.11648152526567072</v>
      </c>
      <c r="F20" s="40">
        <f t="shared" si="1"/>
        <v>8.98876404494382E-2</v>
      </c>
      <c r="G20" s="42">
        <v>95.773254170200644</v>
      </c>
    </row>
    <row r="21" spans="1:13" x14ac:dyDescent="0.3">
      <c r="A21" s="43">
        <v>74</v>
      </c>
      <c r="B21" s="40">
        <v>51</v>
      </c>
      <c r="C21" s="40">
        <v>20</v>
      </c>
      <c r="D21" s="41">
        <f t="shared" si="0"/>
        <v>7.5480000000000005E-2</v>
      </c>
      <c r="E21" s="40">
        <f t="shared" si="2"/>
        <v>0.32555850669650599</v>
      </c>
      <c r="F21" s="40">
        <f t="shared" si="1"/>
        <v>0.27027027027027029</v>
      </c>
      <c r="G21" s="42">
        <v>95.722574551342504</v>
      </c>
    </row>
    <row r="22" spans="1:13" x14ac:dyDescent="0.3">
      <c r="A22" s="43">
        <v>216</v>
      </c>
      <c r="B22" s="40">
        <v>208</v>
      </c>
      <c r="C22" s="40">
        <v>107</v>
      </c>
      <c r="D22" s="41">
        <f t="shared" si="0"/>
        <v>4.807296</v>
      </c>
      <c r="E22" s="40">
        <f t="shared" si="2"/>
        <v>0.50480684438946566</v>
      </c>
      <c r="F22" s="40">
        <f t="shared" si="1"/>
        <v>0.49537037037037035</v>
      </c>
      <c r="G22" s="42">
        <v>95.53140096618371</v>
      </c>
    </row>
    <row r="23" spans="1:13" x14ac:dyDescent="0.3">
      <c r="A23" s="43">
        <v>170</v>
      </c>
      <c r="B23" s="40">
        <v>91</v>
      </c>
      <c r="C23" s="40">
        <v>28</v>
      </c>
      <c r="D23" s="41">
        <f t="shared" si="0"/>
        <v>0.43315999999999993</v>
      </c>
      <c r="E23" s="40">
        <f t="shared" si="2"/>
        <v>0.22511937506948221</v>
      </c>
      <c r="F23" s="40">
        <f t="shared" si="1"/>
        <v>0.16470588235294117</v>
      </c>
      <c r="G23" s="42">
        <v>95.520104895104936</v>
      </c>
    </row>
    <row r="24" spans="1:13" x14ac:dyDescent="0.3">
      <c r="A24" s="43">
        <v>97</v>
      </c>
      <c r="B24" s="40">
        <v>74</v>
      </c>
      <c r="C24" s="40">
        <v>46</v>
      </c>
      <c r="D24" s="41">
        <f t="shared" si="0"/>
        <v>0.33018799999999998</v>
      </c>
      <c r="E24" s="40">
        <f t="shared" si="2"/>
        <v>0.54294533334012596</v>
      </c>
      <c r="F24" s="40">
        <f t="shared" si="1"/>
        <v>0.47422680412371132</v>
      </c>
      <c r="G24" s="42">
        <v>94.994519546949221</v>
      </c>
    </row>
    <row r="25" spans="1:13" x14ac:dyDescent="0.3">
      <c r="A25" s="43">
        <v>69</v>
      </c>
      <c r="B25" s="40">
        <v>56</v>
      </c>
      <c r="C25" s="40">
        <v>23</v>
      </c>
      <c r="D25" s="41">
        <f t="shared" si="0"/>
        <v>8.8872000000000007E-2</v>
      </c>
      <c r="E25" s="40">
        <f t="shared" si="2"/>
        <v>0.37000643495047741</v>
      </c>
      <c r="F25" s="40">
        <f t="shared" si="1"/>
        <v>0.33333333333333331</v>
      </c>
      <c r="G25" s="42">
        <v>94.775725593668085</v>
      </c>
    </row>
    <row r="26" spans="1:13" x14ac:dyDescent="0.3">
      <c r="A26" s="43">
        <v>79</v>
      </c>
      <c r="B26" s="40">
        <v>76</v>
      </c>
      <c r="C26" s="40">
        <v>18</v>
      </c>
      <c r="D26" s="41">
        <f t="shared" si="0"/>
        <v>0.10807200000000002</v>
      </c>
      <c r="E26" s="40">
        <f t="shared" si="2"/>
        <v>0.2323015798138503</v>
      </c>
      <c r="F26" s="40">
        <f t="shared" si="1"/>
        <v>0.22784810126582278</v>
      </c>
      <c r="G26" s="42">
        <v>93.373685887225278</v>
      </c>
      <c r="J26" t="s">
        <v>112</v>
      </c>
    </row>
    <row r="27" spans="1:13" x14ac:dyDescent="0.3">
      <c r="A27" s="43">
        <v>109</v>
      </c>
      <c r="B27" s="40">
        <v>84</v>
      </c>
      <c r="C27" s="40">
        <v>33</v>
      </c>
      <c r="D27" s="41">
        <f t="shared" si="0"/>
        <v>0.30214800000000003</v>
      </c>
      <c r="E27" s="40">
        <f t="shared" si="2"/>
        <v>0.34487447143633693</v>
      </c>
      <c r="F27" s="40">
        <f t="shared" si="1"/>
        <v>0.30275229357798167</v>
      </c>
      <c r="G27" s="42">
        <v>93.171965317918819</v>
      </c>
      <c r="I27" t="s">
        <v>114</v>
      </c>
      <c r="J27">
        <f>AVERAGE(E2:E40)</f>
        <v>0.41913540455739451</v>
      </c>
    </row>
    <row r="28" spans="1:13" x14ac:dyDescent="0.3">
      <c r="A28" s="43">
        <v>152</v>
      </c>
      <c r="B28" s="40">
        <v>79</v>
      </c>
      <c r="C28" s="40">
        <v>13</v>
      </c>
      <c r="D28" s="41">
        <f t="shared" si="0"/>
        <v>0.15610400000000002</v>
      </c>
      <c r="E28" s="40">
        <f t="shared" si="2"/>
        <v>0.11863368282040999</v>
      </c>
      <c r="F28" s="40">
        <f t="shared" si="1"/>
        <v>8.5526315789473686E-2</v>
      </c>
      <c r="G28" s="42">
        <v>91.580041580041566</v>
      </c>
      <c r="I28" t="s">
        <v>81</v>
      </c>
      <c r="J28">
        <f>MIN(E3:E40)</f>
        <v>6.1519858739629646E-2</v>
      </c>
    </row>
    <row r="29" spans="1:13" x14ac:dyDescent="0.3">
      <c r="A29" s="43">
        <v>64</v>
      </c>
      <c r="B29" s="40">
        <v>48</v>
      </c>
      <c r="C29" s="40">
        <v>41</v>
      </c>
      <c r="D29" s="41">
        <f t="shared" si="0"/>
        <v>0.12595199999999998</v>
      </c>
      <c r="E29" s="40">
        <f t="shared" si="2"/>
        <v>0.73973003239920809</v>
      </c>
      <c r="F29" s="40">
        <f t="shared" si="1"/>
        <v>0.640625</v>
      </c>
      <c r="G29" s="42">
        <v>91.372817528243445</v>
      </c>
      <c r="I29" t="s">
        <v>80</v>
      </c>
      <c r="J29">
        <f>MAX(E2:E40)</f>
        <v>0.79282496717209194</v>
      </c>
    </row>
    <row r="30" spans="1:13" x14ac:dyDescent="0.3">
      <c r="A30" s="43">
        <v>137</v>
      </c>
      <c r="B30" s="40">
        <v>132</v>
      </c>
      <c r="C30" s="40">
        <v>28</v>
      </c>
      <c r="D30" s="41">
        <f t="shared" si="0"/>
        <v>0.50635200000000002</v>
      </c>
      <c r="E30" s="40">
        <f t="shared" si="2"/>
        <v>0.20821440976438782</v>
      </c>
      <c r="F30" s="40">
        <f t="shared" si="1"/>
        <v>0.20437956204379562</v>
      </c>
      <c r="G30" s="42">
        <v>90.455941412709421</v>
      </c>
      <c r="I30" t="s">
        <v>115</v>
      </c>
      <c r="J30">
        <f>STDEV(F41:F59)</f>
        <v>0.18343552575926614</v>
      </c>
    </row>
    <row r="31" spans="1:13" x14ac:dyDescent="0.3">
      <c r="A31" s="43">
        <v>683</v>
      </c>
      <c r="B31" s="40">
        <v>533</v>
      </c>
      <c r="C31" s="40">
        <v>170</v>
      </c>
      <c r="D31" s="41">
        <f t="shared" si="0"/>
        <v>61.886630000000004</v>
      </c>
      <c r="E31" s="40">
        <f t="shared" si="2"/>
        <v>0.28175716252659194</v>
      </c>
      <c r="F31" s="40">
        <f t="shared" si="1"/>
        <v>0.24890190336749635</v>
      </c>
      <c r="G31" s="42">
        <v>86.088379705399774</v>
      </c>
    </row>
    <row r="32" spans="1:13" x14ac:dyDescent="0.3">
      <c r="A32" s="43">
        <v>55</v>
      </c>
      <c r="B32" s="40">
        <v>43</v>
      </c>
      <c r="C32" s="40">
        <v>30</v>
      </c>
      <c r="D32" s="41">
        <f t="shared" si="0"/>
        <v>7.0950000000000013E-2</v>
      </c>
      <c r="E32" s="40">
        <f t="shared" si="2"/>
        <v>0.61688709086449878</v>
      </c>
      <c r="F32" s="40">
        <f t="shared" si="1"/>
        <v>0.54545454545454541</v>
      </c>
      <c r="G32" s="42">
        <v>84.080615942028956</v>
      </c>
    </row>
    <row r="33" spans="1:15" x14ac:dyDescent="0.3">
      <c r="A33" s="43">
        <v>53</v>
      </c>
      <c r="B33" s="40">
        <v>41</v>
      </c>
      <c r="C33" s="40">
        <v>23</v>
      </c>
      <c r="D33" s="41">
        <f t="shared" si="0"/>
        <v>4.9978999999999996E-2</v>
      </c>
      <c r="E33" s="40">
        <f t="shared" si="2"/>
        <v>0.49339866816116573</v>
      </c>
      <c r="F33" s="40">
        <f t="shared" si="1"/>
        <v>0.43396226415094341</v>
      </c>
      <c r="G33" s="42">
        <v>82.175732217573156</v>
      </c>
    </row>
    <row r="34" spans="1:15" x14ac:dyDescent="0.3">
      <c r="A34" s="43">
        <v>229</v>
      </c>
      <c r="B34" s="40">
        <v>195</v>
      </c>
      <c r="C34" s="40">
        <v>130</v>
      </c>
      <c r="D34" s="41">
        <f t="shared" si="0"/>
        <v>5.8051500000000011</v>
      </c>
      <c r="E34" s="40">
        <f t="shared" si="2"/>
        <v>0.61518863747615427</v>
      </c>
      <c r="F34" s="40">
        <f t="shared" si="1"/>
        <v>0.56768558951965065</v>
      </c>
      <c r="G34" s="42">
        <v>78.839590443685921</v>
      </c>
    </row>
    <row r="35" spans="1:15" x14ac:dyDescent="0.3">
      <c r="A35" s="44">
        <v>282</v>
      </c>
      <c r="B35" s="45">
        <v>196</v>
      </c>
      <c r="C35" s="45">
        <v>185</v>
      </c>
      <c r="D35" s="46">
        <f t="shared" si="0"/>
        <v>10.225319999999998</v>
      </c>
      <c r="E35" s="40">
        <f t="shared" si="2"/>
        <v>0.7868992630175109</v>
      </c>
      <c r="F35" s="40">
        <f t="shared" si="1"/>
        <v>0.65602836879432624</v>
      </c>
      <c r="G35" s="47">
        <v>77.587681779298507</v>
      </c>
      <c r="J35" t="s">
        <v>113</v>
      </c>
    </row>
    <row r="36" spans="1:15" x14ac:dyDescent="0.3">
      <c r="A36" s="43">
        <v>51</v>
      </c>
      <c r="B36" s="40">
        <v>46</v>
      </c>
      <c r="C36" s="40">
        <v>10</v>
      </c>
      <c r="D36" s="41">
        <f t="shared" si="0"/>
        <v>2.3460000000000002E-2</v>
      </c>
      <c r="E36" s="40">
        <f t="shared" si="2"/>
        <v>0.20646003475383348</v>
      </c>
      <c r="F36" s="40">
        <f t="shared" si="1"/>
        <v>0.19607843137254902</v>
      </c>
      <c r="G36" s="42">
        <v>68.903628560281078</v>
      </c>
      <c r="I36" t="s">
        <v>114</v>
      </c>
      <c r="J36">
        <f>AVERAGE(E41:E59)</f>
        <v>0.34881487312505971</v>
      </c>
    </row>
    <row r="37" spans="1:15" x14ac:dyDescent="0.3">
      <c r="A37" s="43">
        <v>99</v>
      </c>
      <c r="B37" s="40">
        <v>48</v>
      </c>
      <c r="C37" s="40">
        <v>30</v>
      </c>
      <c r="D37" s="41">
        <f t="shared" si="0"/>
        <v>0.14255999999999999</v>
      </c>
      <c r="E37" s="40">
        <f t="shared" si="2"/>
        <v>0.4351941398892446</v>
      </c>
      <c r="F37" s="40">
        <f t="shared" si="1"/>
        <v>0.30303030303030304</v>
      </c>
      <c r="G37" s="42">
        <v>65.598153609437176</v>
      </c>
      <c r="I37" t="s">
        <v>81</v>
      </c>
      <c r="J37">
        <f>MIN(E41:E59)</f>
        <v>0.10300756481062767</v>
      </c>
    </row>
    <row r="38" spans="1:15" x14ac:dyDescent="0.3">
      <c r="A38" s="43">
        <v>76</v>
      </c>
      <c r="B38" s="40">
        <v>46</v>
      </c>
      <c r="C38" s="40">
        <v>28</v>
      </c>
      <c r="D38" s="41">
        <f t="shared" si="0"/>
        <v>9.7888000000000003E-2</v>
      </c>
      <c r="E38" s="40">
        <f t="shared" si="2"/>
        <v>0.47355706404421688</v>
      </c>
      <c r="F38" s="40">
        <f t="shared" si="1"/>
        <v>0.36842105263157893</v>
      </c>
      <c r="G38" s="42">
        <v>65.117759388924085</v>
      </c>
      <c r="I38" t="s">
        <v>80</v>
      </c>
      <c r="J38">
        <f>MAX(E41:E59)</f>
        <v>0.87380974706728343</v>
      </c>
    </row>
    <row r="39" spans="1:15" x14ac:dyDescent="0.3">
      <c r="A39" s="43">
        <v>117</v>
      </c>
      <c r="B39" s="40">
        <v>64</v>
      </c>
      <c r="C39" s="40">
        <v>36</v>
      </c>
      <c r="D39" s="41">
        <f t="shared" si="0"/>
        <v>0.26956799999999997</v>
      </c>
      <c r="E39" s="40">
        <f t="shared" si="2"/>
        <v>0.41602514716892181</v>
      </c>
      <c r="F39" s="40">
        <f t="shared" si="1"/>
        <v>0.30769230769230771</v>
      </c>
      <c r="G39" s="42">
        <v>58.991825613079364</v>
      </c>
      <c r="I39" t="s">
        <v>115</v>
      </c>
      <c r="J39">
        <f>STDEV(E41:E59)</f>
        <v>0.19089185308553921</v>
      </c>
    </row>
    <row r="40" spans="1:15" x14ac:dyDescent="0.3">
      <c r="A40" s="43">
        <v>191</v>
      </c>
      <c r="B40" s="40">
        <v>173</v>
      </c>
      <c r="C40" s="40">
        <v>132</v>
      </c>
      <c r="D40" s="41">
        <f t="shared" si="0"/>
        <v>4.3616760000000001</v>
      </c>
      <c r="E40" s="40">
        <f t="shared" si="2"/>
        <v>0.72616313271758826</v>
      </c>
      <c r="F40" s="40">
        <f t="shared" si="1"/>
        <v>0.69109947643979053</v>
      </c>
      <c r="G40" s="42">
        <v>52.083912197832717</v>
      </c>
    </row>
    <row r="41" spans="1:15" x14ac:dyDescent="0.3">
      <c r="A41" s="48">
        <v>234</v>
      </c>
      <c r="B41" s="49">
        <v>221</v>
      </c>
      <c r="C41" s="49">
        <v>84</v>
      </c>
      <c r="D41" s="50">
        <f t="shared" si="0"/>
        <v>4.3439760000000005</v>
      </c>
      <c r="E41" s="40">
        <f t="shared" si="2"/>
        <v>0.36938156799924982</v>
      </c>
      <c r="F41" s="40">
        <f t="shared" si="1"/>
        <v>0.35897435897435898</v>
      </c>
      <c r="G41" s="51">
        <v>49.432346919784173</v>
      </c>
    </row>
    <row r="42" spans="1:15" x14ac:dyDescent="0.3">
      <c r="A42" s="48">
        <v>274</v>
      </c>
      <c r="B42" s="49">
        <v>155</v>
      </c>
      <c r="C42" s="49">
        <v>81</v>
      </c>
      <c r="D42" s="50">
        <f t="shared" si="0"/>
        <v>3.4400700000000004</v>
      </c>
      <c r="E42" s="40">
        <f t="shared" si="2"/>
        <v>0.39304645932766835</v>
      </c>
      <c r="F42" s="40">
        <f t="shared" si="1"/>
        <v>0.29562043795620441</v>
      </c>
      <c r="G42" s="51">
        <v>48.464808691544683</v>
      </c>
    </row>
    <row r="43" spans="1:15" x14ac:dyDescent="0.3">
      <c r="A43" s="48">
        <v>429</v>
      </c>
      <c r="B43" s="49">
        <v>428</v>
      </c>
      <c r="C43" s="49">
        <v>168</v>
      </c>
      <c r="D43" s="50">
        <f t="shared" si="0"/>
        <v>30.846816</v>
      </c>
      <c r="E43" s="40">
        <f t="shared" si="2"/>
        <v>0.39206561113552102</v>
      </c>
      <c r="F43" s="40">
        <f t="shared" si="1"/>
        <v>0.39160839160839161</v>
      </c>
      <c r="G43" s="51">
        <v>31.079177233023568</v>
      </c>
      <c r="M43" t="s">
        <v>128</v>
      </c>
    </row>
    <row r="44" spans="1:15" ht="15" thickBot="1" x14ac:dyDescent="0.35">
      <c r="A44" s="48">
        <v>117</v>
      </c>
      <c r="B44" s="49">
        <v>33</v>
      </c>
      <c r="C44" s="49">
        <v>20</v>
      </c>
      <c r="D44" s="50">
        <f t="shared" si="0"/>
        <v>7.7219999999999997E-2</v>
      </c>
      <c r="E44" s="40">
        <f t="shared" si="2"/>
        <v>0.3218696997235117</v>
      </c>
      <c r="F44" s="40">
        <f t="shared" si="1"/>
        <v>0.17094017094017094</v>
      </c>
      <c r="G44" s="51">
        <v>27.796287482150838</v>
      </c>
    </row>
    <row r="45" spans="1:15" x14ac:dyDescent="0.3">
      <c r="A45" s="48">
        <v>99</v>
      </c>
      <c r="B45" s="49">
        <v>69</v>
      </c>
      <c r="C45" s="49">
        <v>36</v>
      </c>
      <c r="D45" s="50">
        <f t="shared" si="0"/>
        <v>0.245916</v>
      </c>
      <c r="E45" s="40">
        <f t="shared" si="2"/>
        <v>0.43557240518437662</v>
      </c>
      <c r="F45" s="40">
        <f t="shared" si="1"/>
        <v>0.36363636363636365</v>
      </c>
      <c r="G45" s="51">
        <v>24.727272727272066</v>
      </c>
      <c r="M45" s="56"/>
      <c r="N45" s="56" t="s">
        <v>116</v>
      </c>
      <c r="O45" s="56" t="s">
        <v>117</v>
      </c>
    </row>
    <row r="46" spans="1:15" x14ac:dyDescent="0.3">
      <c r="A46" s="48">
        <v>328</v>
      </c>
      <c r="B46" s="49">
        <v>152</v>
      </c>
      <c r="C46" s="49">
        <v>23</v>
      </c>
      <c r="D46" s="50">
        <f t="shared" si="0"/>
        <v>1.1466879999999999</v>
      </c>
      <c r="E46" s="40">
        <f t="shared" si="2"/>
        <v>0.10300756481062767</v>
      </c>
      <c r="F46" s="40">
        <f t="shared" si="1"/>
        <v>7.0121951219512202E-2</v>
      </c>
      <c r="G46" s="51">
        <v>23.166623477584668</v>
      </c>
      <c r="M46" t="s">
        <v>118</v>
      </c>
      <c r="N46">
        <v>0.41913540455739451</v>
      </c>
      <c r="O46">
        <v>0.34881487312505971</v>
      </c>
    </row>
    <row r="47" spans="1:15" x14ac:dyDescent="0.3">
      <c r="A47" s="52">
        <v>213</v>
      </c>
      <c r="B47" s="53">
        <v>145</v>
      </c>
      <c r="C47" s="53">
        <v>53</v>
      </c>
      <c r="D47" s="54">
        <f t="shared" si="0"/>
        <v>1.6369049999999998</v>
      </c>
      <c r="E47" s="40">
        <f t="shared" si="2"/>
        <v>0.30157967354935955</v>
      </c>
      <c r="F47" s="40">
        <f t="shared" si="1"/>
        <v>0.24882629107981222</v>
      </c>
      <c r="G47" s="55">
        <v>23.068432671082238</v>
      </c>
      <c r="M47" t="s">
        <v>119</v>
      </c>
      <c r="N47">
        <v>3.7424140644542664E-2</v>
      </c>
      <c r="O47">
        <v>3.6439699574431085E-2</v>
      </c>
    </row>
    <row r="48" spans="1:15" x14ac:dyDescent="0.3">
      <c r="A48" s="48">
        <v>264</v>
      </c>
      <c r="B48" s="49">
        <v>165</v>
      </c>
      <c r="C48" s="49">
        <v>43</v>
      </c>
      <c r="D48" s="50">
        <f t="shared" si="0"/>
        <v>1.8730799999999999</v>
      </c>
      <c r="E48" s="40">
        <f t="shared" si="2"/>
        <v>0.20602718088975805</v>
      </c>
      <c r="F48" s="40">
        <f t="shared" si="1"/>
        <v>0.16287878787878787</v>
      </c>
      <c r="G48" s="51">
        <v>22.589052997393711</v>
      </c>
      <c r="M48" t="s">
        <v>120</v>
      </c>
      <c r="N48">
        <v>39</v>
      </c>
      <c r="O48">
        <v>19</v>
      </c>
    </row>
    <row r="49" spans="1:15" x14ac:dyDescent="0.3">
      <c r="A49" s="48">
        <v>231</v>
      </c>
      <c r="B49" s="49">
        <v>76</v>
      </c>
      <c r="C49" s="49">
        <v>38</v>
      </c>
      <c r="D49" s="50">
        <f t="shared" si="0"/>
        <v>0.66712800000000005</v>
      </c>
      <c r="E49" s="40">
        <f t="shared" si="2"/>
        <v>0.28679449480609326</v>
      </c>
      <c r="F49" s="40">
        <f t="shared" si="1"/>
        <v>0.16450216450216451</v>
      </c>
      <c r="G49" s="51">
        <v>21.915215745647021</v>
      </c>
      <c r="M49" t="s">
        <v>129</v>
      </c>
      <c r="N49">
        <v>3.7107713157721087E-2</v>
      </c>
    </row>
    <row r="50" spans="1:15" x14ac:dyDescent="0.3">
      <c r="A50" s="48">
        <v>439</v>
      </c>
      <c r="B50" s="49">
        <v>226</v>
      </c>
      <c r="C50" s="49">
        <v>104</v>
      </c>
      <c r="D50" s="50">
        <f t="shared" si="0"/>
        <v>10.318255999999998</v>
      </c>
      <c r="E50" s="40">
        <f t="shared" si="2"/>
        <v>0.33017703223995404</v>
      </c>
      <c r="F50" s="40">
        <f t="shared" si="1"/>
        <v>0.23690205011389523</v>
      </c>
      <c r="G50" s="51">
        <v>19.55951756685922</v>
      </c>
      <c r="M50" t="s">
        <v>121</v>
      </c>
      <c r="N50">
        <v>0</v>
      </c>
    </row>
    <row r="51" spans="1:15" x14ac:dyDescent="0.3">
      <c r="A51" s="48">
        <v>125</v>
      </c>
      <c r="B51" s="49">
        <v>61</v>
      </c>
      <c r="C51" s="49">
        <v>28</v>
      </c>
      <c r="D51" s="50">
        <f t="shared" si="0"/>
        <v>0.21349999999999997</v>
      </c>
      <c r="E51" s="40">
        <f t="shared" si="2"/>
        <v>0.3206550672157662</v>
      </c>
      <c r="F51" s="40">
        <f t="shared" si="1"/>
        <v>0.224</v>
      </c>
      <c r="G51" s="51">
        <v>17.989666510098445</v>
      </c>
      <c r="M51" t="s">
        <v>122</v>
      </c>
      <c r="N51">
        <v>56</v>
      </c>
    </row>
    <row r="52" spans="1:15" x14ac:dyDescent="0.3">
      <c r="A52" s="48">
        <v>150</v>
      </c>
      <c r="B52" s="49">
        <v>122</v>
      </c>
      <c r="C52" s="49">
        <v>102</v>
      </c>
      <c r="D52" s="50">
        <f t="shared" si="0"/>
        <v>1.8666</v>
      </c>
      <c r="E52" s="40">
        <f t="shared" si="2"/>
        <v>0.75400569637366432</v>
      </c>
      <c r="F52" s="40">
        <f t="shared" si="1"/>
        <v>0.68</v>
      </c>
      <c r="G52" s="51">
        <v>17.839630804730412</v>
      </c>
      <c r="M52" t="s">
        <v>123</v>
      </c>
      <c r="N52">
        <v>1.3048036290909877</v>
      </c>
    </row>
    <row r="53" spans="1:15" x14ac:dyDescent="0.3">
      <c r="A53" s="48">
        <v>56</v>
      </c>
      <c r="B53" s="49">
        <v>41</v>
      </c>
      <c r="C53" s="49">
        <v>20</v>
      </c>
      <c r="D53" s="50">
        <f t="shared" si="0"/>
        <v>4.5919999999999996E-2</v>
      </c>
      <c r="E53" s="40">
        <f t="shared" si="2"/>
        <v>0.41739193556484111</v>
      </c>
      <c r="F53" s="40">
        <f t="shared" si="1"/>
        <v>0.35714285714285715</v>
      </c>
      <c r="G53" s="51">
        <v>17.382617382617958</v>
      </c>
      <c r="M53" t="s">
        <v>124</v>
      </c>
      <c r="N53">
        <v>9.8648167570484085E-2</v>
      </c>
    </row>
    <row r="54" spans="1:15" x14ac:dyDescent="0.3">
      <c r="A54" s="48">
        <v>419</v>
      </c>
      <c r="B54" s="49">
        <v>119</v>
      </c>
      <c r="C54" s="49">
        <v>43</v>
      </c>
      <c r="D54" s="50">
        <f t="shared" si="0"/>
        <v>2.1440230000000002</v>
      </c>
      <c r="E54" s="40">
        <f t="shared" si="2"/>
        <v>0.19256970424487968</v>
      </c>
      <c r="F54" s="40">
        <f t="shared" si="1"/>
        <v>0.1026252983293556</v>
      </c>
      <c r="G54" s="51">
        <v>15.251011182488817</v>
      </c>
      <c r="M54" t="s">
        <v>125</v>
      </c>
      <c r="N54">
        <v>1.6725223030755785</v>
      </c>
    </row>
    <row r="55" spans="1:15" x14ac:dyDescent="0.3">
      <c r="A55" s="48">
        <v>137</v>
      </c>
      <c r="B55" s="49">
        <v>125</v>
      </c>
      <c r="C55" s="49">
        <v>18</v>
      </c>
      <c r="D55" s="50">
        <f t="shared" si="0"/>
        <v>0.30824999999999997</v>
      </c>
      <c r="E55" s="40">
        <f t="shared" si="2"/>
        <v>0.13754892958215661</v>
      </c>
      <c r="F55" s="40">
        <f t="shared" si="1"/>
        <v>0.13138686131386862</v>
      </c>
      <c r="G55" s="51">
        <v>14.638447971781199</v>
      </c>
      <c r="M55" t="s">
        <v>126</v>
      </c>
      <c r="N55">
        <v>0.19729633514096817</v>
      </c>
    </row>
    <row r="56" spans="1:15" ht="15" thickBot="1" x14ac:dyDescent="0.35">
      <c r="A56" s="48">
        <v>279</v>
      </c>
      <c r="B56" s="49">
        <v>259</v>
      </c>
      <c r="C56" s="49">
        <v>74</v>
      </c>
      <c r="D56" s="50">
        <f t="shared" si="0"/>
        <v>5.3473139999999999</v>
      </c>
      <c r="E56" s="40">
        <f t="shared" si="2"/>
        <v>0.27528321774928155</v>
      </c>
      <c r="F56" s="40">
        <f t="shared" si="1"/>
        <v>0.26523297491039427</v>
      </c>
      <c r="G56" s="51">
        <v>13.662486938349083</v>
      </c>
      <c r="M56" s="18" t="s">
        <v>127</v>
      </c>
      <c r="N56" s="18">
        <v>2.0032407188478727</v>
      </c>
      <c r="O56" s="18"/>
    </row>
    <row r="57" spans="1:15" x14ac:dyDescent="0.3">
      <c r="A57" s="48">
        <v>114</v>
      </c>
      <c r="B57" s="49">
        <v>91</v>
      </c>
      <c r="C57" s="49">
        <v>89</v>
      </c>
      <c r="D57" s="50">
        <f t="shared" si="0"/>
        <v>0.92328599999999994</v>
      </c>
      <c r="E57" s="40">
        <f t="shared" si="2"/>
        <v>0.87380974706728343</v>
      </c>
      <c r="F57" s="40">
        <f t="shared" si="1"/>
        <v>0.7807017543859649</v>
      </c>
      <c r="G57" s="51">
        <v>4.1696113074202952</v>
      </c>
    </row>
    <row r="58" spans="1:15" x14ac:dyDescent="0.3">
      <c r="A58" s="48">
        <v>168</v>
      </c>
      <c r="B58" s="49">
        <v>137</v>
      </c>
      <c r="C58" s="49">
        <v>24</v>
      </c>
      <c r="D58" s="50">
        <f t="shared" si="0"/>
        <v>0.55238399999999999</v>
      </c>
      <c r="E58" s="40">
        <f t="shared" si="2"/>
        <v>0.15819629838175497</v>
      </c>
      <c r="F58" s="40">
        <f t="shared" si="1"/>
        <v>0.14285714285714285</v>
      </c>
      <c r="G58" s="51">
        <v>3.464467005076266</v>
      </c>
    </row>
    <row r="59" spans="1:15" x14ac:dyDescent="0.3">
      <c r="A59" s="48">
        <v>404</v>
      </c>
      <c r="B59" s="49">
        <v>351</v>
      </c>
      <c r="C59" s="49">
        <v>135</v>
      </c>
      <c r="D59" s="50">
        <f t="shared" si="0"/>
        <v>19.143539999999998</v>
      </c>
      <c r="E59" s="40">
        <f t="shared" si="2"/>
        <v>0.35850030353038548</v>
      </c>
      <c r="F59" s="40">
        <f t="shared" si="1"/>
        <v>0.33415841584158418</v>
      </c>
      <c r="G59" s="51">
        <v>0.67915690866502398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FBA8-B4F6-4911-AAA0-91ECF021D3C3}">
  <dimension ref="A1:U59"/>
  <sheetViews>
    <sheetView tabSelected="1" topLeftCell="A17" workbookViewId="0">
      <selection activeCell="G8" sqref="G8"/>
    </sheetView>
  </sheetViews>
  <sheetFormatPr defaultRowHeight="14.4" x14ac:dyDescent="0.3"/>
  <cols>
    <col min="1" max="1" width="12.21875" style="4" customWidth="1"/>
    <col min="2" max="2" width="14.5546875" bestFit="1" customWidth="1"/>
    <col min="3" max="3" width="18.5546875" bestFit="1" customWidth="1"/>
    <col min="4" max="4" width="15.21875" style="5" bestFit="1" customWidth="1"/>
    <col min="7" max="7" width="38.88671875" bestFit="1" customWidth="1"/>
    <col min="11" max="11" width="41.21875" bestFit="1" customWidth="1"/>
    <col min="15" max="15" width="41.21875" bestFit="1" customWidth="1"/>
    <col min="19" max="19" width="41.21875" bestFit="1" customWidth="1"/>
  </cols>
  <sheetData>
    <row r="1" spans="1:21" x14ac:dyDescent="0.3">
      <c r="A1" s="36" t="s">
        <v>1</v>
      </c>
      <c r="B1" s="37" t="s">
        <v>2</v>
      </c>
      <c r="C1" s="37" t="s">
        <v>3</v>
      </c>
      <c r="D1" s="38" t="s">
        <v>107</v>
      </c>
    </row>
    <row r="2" spans="1:21" x14ac:dyDescent="0.3">
      <c r="A2" s="40">
        <v>257</v>
      </c>
      <c r="B2" s="40">
        <v>208</v>
      </c>
      <c r="C2" s="41">
        <v>107</v>
      </c>
      <c r="D2" s="41">
        <f t="shared" ref="D2:D59" si="0">(A2/100*B2/100*C2/100)</f>
        <v>5.7197919999999991</v>
      </c>
    </row>
    <row r="3" spans="1:21" x14ac:dyDescent="0.3">
      <c r="A3" s="40">
        <v>401</v>
      </c>
      <c r="B3" s="40">
        <v>208</v>
      </c>
      <c r="C3" s="41">
        <v>74</v>
      </c>
      <c r="D3" s="41">
        <f t="shared" si="0"/>
        <v>6.1721919999999999</v>
      </c>
    </row>
    <row r="4" spans="1:21" x14ac:dyDescent="0.3">
      <c r="A4" s="43">
        <v>156</v>
      </c>
      <c r="B4" s="40">
        <v>97</v>
      </c>
      <c r="C4" s="40">
        <v>38</v>
      </c>
      <c r="D4" s="41">
        <f t="shared" si="0"/>
        <v>0.57501599999999997</v>
      </c>
    </row>
    <row r="5" spans="1:21" x14ac:dyDescent="0.3">
      <c r="A5" s="43">
        <v>51</v>
      </c>
      <c r="B5" s="40">
        <v>30</v>
      </c>
      <c r="C5" s="40">
        <v>28</v>
      </c>
      <c r="D5" s="41">
        <f t="shared" si="0"/>
        <v>4.2839999999999996E-2</v>
      </c>
    </row>
    <row r="6" spans="1:21" x14ac:dyDescent="0.3">
      <c r="A6" s="43">
        <v>198</v>
      </c>
      <c r="B6" s="40">
        <v>140</v>
      </c>
      <c r="C6" s="40">
        <v>132</v>
      </c>
      <c r="D6" s="41">
        <f t="shared" si="0"/>
        <v>3.6590400000000001</v>
      </c>
    </row>
    <row r="7" spans="1:21" x14ac:dyDescent="0.3">
      <c r="A7" s="43">
        <v>69</v>
      </c>
      <c r="B7" s="40">
        <v>46</v>
      </c>
      <c r="C7" s="40">
        <v>36</v>
      </c>
      <c r="D7" s="41">
        <f t="shared" si="0"/>
        <v>0.11426399999999999</v>
      </c>
    </row>
    <row r="8" spans="1:21" x14ac:dyDescent="0.3">
      <c r="A8" s="43">
        <v>201</v>
      </c>
      <c r="B8" s="40">
        <v>99</v>
      </c>
      <c r="C8" s="40">
        <v>55</v>
      </c>
      <c r="D8" s="41">
        <f t="shared" si="0"/>
        <v>1.0944449999999999</v>
      </c>
      <c r="G8" t="s">
        <v>131</v>
      </c>
      <c r="K8" t="s">
        <v>133</v>
      </c>
      <c r="O8" t="s">
        <v>134</v>
      </c>
      <c r="S8" t="s">
        <v>135</v>
      </c>
    </row>
    <row r="9" spans="1:21" x14ac:dyDescent="0.3">
      <c r="A9" s="43">
        <v>51</v>
      </c>
      <c r="B9" s="40">
        <v>41</v>
      </c>
      <c r="C9" s="40">
        <v>10</v>
      </c>
      <c r="D9" s="41">
        <f t="shared" si="0"/>
        <v>2.0910000000000002E-2</v>
      </c>
      <c r="G9" t="s">
        <v>128</v>
      </c>
    </row>
    <row r="10" spans="1:21" ht="15" thickBot="1" x14ac:dyDescent="0.35">
      <c r="A10" s="43">
        <v>284</v>
      </c>
      <c r="B10" s="40">
        <v>208</v>
      </c>
      <c r="C10" s="40">
        <v>79</v>
      </c>
      <c r="D10" s="41">
        <f t="shared" si="0"/>
        <v>4.6666880000000006</v>
      </c>
      <c r="K10" t="s">
        <v>132</v>
      </c>
    </row>
    <row r="11" spans="1:21" ht="15" thickBot="1" x14ac:dyDescent="0.35">
      <c r="A11" s="44">
        <v>386</v>
      </c>
      <c r="B11" s="45">
        <v>224</v>
      </c>
      <c r="C11" s="45">
        <v>135</v>
      </c>
      <c r="D11" s="46">
        <f t="shared" si="0"/>
        <v>11.672639999999999</v>
      </c>
      <c r="G11" s="56"/>
      <c r="H11" s="56" t="s">
        <v>116</v>
      </c>
      <c r="I11" s="56" t="s">
        <v>117</v>
      </c>
    </row>
    <row r="12" spans="1:21" x14ac:dyDescent="0.3">
      <c r="A12" s="43">
        <v>117</v>
      </c>
      <c r="B12" s="40">
        <v>102</v>
      </c>
      <c r="C12" s="40">
        <v>23</v>
      </c>
      <c r="D12" s="41">
        <f t="shared" si="0"/>
        <v>0.27448199999999995</v>
      </c>
      <c r="G12" t="s">
        <v>118</v>
      </c>
      <c r="H12">
        <v>3.8834063589743599</v>
      </c>
      <c r="I12">
        <v>4.4810985263157894</v>
      </c>
      <c r="K12" s="56"/>
      <c r="L12" s="56" t="s">
        <v>116</v>
      </c>
      <c r="M12" s="56" t="s">
        <v>117</v>
      </c>
      <c r="O12" t="s">
        <v>132</v>
      </c>
      <c r="S12" t="s">
        <v>132</v>
      </c>
    </row>
    <row r="13" spans="1:21" ht="15" thickBot="1" x14ac:dyDescent="0.35">
      <c r="A13" s="43">
        <v>104</v>
      </c>
      <c r="B13" s="40">
        <v>53</v>
      </c>
      <c r="C13" s="40">
        <v>43</v>
      </c>
      <c r="D13" s="41">
        <f t="shared" si="0"/>
        <v>0.23701600000000003</v>
      </c>
      <c r="G13" t="s">
        <v>119</v>
      </c>
      <c r="H13">
        <v>109.9097749254354</v>
      </c>
      <c r="I13">
        <v>62.202029426995168</v>
      </c>
      <c r="K13" t="s">
        <v>118</v>
      </c>
      <c r="L13">
        <v>165.56410256410257</v>
      </c>
      <c r="M13">
        <v>235.78947368421052</v>
      </c>
    </row>
    <row r="14" spans="1:21" x14ac:dyDescent="0.3">
      <c r="A14" s="43">
        <v>188</v>
      </c>
      <c r="B14" s="40">
        <v>145</v>
      </c>
      <c r="C14" s="40">
        <v>58</v>
      </c>
      <c r="D14" s="41">
        <f t="shared" si="0"/>
        <v>1.5810799999999998</v>
      </c>
      <c r="G14" t="s">
        <v>120</v>
      </c>
      <c r="H14">
        <v>39</v>
      </c>
      <c r="I14">
        <v>19</v>
      </c>
      <c r="K14" t="s">
        <v>119</v>
      </c>
      <c r="L14">
        <v>17841.357624831307</v>
      </c>
      <c r="M14">
        <v>14868.064327485381</v>
      </c>
      <c r="O14" s="56"/>
      <c r="P14" s="56" t="s">
        <v>116</v>
      </c>
      <c r="Q14" s="56" t="s">
        <v>117</v>
      </c>
      <c r="S14" s="56"/>
      <c r="T14" s="56" t="s">
        <v>116</v>
      </c>
      <c r="U14" s="56" t="s">
        <v>117</v>
      </c>
    </row>
    <row r="15" spans="1:21" x14ac:dyDescent="0.3">
      <c r="A15" s="43">
        <v>467</v>
      </c>
      <c r="B15" s="40">
        <v>368</v>
      </c>
      <c r="C15" s="40">
        <v>130</v>
      </c>
      <c r="D15" s="41">
        <f t="shared" si="0"/>
        <v>22.341280000000001</v>
      </c>
      <c r="G15" t="s">
        <v>129</v>
      </c>
      <c r="H15">
        <v>94.575142443793894</v>
      </c>
      <c r="K15" t="s">
        <v>120</v>
      </c>
      <c r="L15">
        <v>39</v>
      </c>
      <c r="M15">
        <v>19</v>
      </c>
      <c r="O15" t="s">
        <v>118</v>
      </c>
      <c r="P15">
        <v>119.38461538461539</v>
      </c>
      <c r="Q15">
        <v>156.63157894736841</v>
      </c>
      <c r="S15" t="s">
        <v>118</v>
      </c>
      <c r="T15">
        <v>57.820512820512818</v>
      </c>
      <c r="U15">
        <v>62.263157894736842</v>
      </c>
    </row>
    <row r="16" spans="1:21" x14ac:dyDescent="0.3">
      <c r="A16" s="44">
        <v>64</v>
      </c>
      <c r="B16" s="45">
        <v>58</v>
      </c>
      <c r="C16" s="45">
        <v>33</v>
      </c>
      <c r="D16" s="46">
        <f t="shared" si="0"/>
        <v>0.12249599999999999</v>
      </c>
      <c r="G16" t="s">
        <v>121</v>
      </c>
      <c r="H16">
        <v>0</v>
      </c>
      <c r="K16" t="s">
        <v>121</v>
      </c>
      <c r="L16">
        <v>0</v>
      </c>
      <c r="O16" t="s">
        <v>119</v>
      </c>
      <c r="P16">
        <v>10178.348178137652</v>
      </c>
      <c r="Q16">
        <v>10631.912280701754</v>
      </c>
      <c r="S16" t="s">
        <v>119</v>
      </c>
      <c r="T16">
        <v>2359.940620782726</v>
      </c>
      <c r="U16">
        <v>1849.2046783625733</v>
      </c>
    </row>
    <row r="17" spans="1:21" x14ac:dyDescent="0.3">
      <c r="A17" s="43">
        <v>58</v>
      </c>
      <c r="B17" s="40">
        <v>41</v>
      </c>
      <c r="C17" s="40">
        <v>3</v>
      </c>
      <c r="D17" s="41">
        <f t="shared" si="0"/>
        <v>7.1339999999999988E-3</v>
      </c>
      <c r="G17" t="s">
        <v>122</v>
      </c>
      <c r="H17">
        <v>56</v>
      </c>
      <c r="K17" t="s">
        <v>122</v>
      </c>
      <c r="L17">
        <v>39</v>
      </c>
      <c r="O17" t="s">
        <v>120</v>
      </c>
      <c r="P17">
        <v>39</v>
      </c>
      <c r="Q17">
        <v>19</v>
      </c>
      <c r="S17" t="s">
        <v>120</v>
      </c>
      <c r="T17">
        <v>39</v>
      </c>
      <c r="U17">
        <v>19</v>
      </c>
    </row>
    <row r="18" spans="1:21" x14ac:dyDescent="0.3">
      <c r="A18" s="43">
        <v>191</v>
      </c>
      <c r="B18" s="40">
        <v>170</v>
      </c>
      <c r="C18" s="40">
        <v>86</v>
      </c>
      <c r="D18" s="41">
        <f t="shared" si="0"/>
        <v>2.7924199999999995</v>
      </c>
      <c r="G18" t="s">
        <v>123</v>
      </c>
      <c r="H18">
        <v>-0.21967678788489658</v>
      </c>
      <c r="K18" t="s">
        <v>123</v>
      </c>
      <c r="L18">
        <v>-1.994266200086104</v>
      </c>
      <c r="O18" t="s">
        <v>121</v>
      </c>
      <c r="P18">
        <v>0</v>
      </c>
      <c r="S18" t="s">
        <v>121</v>
      </c>
      <c r="T18">
        <v>0</v>
      </c>
    </row>
    <row r="19" spans="1:21" x14ac:dyDescent="0.3">
      <c r="A19" s="43">
        <v>122</v>
      </c>
      <c r="B19" s="40">
        <v>81</v>
      </c>
      <c r="C19" s="40">
        <v>46</v>
      </c>
      <c r="D19" s="41">
        <f t="shared" si="0"/>
        <v>0.45457199999999998</v>
      </c>
      <c r="G19" t="s">
        <v>124</v>
      </c>
      <c r="H19">
        <v>0.41346084296518959</v>
      </c>
      <c r="K19" t="s">
        <v>124</v>
      </c>
      <c r="L19">
        <v>2.657370443319056E-2</v>
      </c>
      <c r="O19" t="s">
        <v>122</v>
      </c>
      <c r="P19">
        <v>35</v>
      </c>
      <c r="S19" t="s">
        <v>122</v>
      </c>
      <c r="T19">
        <v>40</v>
      </c>
    </row>
    <row r="20" spans="1:21" x14ac:dyDescent="0.3">
      <c r="A20" s="43">
        <v>89</v>
      </c>
      <c r="B20" s="40">
        <v>53</v>
      </c>
      <c r="C20" s="40">
        <v>8</v>
      </c>
      <c r="D20" s="41">
        <f t="shared" si="0"/>
        <v>3.7735999999999999E-2</v>
      </c>
      <c r="G20" t="s">
        <v>125</v>
      </c>
      <c r="H20">
        <v>1.6725223030755785</v>
      </c>
      <c r="K20" t="s">
        <v>125</v>
      </c>
      <c r="L20">
        <v>1.6848751217112248</v>
      </c>
      <c r="O20" t="s">
        <v>123</v>
      </c>
      <c r="P20">
        <v>-1.3002783557539102</v>
      </c>
      <c r="S20" t="s">
        <v>123</v>
      </c>
      <c r="T20">
        <v>-0.35361935410552403</v>
      </c>
    </row>
    <row r="21" spans="1:21" x14ac:dyDescent="0.3">
      <c r="A21" s="43">
        <v>74</v>
      </c>
      <c r="B21" s="40">
        <v>51</v>
      </c>
      <c r="C21" s="40">
        <v>20</v>
      </c>
      <c r="D21" s="41">
        <f t="shared" si="0"/>
        <v>7.5480000000000005E-2</v>
      </c>
      <c r="G21" t="s">
        <v>126</v>
      </c>
      <c r="H21">
        <v>0.82692168593037918</v>
      </c>
      <c r="K21" t="s">
        <v>126</v>
      </c>
      <c r="L21">
        <v>5.314740886638112E-2</v>
      </c>
      <c r="O21" t="s">
        <v>124</v>
      </c>
      <c r="P21">
        <v>0.10100157196828738</v>
      </c>
      <c r="S21" t="s">
        <v>124</v>
      </c>
      <c r="T21">
        <v>0.36274062894488757</v>
      </c>
    </row>
    <row r="22" spans="1:21" ht="15" thickBot="1" x14ac:dyDescent="0.35">
      <c r="A22" s="43">
        <v>216</v>
      </c>
      <c r="B22" s="40">
        <v>208</v>
      </c>
      <c r="C22" s="40">
        <v>107</v>
      </c>
      <c r="D22" s="41">
        <f t="shared" si="0"/>
        <v>4.807296</v>
      </c>
      <c r="G22" s="18" t="s">
        <v>127</v>
      </c>
      <c r="H22" s="18">
        <v>2.0032407188478727</v>
      </c>
      <c r="I22" s="18"/>
      <c r="K22" s="18" t="s">
        <v>127</v>
      </c>
      <c r="L22" s="18">
        <v>2.0226909200367595</v>
      </c>
      <c r="M22" s="18"/>
      <c r="O22" t="s">
        <v>125</v>
      </c>
      <c r="P22">
        <v>1.6895724577802647</v>
      </c>
      <c r="S22" t="s">
        <v>125</v>
      </c>
      <c r="T22">
        <v>1.6838510133356521</v>
      </c>
    </row>
    <row r="23" spans="1:21" x14ac:dyDescent="0.3">
      <c r="A23" s="43">
        <v>170</v>
      </c>
      <c r="B23" s="40">
        <v>91</v>
      </c>
      <c r="C23" s="40">
        <v>28</v>
      </c>
      <c r="D23" s="41">
        <f t="shared" si="0"/>
        <v>0.43315999999999993</v>
      </c>
      <c r="O23" t="s">
        <v>126</v>
      </c>
      <c r="P23">
        <v>0.20200314393657476</v>
      </c>
      <c r="S23" t="s">
        <v>126</v>
      </c>
      <c r="T23">
        <v>0.72548125788977513</v>
      </c>
    </row>
    <row r="24" spans="1:21" ht="15" thickBot="1" x14ac:dyDescent="0.35">
      <c r="A24" s="43">
        <v>97</v>
      </c>
      <c r="B24" s="40">
        <v>74</v>
      </c>
      <c r="C24" s="40">
        <v>46</v>
      </c>
      <c r="D24" s="41">
        <f t="shared" si="0"/>
        <v>0.33018799999999998</v>
      </c>
      <c r="O24" s="18" t="s">
        <v>127</v>
      </c>
      <c r="P24" s="18">
        <v>2.0301079282503438</v>
      </c>
      <c r="Q24" s="18"/>
      <c r="S24" s="18" t="s">
        <v>127</v>
      </c>
      <c r="T24" s="18">
        <v>2.0210753903062737</v>
      </c>
      <c r="U24" s="18"/>
    </row>
    <row r="25" spans="1:21" x14ac:dyDescent="0.3">
      <c r="A25" s="43">
        <v>69</v>
      </c>
      <c r="B25" s="40">
        <v>56</v>
      </c>
      <c r="C25" s="40">
        <v>23</v>
      </c>
      <c r="D25" s="41">
        <f t="shared" si="0"/>
        <v>8.8872000000000007E-2</v>
      </c>
    </row>
    <row r="26" spans="1:21" x14ac:dyDescent="0.3">
      <c r="A26" s="43">
        <v>79</v>
      </c>
      <c r="B26" s="40">
        <v>76</v>
      </c>
      <c r="C26" s="40">
        <v>18</v>
      </c>
      <c r="D26" s="41">
        <f t="shared" si="0"/>
        <v>0.10807200000000002</v>
      </c>
      <c r="G26" t="s">
        <v>132</v>
      </c>
    </row>
    <row r="27" spans="1:21" ht="15" thickBot="1" x14ac:dyDescent="0.35">
      <c r="A27" s="43">
        <v>109</v>
      </c>
      <c r="B27" s="40">
        <v>84</v>
      </c>
      <c r="C27" s="40">
        <v>33</v>
      </c>
      <c r="D27" s="41">
        <f t="shared" si="0"/>
        <v>0.30214800000000003</v>
      </c>
    </row>
    <row r="28" spans="1:21" x14ac:dyDescent="0.3">
      <c r="A28" s="43">
        <v>152</v>
      </c>
      <c r="B28" s="40">
        <v>79</v>
      </c>
      <c r="C28" s="40">
        <v>13</v>
      </c>
      <c r="D28" s="41">
        <f t="shared" si="0"/>
        <v>0.15610400000000002</v>
      </c>
      <c r="G28" s="56"/>
      <c r="H28" s="56" t="s">
        <v>116</v>
      </c>
      <c r="I28" s="56" t="s">
        <v>117</v>
      </c>
    </row>
    <row r="29" spans="1:21" x14ac:dyDescent="0.3">
      <c r="A29" s="43">
        <v>64</v>
      </c>
      <c r="B29" s="40">
        <v>48</v>
      </c>
      <c r="C29" s="40">
        <v>41</v>
      </c>
      <c r="D29" s="41">
        <f t="shared" si="0"/>
        <v>0.12595199999999998</v>
      </c>
      <c r="G29" t="s">
        <v>118</v>
      </c>
      <c r="H29">
        <v>3.8834063589743599</v>
      </c>
      <c r="I29">
        <v>4.4810985263157894</v>
      </c>
    </row>
    <row r="30" spans="1:21" x14ac:dyDescent="0.3">
      <c r="A30" s="43">
        <v>137</v>
      </c>
      <c r="B30" s="40">
        <v>132</v>
      </c>
      <c r="C30" s="40">
        <v>28</v>
      </c>
      <c r="D30" s="41">
        <f t="shared" si="0"/>
        <v>0.50635200000000002</v>
      </c>
      <c r="G30" t="s">
        <v>119</v>
      </c>
      <c r="H30">
        <v>109.9097749254354</v>
      </c>
      <c r="I30">
        <v>62.202029426995168</v>
      </c>
    </row>
    <row r="31" spans="1:21" x14ac:dyDescent="0.3">
      <c r="A31" s="43">
        <v>683</v>
      </c>
      <c r="B31" s="40">
        <v>533</v>
      </c>
      <c r="C31" s="40">
        <v>170</v>
      </c>
      <c r="D31" s="41">
        <f t="shared" si="0"/>
        <v>61.886630000000004</v>
      </c>
      <c r="G31" t="s">
        <v>120</v>
      </c>
      <c r="H31">
        <v>39</v>
      </c>
      <c r="I31">
        <v>19</v>
      </c>
    </row>
    <row r="32" spans="1:21" x14ac:dyDescent="0.3">
      <c r="A32" s="43">
        <v>55</v>
      </c>
      <c r="B32" s="40">
        <v>43</v>
      </c>
      <c r="C32" s="40">
        <v>30</v>
      </c>
      <c r="D32" s="41">
        <f t="shared" si="0"/>
        <v>7.0950000000000013E-2</v>
      </c>
      <c r="G32" t="s">
        <v>121</v>
      </c>
      <c r="H32">
        <v>0</v>
      </c>
    </row>
    <row r="33" spans="1:9" x14ac:dyDescent="0.3">
      <c r="A33" s="43">
        <v>53</v>
      </c>
      <c r="B33" s="40">
        <v>41</v>
      </c>
      <c r="C33" s="40">
        <v>23</v>
      </c>
      <c r="D33" s="41">
        <f t="shared" si="0"/>
        <v>4.9978999999999996E-2</v>
      </c>
      <c r="G33" t="s">
        <v>122</v>
      </c>
      <c r="H33">
        <v>46</v>
      </c>
    </row>
    <row r="34" spans="1:9" x14ac:dyDescent="0.3">
      <c r="A34" s="43">
        <v>229</v>
      </c>
      <c r="B34" s="40">
        <v>195</v>
      </c>
      <c r="C34" s="40">
        <v>130</v>
      </c>
      <c r="D34" s="41">
        <f t="shared" si="0"/>
        <v>5.8051500000000011</v>
      </c>
      <c r="G34" t="s">
        <v>123</v>
      </c>
      <c r="H34">
        <v>-0.24215751991839837</v>
      </c>
    </row>
    <row r="35" spans="1:9" x14ac:dyDescent="0.3">
      <c r="A35" s="44">
        <v>282</v>
      </c>
      <c r="B35" s="45">
        <v>196</v>
      </c>
      <c r="C35" s="45">
        <v>185</v>
      </c>
      <c r="D35" s="46">
        <f t="shared" si="0"/>
        <v>10.225319999999998</v>
      </c>
      <c r="G35" t="s">
        <v>124</v>
      </c>
      <c r="H35">
        <v>0.40486725072084584</v>
      </c>
    </row>
    <row r="36" spans="1:9" x14ac:dyDescent="0.3">
      <c r="A36" s="43">
        <v>51</v>
      </c>
      <c r="B36" s="40">
        <v>46</v>
      </c>
      <c r="C36" s="40">
        <v>10</v>
      </c>
      <c r="D36" s="41">
        <f t="shared" si="0"/>
        <v>2.3460000000000002E-2</v>
      </c>
      <c r="G36" t="s">
        <v>125</v>
      </c>
      <c r="H36">
        <v>1.678660413556865</v>
      </c>
    </row>
    <row r="37" spans="1:9" x14ac:dyDescent="0.3">
      <c r="A37" s="43">
        <v>99</v>
      </c>
      <c r="B37" s="40">
        <v>48</v>
      </c>
      <c r="C37" s="40">
        <v>30</v>
      </c>
      <c r="D37" s="41">
        <f t="shared" si="0"/>
        <v>0.14255999999999999</v>
      </c>
      <c r="G37" t="s">
        <v>126</v>
      </c>
      <c r="H37">
        <v>0.80973450144169168</v>
      </c>
    </row>
    <row r="38" spans="1:9" ht="15" thickBot="1" x14ac:dyDescent="0.35">
      <c r="A38" s="43">
        <v>76</v>
      </c>
      <c r="B38" s="40">
        <v>46</v>
      </c>
      <c r="C38" s="40">
        <v>28</v>
      </c>
      <c r="D38" s="41">
        <f t="shared" si="0"/>
        <v>9.7888000000000003E-2</v>
      </c>
      <c r="G38" s="18" t="s">
        <v>127</v>
      </c>
      <c r="H38" s="18">
        <v>2.0128955989194299</v>
      </c>
      <c r="I38" s="18"/>
    </row>
    <row r="39" spans="1:9" x14ac:dyDescent="0.3">
      <c r="A39" s="43">
        <v>117</v>
      </c>
      <c r="B39" s="40">
        <v>64</v>
      </c>
      <c r="C39" s="40">
        <v>36</v>
      </c>
      <c r="D39" s="41">
        <f t="shared" si="0"/>
        <v>0.26956799999999997</v>
      </c>
    </row>
    <row r="40" spans="1:9" x14ac:dyDescent="0.3">
      <c r="A40" s="43">
        <v>191</v>
      </c>
      <c r="B40" s="40">
        <v>173</v>
      </c>
      <c r="C40" s="40">
        <v>132</v>
      </c>
      <c r="D40" s="41">
        <f t="shared" si="0"/>
        <v>4.3616760000000001</v>
      </c>
    </row>
    <row r="41" spans="1:9" x14ac:dyDescent="0.3">
      <c r="A41" s="48">
        <v>234</v>
      </c>
      <c r="B41" s="49">
        <v>221</v>
      </c>
      <c r="C41" s="49">
        <v>84</v>
      </c>
      <c r="D41" s="50">
        <f t="shared" si="0"/>
        <v>4.3439760000000005</v>
      </c>
    </row>
    <row r="42" spans="1:9" x14ac:dyDescent="0.3">
      <c r="A42" s="48">
        <v>274</v>
      </c>
      <c r="B42" s="49">
        <v>155</v>
      </c>
      <c r="C42" s="49">
        <v>81</v>
      </c>
      <c r="D42" s="50">
        <f t="shared" si="0"/>
        <v>3.4400700000000004</v>
      </c>
    </row>
    <row r="43" spans="1:9" x14ac:dyDescent="0.3">
      <c r="A43" s="48">
        <v>429</v>
      </c>
      <c r="B43" s="49">
        <v>428</v>
      </c>
      <c r="C43" s="49">
        <v>168</v>
      </c>
      <c r="D43" s="50">
        <f t="shared" si="0"/>
        <v>30.846816</v>
      </c>
    </row>
    <row r="44" spans="1:9" x14ac:dyDescent="0.3">
      <c r="A44" s="48">
        <v>117</v>
      </c>
      <c r="B44" s="49">
        <v>33</v>
      </c>
      <c r="C44" s="49">
        <v>20</v>
      </c>
      <c r="D44" s="50">
        <f t="shared" si="0"/>
        <v>7.7219999999999997E-2</v>
      </c>
    </row>
    <row r="45" spans="1:9" x14ac:dyDescent="0.3">
      <c r="A45" s="48">
        <v>99</v>
      </c>
      <c r="B45" s="49">
        <v>69</v>
      </c>
      <c r="C45" s="49">
        <v>36</v>
      </c>
      <c r="D45" s="50">
        <f t="shared" si="0"/>
        <v>0.245916</v>
      </c>
    </row>
    <row r="46" spans="1:9" x14ac:dyDescent="0.3">
      <c r="A46" s="48">
        <v>328</v>
      </c>
      <c r="B46" s="49">
        <v>152</v>
      </c>
      <c r="C46" s="49">
        <v>23</v>
      </c>
      <c r="D46" s="50">
        <f t="shared" si="0"/>
        <v>1.1466879999999999</v>
      </c>
    </row>
    <row r="47" spans="1:9" x14ac:dyDescent="0.3">
      <c r="A47" s="52">
        <v>213</v>
      </c>
      <c r="B47" s="53">
        <v>145</v>
      </c>
      <c r="C47" s="53">
        <v>53</v>
      </c>
      <c r="D47" s="54">
        <f t="shared" si="0"/>
        <v>1.6369049999999998</v>
      </c>
    </row>
    <row r="48" spans="1:9" x14ac:dyDescent="0.3">
      <c r="A48" s="48">
        <v>264</v>
      </c>
      <c r="B48" s="49">
        <v>165</v>
      </c>
      <c r="C48" s="49">
        <v>43</v>
      </c>
      <c r="D48" s="50">
        <f t="shared" si="0"/>
        <v>1.8730799999999999</v>
      </c>
    </row>
    <row r="49" spans="1:4" x14ac:dyDescent="0.3">
      <c r="A49" s="48">
        <v>231</v>
      </c>
      <c r="B49" s="49">
        <v>76</v>
      </c>
      <c r="C49" s="49">
        <v>38</v>
      </c>
      <c r="D49" s="50">
        <f t="shared" si="0"/>
        <v>0.66712800000000005</v>
      </c>
    </row>
    <row r="50" spans="1:4" x14ac:dyDescent="0.3">
      <c r="A50" s="48">
        <v>439</v>
      </c>
      <c r="B50" s="49">
        <v>226</v>
      </c>
      <c r="C50" s="49">
        <v>104</v>
      </c>
      <c r="D50" s="50">
        <f t="shared" si="0"/>
        <v>10.318255999999998</v>
      </c>
    </row>
    <row r="51" spans="1:4" x14ac:dyDescent="0.3">
      <c r="A51" s="48">
        <v>125</v>
      </c>
      <c r="B51" s="49">
        <v>61</v>
      </c>
      <c r="C51" s="49">
        <v>28</v>
      </c>
      <c r="D51" s="50">
        <f t="shared" si="0"/>
        <v>0.21349999999999997</v>
      </c>
    </row>
    <row r="52" spans="1:4" x14ac:dyDescent="0.3">
      <c r="A52" s="48">
        <v>150</v>
      </c>
      <c r="B52" s="49">
        <v>122</v>
      </c>
      <c r="C52" s="49">
        <v>102</v>
      </c>
      <c r="D52" s="50">
        <f t="shared" si="0"/>
        <v>1.8666</v>
      </c>
    </row>
    <row r="53" spans="1:4" x14ac:dyDescent="0.3">
      <c r="A53" s="48">
        <v>56</v>
      </c>
      <c r="B53" s="49">
        <v>41</v>
      </c>
      <c r="C53" s="49">
        <v>20</v>
      </c>
      <c r="D53" s="50">
        <f t="shared" si="0"/>
        <v>4.5919999999999996E-2</v>
      </c>
    </row>
    <row r="54" spans="1:4" x14ac:dyDescent="0.3">
      <c r="A54" s="48">
        <v>419</v>
      </c>
      <c r="B54" s="49">
        <v>119</v>
      </c>
      <c r="C54" s="49">
        <v>43</v>
      </c>
      <c r="D54" s="50">
        <f t="shared" si="0"/>
        <v>2.1440230000000002</v>
      </c>
    </row>
    <row r="55" spans="1:4" x14ac:dyDescent="0.3">
      <c r="A55" s="48">
        <v>137</v>
      </c>
      <c r="B55" s="49">
        <v>125</v>
      </c>
      <c r="C55" s="49">
        <v>18</v>
      </c>
      <c r="D55" s="50">
        <f t="shared" si="0"/>
        <v>0.30824999999999997</v>
      </c>
    </row>
    <row r="56" spans="1:4" x14ac:dyDescent="0.3">
      <c r="A56" s="48">
        <v>279</v>
      </c>
      <c r="B56" s="49">
        <v>259</v>
      </c>
      <c r="C56" s="49">
        <v>74</v>
      </c>
      <c r="D56" s="50">
        <f t="shared" si="0"/>
        <v>5.3473139999999999</v>
      </c>
    </row>
    <row r="57" spans="1:4" x14ac:dyDescent="0.3">
      <c r="A57" s="48">
        <v>114</v>
      </c>
      <c r="B57" s="49">
        <v>91</v>
      </c>
      <c r="C57" s="49">
        <v>89</v>
      </c>
      <c r="D57" s="50">
        <f t="shared" si="0"/>
        <v>0.92328599999999994</v>
      </c>
    </row>
    <row r="58" spans="1:4" x14ac:dyDescent="0.3">
      <c r="A58" s="48">
        <v>168</v>
      </c>
      <c r="B58" s="49">
        <v>137</v>
      </c>
      <c r="C58" s="49">
        <v>24</v>
      </c>
      <c r="D58" s="50">
        <f t="shared" si="0"/>
        <v>0.55238399999999999</v>
      </c>
    </row>
    <row r="59" spans="1:4" x14ac:dyDescent="0.3">
      <c r="A59" s="48">
        <v>404</v>
      </c>
      <c r="B59" s="49">
        <v>351</v>
      </c>
      <c r="C59" s="49">
        <v>135</v>
      </c>
      <c r="D59" s="50">
        <f t="shared" si="0"/>
        <v>19.143539999999998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final_data</vt:lpstr>
      <vt:lpstr>lith_data</vt:lpstr>
      <vt:lpstr>for_calcs</vt:lpstr>
      <vt:lpstr>shape factor</vt:lpstr>
      <vt:lpstr>t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Anderson, Samuel R</cp:lastModifiedBy>
  <dcterms:created xsi:type="dcterms:W3CDTF">2019-02-14T21:19:17Z</dcterms:created>
  <dcterms:modified xsi:type="dcterms:W3CDTF">2023-09-21T13:24:10Z</dcterms:modified>
</cp:coreProperties>
</file>