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am\Documents\Project1_guads\data_publish\"/>
    </mc:Choice>
  </mc:AlternateContent>
  <xr:revisionPtr revIDLastSave="0" documentId="13_ncr:1_{5161EC6E-BA1D-4D24-8376-D61836C2EB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_data (1st campaign)" sheetId="1" r:id="rId1"/>
    <sheet name="final_data (2nd campaign)" sheetId="5" r:id="rId2"/>
    <sheet name="All_data" sheetId="6" r:id="rId3"/>
    <sheet name="lith_data" sheetId="4" r:id="rId4"/>
    <sheet name="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6" l="1"/>
  <c r="M71" i="6"/>
  <c r="N71" i="6"/>
  <c r="O71" i="6"/>
  <c r="P71" i="6"/>
  <c r="Q71" i="6"/>
  <c r="M70" i="6"/>
  <c r="N70" i="6"/>
  <c r="O70" i="6"/>
  <c r="P70" i="6"/>
  <c r="Q70" i="6"/>
  <c r="M69" i="6"/>
  <c r="N69" i="6"/>
  <c r="O69" i="6"/>
  <c r="P69" i="6"/>
  <c r="Q69" i="6"/>
  <c r="M68" i="6"/>
  <c r="N68" i="6"/>
  <c r="O68" i="6"/>
  <c r="P68" i="6"/>
  <c r="Q68" i="6"/>
  <c r="Q67" i="6"/>
  <c r="P67" i="6"/>
  <c r="O67" i="6"/>
  <c r="N67" i="6"/>
  <c r="M67" i="6"/>
  <c r="M66" i="6"/>
  <c r="N66" i="6"/>
  <c r="O66" i="6"/>
  <c r="P66" i="6"/>
  <c r="Q66" i="6"/>
  <c r="M54" i="6"/>
  <c r="N54" i="6"/>
  <c r="O54" i="6"/>
  <c r="P54" i="6"/>
  <c r="Q54" i="6"/>
  <c r="Q53" i="6"/>
  <c r="P53" i="6"/>
  <c r="O53" i="6"/>
  <c r="N53" i="6"/>
  <c r="M53" i="6"/>
  <c r="Q52" i="6"/>
  <c r="P52" i="6"/>
  <c r="O52" i="6"/>
  <c r="N52" i="6"/>
  <c r="M52" i="6"/>
  <c r="Q51" i="6"/>
  <c r="P51" i="6"/>
  <c r="O51" i="6"/>
  <c r="N51" i="6"/>
  <c r="M51" i="6"/>
  <c r="M50" i="6" l="1"/>
  <c r="N50" i="6"/>
  <c r="O50" i="6"/>
  <c r="P50" i="6"/>
  <c r="Q50" i="6"/>
  <c r="M75" i="6"/>
  <c r="N75" i="6"/>
  <c r="O75" i="6"/>
  <c r="P75" i="6"/>
  <c r="Q75" i="6"/>
  <c r="M74" i="6"/>
  <c r="N74" i="6"/>
  <c r="O74" i="6"/>
  <c r="P74" i="6"/>
  <c r="Q74" i="6"/>
  <c r="M73" i="6"/>
  <c r="N73" i="6"/>
  <c r="O73" i="6"/>
  <c r="P73" i="6"/>
  <c r="Q73" i="6"/>
  <c r="Q49" i="6"/>
  <c r="P49" i="6"/>
  <c r="O49" i="6"/>
  <c r="N49" i="6"/>
  <c r="M49" i="6"/>
  <c r="Q48" i="6"/>
  <c r="P48" i="6"/>
  <c r="O48" i="6"/>
  <c r="N48" i="6"/>
  <c r="M48" i="6"/>
  <c r="Q47" i="6"/>
  <c r="P47" i="6"/>
  <c r="O47" i="6"/>
  <c r="N47" i="6"/>
  <c r="M47" i="6"/>
  <c r="Q46" i="6"/>
  <c r="P46" i="6"/>
  <c r="O46" i="6"/>
  <c r="N46" i="6"/>
  <c r="M46" i="6"/>
  <c r="Q45" i="6"/>
  <c r="P45" i="6"/>
  <c r="O45" i="6"/>
  <c r="N45" i="6"/>
  <c r="M45" i="6"/>
  <c r="Q44" i="6"/>
  <c r="P44" i="6"/>
  <c r="O44" i="6"/>
  <c r="N44" i="6"/>
  <c r="M44" i="6"/>
  <c r="Q43" i="6"/>
  <c r="P43" i="6"/>
  <c r="O43" i="6"/>
  <c r="N43" i="6"/>
  <c r="M43" i="6"/>
  <c r="Q42" i="6"/>
  <c r="P42" i="6"/>
  <c r="O42" i="6"/>
  <c r="N42" i="6"/>
  <c r="M42" i="6"/>
  <c r="M41" i="6"/>
  <c r="N41" i="6"/>
  <c r="O41" i="6"/>
  <c r="P41" i="6"/>
  <c r="Q41" i="6"/>
  <c r="M65" i="6" l="1"/>
  <c r="N65" i="6"/>
  <c r="O65" i="6"/>
  <c r="P65" i="6"/>
  <c r="Q65" i="6"/>
  <c r="M64" i="6"/>
  <c r="N64" i="6"/>
  <c r="O64" i="6"/>
  <c r="P64" i="6"/>
  <c r="Q64" i="6"/>
  <c r="M63" i="6"/>
  <c r="N63" i="6"/>
  <c r="O63" i="6"/>
  <c r="P63" i="6"/>
  <c r="Q63" i="6"/>
  <c r="M62" i="6"/>
  <c r="N62" i="6"/>
  <c r="O62" i="6"/>
  <c r="P62" i="6"/>
  <c r="Q62" i="6"/>
  <c r="M61" i="6"/>
  <c r="N61" i="6"/>
  <c r="O61" i="6"/>
  <c r="P61" i="6"/>
  <c r="Q61" i="6"/>
  <c r="Q35" i="6"/>
  <c r="P35" i="6"/>
  <c r="O35" i="6"/>
  <c r="N35" i="6"/>
  <c r="M35" i="6"/>
  <c r="Q38" i="6"/>
  <c r="P38" i="6"/>
  <c r="O38" i="6"/>
  <c r="N38" i="6"/>
  <c r="M38" i="6"/>
  <c r="Q37" i="6"/>
  <c r="P37" i="6"/>
  <c r="O37" i="6"/>
  <c r="N37" i="6"/>
  <c r="M37" i="6"/>
  <c r="Q36" i="6"/>
  <c r="P36" i="6"/>
  <c r="O36" i="6"/>
  <c r="N36" i="6"/>
  <c r="M36" i="6"/>
  <c r="M34" i="6"/>
  <c r="N34" i="6"/>
  <c r="O34" i="6"/>
  <c r="P34" i="6"/>
  <c r="Q34" i="6"/>
  <c r="M33" i="6"/>
  <c r="N33" i="6"/>
  <c r="O33" i="6"/>
  <c r="P33" i="6"/>
  <c r="Q33" i="6"/>
  <c r="M32" i="6"/>
  <c r="N32" i="6"/>
  <c r="O32" i="6"/>
  <c r="P32" i="6"/>
  <c r="Q32" i="6"/>
  <c r="M31" i="6"/>
  <c r="N31" i="6"/>
  <c r="O31" i="6"/>
  <c r="P31" i="6"/>
  <c r="Q31" i="6"/>
  <c r="M30" i="6"/>
  <c r="N30" i="6"/>
  <c r="O30" i="6"/>
  <c r="P30" i="6"/>
  <c r="Q30" i="6"/>
  <c r="M29" i="6"/>
  <c r="N29" i="6"/>
  <c r="O29" i="6"/>
  <c r="P29" i="6"/>
  <c r="Q29" i="6"/>
  <c r="M28" i="6"/>
  <c r="N28" i="6"/>
  <c r="O28" i="6"/>
  <c r="P28" i="6"/>
  <c r="Q28" i="6"/>
  <c r="M27" i="6"/>
  <c r="N27" i="6"/>
  <c r="O27" i="6"/>
  <c r="P27" i="6"/>
  <c r="Q27" i="6"/>
  <c r="E67" i="4"/>
  <c r="E66" i="4"/>
  <c r="E65" i="4"/>
  <c r="E64" i="4"/>
  <c r="E63" i="4"/>
  <c r="E62" i="4"/>
  <c r="E61" i="4"/>
  <c r="E60" i="4"/>
  <c r="E59" i="4"/>
  <c r="E58" i="4"/>
  <c r="M60" i="6"/>
  <c r="N60" i="6"/>
  <c r="O60" i="6"/>
  <c r="P60" i="6"/>
  <c r="Q60" i="6"/>
  <c r="M26" i="6"/>
  <c r="N26" i="6"/>
  <c r="O26" i="6"/>
  <c r="P26" i="6"/>
  <c r="Q26" i="6"/>
  <c r="M25" i="6"/>
  <c r="N25" i="6"/>
  <c r="O25" i="6"/>
  <c r="P25" i="6"/>
  <c r="Q25" i="6"/>
  <c r="M24" i="6"/>
  <c r="N24" i="6"/>
  <c r="O24" i="6"/>
  <c r="P24" i="6"/>
  <c r="Q24" i="6"/>
  <c r="M23" i="6"/>
  <c r="N23" i="6"/>
  <c r="O23" i="6"/>
  <c r="P23" i="6"/>
  <c r="Q23" i="6"/>
  <c r="M22" i="6"/>
  <c r="N22" i="6"/>
  <c r="O22" i="6"/>
  <c r="P22" i="6"/>
  <c r="Q22" i="6"/>
  <c r="M21" i="6"/>
  <c r="N21" i="6"/>
  <c r="O21" i="6"/>
  <c r="P21" i="6"/>
  <c r="Q21" i="6"/>
  <c r="M20" i="6"/>
  <c r="N20" i="6"/>
  <c r="O20" i="6"/>
  <c r="P20" i="6"/>
  <c r="Q20" i="6"/>
  <c r="M19" i="6"/>
  <c r="N19" i="6"/>
  <c r="O19" i="6"/>
  <c r="P19" i="6"/>
  <c r="Q19" i="6"/>
  <c r="M59" i="6"/>
  <c r="N59" i="6"/>
  <c r="O59" i="6"/>
  <c r="P59" i="6"/>
  <c r="Q59" i="6"/>
  <c r="M58" i="6"/>
  <c r="N58" i="6"/>
  <c r="O58" i="6"/>
  <c r="P58" i="6"/>
  <c r="Q58" i="6"/>
  <c r="M18" i="6"/>
  <c r="N18" i="6"/>
  <c r="O18" i="6"/>
  <c r="P18" i="6"/>
  <c r="Q18" i="6"/>
  <c r="M17" i="6"/>
  <c r="N17" i="6"/>
  <c r="O17" i="6"/>
  <c r="P17" i="6"/>
  <c r="Q17" i="6"/>
  <c r="M16" i="6"/>
  <c r="N16" i="6"/>
  <c r="O16" i="6"/>
  <c r="P16" i="6"/>
  <c r="Q16" i="6"/>
  <c r="M15" i="6"/>
  <c r="N15" i="6"/>
  <c r="O15" i="6"/>
  <c r="P15" i="6"/>
  <c r="Q15" i="6"/>
  <c r="M14" i="6"/>
  <c r="N14" i="6"/>
  <c r="O14" i="6"/>
  <c r="P14" i="6"/>
  <c r="Q14" i="6"/>
  <c r="M13" i="6"/>
  <c r="N13" i="6"/>
  <c r="O13" i="6"/>
  <c r="P13" i="6"/>
  <c r="Q13" i="6"/>
  <c r="M12" i="6"/>
  <c r="N12" i="6"/>
  <c r="O12" i="6"/>
  <c r="P12" i="6"/>
  <c r="Q12" i="6"/>
  <c r="M11" i="6"/>
  <c r="N11" i="6"/>
  <c r="O11" i="6"/>
  <c r="P11" i="6"/>
  <c r="Q11" i="6"/>
  <c r="M10" i="6"/>
  <c r="N10" i="6"/>
  <c r="O10" i="6"/>
  <c r="P10" i="6"/>
  <c r="Q10" i="6"/>
  <c r="M9" i="6"/>
  <c r="N9" i="6"/>
  <c r="O9" i="6"/>
  <c r="P9" i="6"/>
  <c r="Q9" i="6"/>
  <c r="M8" i="6"/>
  <c r="N8" i="6"/>
  <c r="O8" i="6"/>
  <c r="P8" i="6"/>
  <c r="Q8" i="6"/>
  <c r="M7" i="6"/>
  <c r="N7" i="6"/>
  <c r="O7" i="6"/>
  <c r="P7" i="6"/>
  <c r="Q7" i="6"/>
  <c r="M5" i="6" l="1"/>
  <c r="N5" i="6"/>
  <c r="O5" i="6"/>
  <c r="P5" i="6"/>
  <c r="Q5" i="6"/>
  <c r="M4" i="6"/>
  <c r="N4" i="6"/>
  <c r="O4" i="6"/>
  <c r="P4" i="6"/>
  <c r="Q4" i="6"/>
  <c r="E34" i="6"/>
  <c r="F34" i="6"/>
  <c r="G34" i="6"/>
  <c r="H34" i="6"/>
  <c r="I34" i="6"/>
  <c r="J34" i="6"/>
  <c r="K34" i="6"/>
  <c r="E35" i="6"/>
  <c r="F35" i="6"/>
  <c r="G35" i="6"/>
  <c r="H35" i="6"/>
  <c r="I35" i="6"/>
  <c r="J35" i="6"/>
  <c r="K35" i="6"/>
  <c r="E36" i="6"/>
  <c r="F36" i="6"/>
  <c r="G36" i="6"/>
  <c r="H36" i="6"/>
  <c r="I36" i="6"/>
  <c r="J36" i="6"/>
  <c r="K36" i="6"/>
  <c r="E37" i="6"/>
  <c r="F37" i="6"/>
  <c r="G37" i="6"/>
  <c r="H37" i="6"/>
  <c r="I37" i="6"/>
  <c r="J37" i="6"/>
  <c r="K37" i="6"/>
  <c r="E38" i="6"/>
  <c r="F38" i="6"/>
  <c r="G38" i="6"/>
  <c r="H38" i="6"/>
  <c r="I38" i="6"/>
  <c r="J38" i="6"/>
  <c r="K38" i="6"/>
  <c r="K33" i="6"/>
  <c r="J33" i="6"/>
  <c r="I33" i="6"/>
  <c r="H33" i="6"/>
  <c r="G33" i="6"/>
  <c r="F33" i="6"/>
  <c r="E33" i="6"/>
  <c r="E28" i="6"/>
  <c r="F28" i="6"/>
  <c r="G28" i="6"/>
  <c r="H28" i="6"/>
  <c r="I28" i="6"/>
  <c r="J28" i="6"/>
  <c r="K28" i="6"/>
  <c r="E29" i="6"/>
  <c r="F29" i="6"/>
  <c r="G29" i="6"/>
  <c r="H29" i="6"/>
  <c r="I29" i="6"/>
  <c r="J29" i="6"/>
  <c r="K29" i="6"/>
  <c r="E30" i="6"/>
  <c r="F30" i="6"/>
  <c r="G30" i="6"/>
  <c r="H30" i="6"/>
  <c r="I30" i="6"/>
  <c r="J30" i="6"/>
  <c r="K30" i="6"/>
  <c r="K27" i="6"/>
  <c r="J27" i="6"/>
  <c r="I27" i="6"/>
  <c r="H27" i="6"/>
  <c r="G27" i="6"/>
  <c r="F27" i="6"/>
  <c r="E27" i="6"/>
  <c r="K25" i="6"/>
  <c r="J25" i="6"/>
  <c r="I25" i="6"/>
  <c r="G25" i="6"/>
  <c r="F25" i="6"/>
  <c r="E25" i="6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59" i="6"/>
  <c r="F59" i="6"/>
  <c r="G59" i="6"/>
  <c r="H59" i="6"/>
  <c r="I59" i="6"/>
  <c r="J59" i="6"/>
  <c r="K59" i="6"/>
  <c r="E60" i="6"/>
  <c r="F60" i="6"/>
  <c r="G60" i="6"/>
  <c r="H60" i="6"/>
  <c r="I60" i="6"/>
  <c r="J60" i="6"/>
  <c r="K60" i="6"/>
  <c r="E61" i="6"/>
  <c r="F61" i="6"/>
  <c r="G61" i="6"/>
  <c r="H61" i="6"/>
  <c r="I61" i="6"/>
  <c r="J61" i="6"/>
  <c r="K61" i="6"/>
  <c r="E62" i="6"/>
  <c r="F62" i="6"/>
  <c r="G62" i="6"/>
  <c r="H62" i="6"/>
  <c r="I62" i="6"/>
  <c r="J62" i="6"/>
  <c r="K62" i="6"/>
  <c r="E63" i="6"/>
  <c r="F63" i="6"/>
  <c r="G63" i="6"/>
  <c r="H63" i="6"/>
  <c r="I63" i="6"/>
  <c r="J63" i="6"/>
  <c r="K63" i="6"/>
  <c r="E64" i="6"/>
  <c r="F64" i="6"/>
  <c r="G64" i="6"/>
  <c r="H64" i="6"/>
  <c r="I64" i="6"/>
  <c r="J64" i="6"/>
  <c r="K64" i="6"/>
  <c r="E65" i="6"/>
  <c r="F65" i="6"/>
  <c r="G65" i="6"/>
  <c r="H65" i="6"/>
  <c r="I65" i="6"/>
  <c r="J65" i="6"/>
  <c r="K65" i="6"/>
  <c r="E66" i="6"/>
  <c r="F66" i="6"/>
  <c r="G66" i="6"/>
  <c r="H66" i="6"/>
  <c r="I66" i="6"/>
  <c r="J66" i="6"/>
  <c r="K66" i="6"/>
  <c r="E67" i="6"/>
  <c r="F67" i="6"/>
  <c r="G67" i="6"/>
  <c r="H67" i="6"/>
  <c r="I67" i="6"/>
  <c r="J67" i="6"/>
  <c r="K67" i="6"/>
  <c r="E68" i="6"/>
  <c r="F68" i="6"/>
  <c r="G68" i="6"/>
  <c r="H68" i="6"/>
  <c r="I68" i="6"/>
  <c r="J68" i="6"/>
  <c r="K68" i="6"/>
  <c r="E69" i="6"/>
  <c r="F69" i="6"/>
  <c r="G69" i="6"/>
  <c r="H69" i="6"/>
  <c r="I69" i="6"/>
  <c r="J69" i="6"/>
  <c r="K69" i="6"/>
  <c r="E70" i="6"/>
  <c r="F70" i="6"/>
  <c r="G70" i="6"/>
  <c r="H70" i="6"/>
  <c r="I70" i="6"/>
  <c r="J70" i="6"/>
  <c r="K70" i="6"/>
  <c r="E71" i="6"/>
  <c r="F71" i="6"/>
  <c r="G71" i="6"/>
  <c r="H71" i="6"/>
  <c r="I71" i="6"/>
  <c r="J71" i="6"/>
  <c r="K71" i="6"/>
  <c r="E72" i="6"/>
  <c r="F72" i="6"/>
  <c r="G72" i="6"/>
  <c r="H72" i="6"/>
  <c r="I72" i="6"/>
  <c r="J72" i="6"/>
  <c r="K72" i="6"/>
  <c r="E73" i="6"/>
  <c r="F73" i="6"/>
  <c r="G73" i="6"/>
  <c r="H73" i="6"/>
  <c r="I73" i="6"/>
  <c r="J73" i="6"/>
  <c r="K73" i="6"/>
  <c r="E74" i="6"/>
  <c r="F74" i="6"/>
  <c r="G74" i="6"/>
  <c r="H74" i="6"/>
  <c r="I74" i="6"/>
  <c r="J74" i="6"/>
  <c r="K74" i="6"/>
  <c r="E75" i="6"/>
  <c r="F75" i="6"/>
  <c r="G75" i="6"/>
  <c r="H75" i="6"/>
  <c r="I75" i="6"/>
  <c r="J75" i="6"/>
  <c r="K75" i="6"/>
  <c r="K58" i="6"/>
  <c r="J58" i="6"/>
  <c r="I58" i="6"/>
  <c r="H58" i="6"/>
  <c r="G58" i="6"/>
  <c r="F58" i="6"/>
  <c r="E58" i="6"/>
  <c r="E5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50" i="6" l="1"/>
  <c r="F50" i="6"/>
  <c r="G50" i="6"/>
  <c r="H50" i="6"/>
  <c r="I50" i="6"/>
  <c r="J50" i="6"/>
  <c r="K50" i="6"/>
  <c r="E51" i="6"/>
  <c r="F51" i="6"/>
  <c r="G51" i="6"/>
  <c r="H51" i="6"/>
  <c r="I51" i="6"/>
  <c r="J51" i="6"/>
  <c r="K51" i="6"/>
  <c r="E52" i="6"/>
  <c r="F52" i="6"/>
  <c r="G52" i="6"/>
  <c r="H52" i="6"/>
  <c r="I52" i="6"/>
  <c r="J52" i="6"/>
  <c r="K52" i="6"/>
  <c r="E53" i="6"/>
  <c r="F53" i="6"/>
  <c r="G53" i="6"/>
  <c r="H53" i="6"/>
  <c r="I53" i="6"/>
  <c r="J53" i="6"/>
  <c r="K53" i="6"/>
  <c r="F54" i="6"/>
  <c r="G54" i="6"/>
  <c r="H54" i="6"/>
  <c r="I54" i="6"/>
  <c r="J54" i="6"/>
  <c r="K54" i="6"/>
  <c r="K49" i="6"/>
  <c r="J49" i="6"/>
  <c r="I49" i="6"/>
  <c r="H49" i="6"/>
  <c r="G49" i="6"/>
  <c r="F49" i="6"/>
  <c r="E49" i="6"/>
  <c r="K32" i="6"/>
  <c r="K39" i="6"/>
  <c r="K40" i="6"/>
  <c r="J32" i="6"/>
  <c r="J39" i="6"/>
  <c r="J40" i="6"/>
  <c r="I32" i="6"/>
  <c r="I39" i="6"/>
  <c r="I40" i="6"/>
  <c r="H32" i="6"/>
  <c r="H39" i="6"/>
  <c r="H40" i="6"/>
  <c r="G32" i="6"/>
  <c r="G39" i="6"/>
  <c r="G40" i="6"/>
  <c r="F32" i="6"/>
  <c r="F39" i="6"/>
  <c r="F40" i="6"/>
  <c r="E32" i="6"/>
  <c r="E39" i="6"/>
  <c r="E40" i="6"/>
  <c r="K31" i="6"/>
  <c r="J31" i="6"/>
  <c r="I31" i="6"/>
  <c r="H31" i="6"/>
  <c r="G31" i="6"/>
  <c r="F31" i="6"/>
  <c r="E31" i="6"/>
  <c r="K42" i="6"/>
  <c r="K43" i="6"/>
  <c r="K44" i="6"/>
  <c r="K45" i="6"/>
  <c r="K46" i="6"/>
  <c r="K47" i="6"/>
  <c r="K48" i="6"/>
  <c r="J42" i="6"/>
  <c r="J43" i="6"/>
  <c r="J44" i="6"/>
  <c r="J45" i="6"/>
  <c r="J46" i="6"/>
  <c r="J47" i="6"/>
  <c r="J48" i="6"/>
  <c r="I42" i="6"/>
  <c r="I43" i="6"/>
  <c r="I44" i="6"/>
  <c r="I45" i="6"/>
  <c r="I46" i="6"/>
  <c r="I47" i="6"/>
  <c r="I48" i="6"/>
  <c r="H42" i="6"/>
  <c r="H43" i="6"/>
  <c r="H44" i="6"/>
  <c r="H45" i="6"/>
  <c r="H46" i="6"/>
  <c r="H47" i="6"/>
  <c r="H48" i="6"/>
  <c r="G42" i="6"/>
  <c r="G43" i="6"/>
  <c r="G44" i="6"/>
  <c r="G45" i="6"/>
  <c r="G46" i="6"/>
  <c r="G47" i="6"/>
  <c r="G48" i="6"/>
  <c r="F42" i="6"/>
  <c r="F43" i="6"/>
  <c r="F44" i="6"/>
  <c r="F45" i="6"/>
  <c r="F46" i="6"/>
  <c r="F47" i="6"/>
  <c r="F48" i="6"/>
  <c r="K41" i="6"/>
  <c r="J41" i="6"/>
  <c r="I41" i="6"/>
  <c r="H41" i="6"/>
  <c r="G41" i="6"/>
  <c r="F41" i="6"/>
  <c r="E42" i="6"/>
  <c r="E43" i="6"/>
  <c r="E44" i="6"/>
  <c r="E45" i="6"/>
  <c r="E46" i="6"/>
  <c r="E47" i="6"/>
  <c r="E48" i="6"/>
  <c r="E41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K4" i="6"/>
  <c r="J4" i="6"/>
  <c r="I4" i="6"/>
  <c r="H4" i="6"/>
  <c r="G4" i="6"/>
  <c r="F4" i="6"/>
  <c r="E4" i="6"/>
  <c r="K26" i="6"/>
  <c r="K24" i="6"/>
  <c r="K23" i="6"/>
  <c r="K22" i="6"/>
  <c r="K21" i="6"/>
  <c r="K20" i="6"/>
  <c r="J26" i="6"/>
  <c r="J24" i="6"/>
  <c r="J23" i="6"/>
  <c r="J22" i="6"/>
  <c r="J21" i="6"/>
  <c r="J20" i="6"/>
  <c r="I26" i="6"/>
  <c r="I24" i="6"/>
  <c r="I23" i="6"/>
  <c r="I22" i="6"/>
  <c r="I21" i="6"/>
  <c r="I20" i="6"/>
  <c r="H26" i="6"/>
  <c r="H24" i="6"/>
  <c r="H23" i="6"/>
  <c r="H22" i="6"/>
  <c r="H21" i="6"/>
  <c r="H20" i="6"/>
  <c r="G26" i="6"/>
  <c r="G24" i="6"/>
  <c r="G23" i="6"/>
  <c r="G22" i="6"/>
  <c r="G21" i="6"/>
  <c r="G20" i="6"/>
  <c r="E20" i="6"/>
  <c r="E23" i="6"/>
  <c r="F26" i="6"/>
  <c r="F24" i="6"/>
  <c r="F23" i="6"/>
  <c r="F22" i="6"/>
  <c r="F21" i="6"/>
  <c r="F20" i="6"/>
  <c r="E26" i="6"/>
  <c r="E24" i="6"/>
  <c r="E22" i="6"/>
  <c r="E21" i="6"/>
  <c r="K19" i="6" l="1"/>
  <c r="J19" i="6"/>
  <c r="I19" i="6"/>
  <c r="H19" i="6"/>
  <c r="G19" i="6"/>
  <c r="F19" i="6"/>
  <c r="E19" i="6"/>
  <c r="B31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E23" i="4"/>
  <c r="B25" i="5" s="1"/>
  <c r="E43" i="4"/>
  <c r="B34" i="5" s="1"/>
  <c r="B32" i="5"/>
  <c r="E42" i="4"/>
  <c r="B33" i="5" s="1"/>
  <c r="E57" i="4"/>
  <c r="B48" i="5" s="1"/>
  <c r="E52" i="4"/>
  <c r="B43" i="5" s="1"/>
  <c r="E53" i="4"/>
  <c r="B44" i="5" s="1"/>
  <c r="E56" i="4"/>
  <c r="B47" i="5" s="1"/>
  <c r="E49" i="4"/>
  <c r="B40" i="5" s="1"/>
  <c r="E48" i="4"/>
  <c r="B39" i="5" s="1"/>
  <c r="E50" i="4"/>
  <c r="B41" i="5" s="1"/>
  <c r="E51" i="4"/>
  <c r="B42" i="5" s="1"/>
  <c r="E47" i="4"/>
  <c r="B38" i="5" s="1"/>
  <c r="E46" i="4"/>
  <c r="B37" i="5" s="1"/>
  <c r="E44" i="4"/>
  <c r="B35" i="5" s="1"/>
  <c r="E45" i="4"/>
  <c r="B36" i="5" s="1"/>
  <c r="E55" i="4"/>
  <c r="B46" i="5" s="1"/>
  <c r="E54" i="4"/>
  <c r="B45" i="5" s="1"/>
  <c r="E26" i="4"/>
  <c r="B28" i="5" s="1"/>
  <c r="E25" i="4"/>
  <c r="B27" i="5" s="1"/>
  <c r="E27" i="4"/>
  <c r="B29" i="5" s="1"/>
  <c r="B30" i="5"/>
  <c r="E24" i="4"/>
  <c r="B26" i="5" s="1"/>
  <c r="E21" i="4"/>
  <c r="B23" i="5" s="1"/>
  <c r="E22" i="4"/>
  <c r="B24" i="5" s="1"/>
  <c r="E18" i="4"/>
  <c r="B20" i="5" s="1"/>
  <c r="E19" i="4"/>
  <c r="B21" i="5" s="1"/>
  <c r="E20" i="4"/>
  <c r="B22" i="5" s="1"/>
  <c r="E17" i="4"/>
  <c r="B19" i="5" s="1"/>
  <c r="E6" i="4"/>
  <c r="B8" i="5" s="1"/>
  <c r="E2" i="4"/>
  <c r="E12" i="4"/>
  <c r="B14" i="5" s="1"/>
  <c r="E15" i="4"/>
  <c r="B17" i="5" s="1"/>
  <c r="E4" i="4"/>
  <c r="B6" i="5" s="1"/>
  <c r="E7" i="4"/>
  <c r="B9" i="5" s="1"/>
  <c r="E11" i="4"/>
  <c r="B13" i="5" s="1"/>
  <c r="E16" i="4"/>
  <c r="B18" i="5" s="1"/>
  <c r="E9" i="4"/>
  <c r="B11" i="5" s="1"/>
  <c r="E13" i="4"/>
  <c r="B15" i="5" s="1"/>
  <c r="E5" i="4"/>
  <c r="B7" i="5" s="1"/>
  <c r="E3" i="4"/>
  <c r="B5" i="5" s="1"/>
  <c r="E14" i="4"/>
  <c r="B16" i="5" s="1"/>
  <c r="E8" i="4"/>
  <c r="B10" i="5" s="1"/>
  <c r="E10" i="4"/>
  <c r="A4" i="5"/>
  <c r="B4" i="5" l="1"/>
  <c r="B12" i="5"/>
</calcChain>
</file>

<file path=xl/sharedStrings.xml><?xml version="1.0" encoding="utf-8"?>
<sst xmlns="http://schemas.openxmlformats.org/spreadsheetml/2006/main" count="349" uniqueCount="141">
  <si>
    <t>Reach</t>
  </si>
  <si>
    <t>LC3.1</t>
  </si>
  <si>
    <t>LC3.2</t>
  </si>
  <si>
    <t>LC3.8</t>
  </si>
  <si>
    <t>LC1.6</t>
  </si>
  <si>
    <t>LC5.3</t>
  </si>
  <si>
    <t>LC5.1</t>
  </si>
  <si>
    <t>LC1.5</t>
  </si>
  <si>
    <t>LC2.5</t>
  </si>
  <si>
    <t>LC7.3</t>
  </si>
  <si>
    <t>LC7.4</t>
  </si>
  <si>
    <t>LC7.5</t>
  </si>
  <si>
    <t>LC3.4</t>
  </si>
  <si>
    <t>LC3.7</t>
  </si>
  <si>
    <t>LC5.7</t>
  </si>
  <si>
    <t>LC5.8a</t>
  </si>
  <si>
    <t>LC5.8b</t>
  </si>
  <si>
    <t>LC5.5</t>
  </si>
  <si>
    <t>LC5.4</t>
  </si>
  <si>
    <t>%Carb</t>
  </si>
  <si>
    <t>Ksn</t>
  </si>
  <si>
    <t>SH Mean</t>
  </si>
  <si>
    <t>SH Median</t>
  </si>
  <si>
    <t>FracIntensity (m^-1)</t>
  </si>
  <si>
    <t>Dol</t>
  </si>
  <si>
    <t>carb</t>
  </si>
  <si>
    <t>SS</t>
  </si>
  <si>
    <t>Carb</t>
  </si>
  <si>
    <t>Clay</t>
  </si>
  <si>
    <t>yes</t>
  </si>
  <si>
    <t>no</t>
  </si>
  <si>
    <t>Relative amount of clay</t>
  </si>
  <si>
    <t>little</t>
  </si>
  <si>
    <t>more</t>
  </si>
  <si>
    <t>Schmidt Hammer Data</t>
  </si>
  <si>
    <t>Rock Properties</t>
  </si>
  <si>
    <t>Geometry</t>
  </si>
  <si>
    <t>Lithology</t>
  </si>
  <si>
    <t>Dol, some qtz</t>
  </si>
  <si>
    <t>Lith (XRD)</t>
  </si>
  <si>
    <t>Dol, lots of calcite</t>
  </si>
  <si>
    <t>Local Slope</t>
  </si>
  <si>
    <t>sample #</t>
  </si>
  <si>
    <t>beaker weight (g)</t>
  </si>
  <si>
    <t>beaker + undissolved sample weight (g)</t>
  </si>
  <si>
    <t>beaker + dissolved sample weight (g)</t>
  </si>
  <si>
    <t>% Carb</t>
  </si>
  <si>
    <t>LC110</t>
  </si>
  <si>
    <t>LC114</t>
  </si>
  <si>
    <t>LC105</t>
  </si>
  <si>
    <t>LC101</t>
  </si>
  <si>
    <t>LC115</t>
  </si>
  <si>
    <t>LC108</t>
  </si>
  <si>
    <t>LC109</t>
  </si>
  <si>
    <t>LC120</t>
  </si>
  <si>
    <t>LC111</t>
  </si>
  <si>
    <t>LC107</t>
  </si>
  <si>
    <t>LC104</t>
  </si>
  <si>
    <t>LC116.HS</t>
  </si>
  <si>
    <t>LC113</t>
  </si>
  <si>
    <t>LC100</t>
  </si>
  <si>
    <t>LC106</t>
  </si>
  <si>
    <t>LC2.4</t>
  </si>
  <si>
    <t>LC2.9</t>
  </si>
  <si>
    <t>LC2.8</t>
  </si>
  <si>
    <t>LC2.7</t>
  </si>
  <si>
    <t>LC202</t>
  </si>
  <si>
    <t>LC201</t>
  </si>
  <si>
    <t>LC204.5</t>
  </si>
  <si>
    <t>LC209.5</t>
  </si>
  <si>
    <t>LC207</t>
  </si>
  <si>
    <t>LC205</t>
  </si>
  <si>
    <t>LC206</t>
  </si>
  <si>
    <t>LC505</t>
  </si>
  <si>
    <t>LC506</t>
  </si>
  <si>
    <t>LC405</t>
  </si>
  <si>
    <t>LC404</t>
  </si>
  <si>
    <t>LC406</t>
  </si>
  <si>
    <t>LC407</t>
  </si>
  <si>
    <t>LC412</t>
  </si>
  <si>
    <t>LC411</t>
  </si>
  <si>
    <t>LC408</t>
  </si>
  <si>
    <t>LC410</t>
  </si>
  <si>
    <t>LC507</t>
  </si>
  <si>
    <t>LC504</t>
  </si>
  <si>
    <t>LC500</t>
  </si>
  <si>
    <t>LC509</t>
  </si>
  <si>
    <t>LC319</t>
  </si>
  <si>
    <t>LC304</t>
  </si>
  <si>
    <t>LC203</t>
  </si>
  <si>
    <t>LC305</t>
  </si>
  <si>
    <t>10m</t>
  </si>
  <si>
    <t>20m</t>
  </si>
  <si>
    <t>Channel section</t>
  </si>
  <si>
    <t>40m</t>
  </si>
  <si>
    <t>Relief (m)</t>
  </si>
  <si>
    <t>60m</t>
  </si>
  <si>
    <t>100m</t>
  </si>
  <si>
    <t>point</t>
  </si>
  <si>
    <t>max</t>
  </si>
  <si>
    <t>min</t>
  </si>
  <si>
    <t>200m</t>
  </si>
  <si>
    <t>300m</t>
  </si>
  <si>
    <t>to all data</t>
  </si>
  <si>
    <t>2.8.5</t>
  </si>
  <si>
    <t>red</t>
  </si>
  <si>
    <t>missing</t>
  </si>
  <si>
    <t>orange</t>
  </si>
  <si>
    <t>incomplete</t>
  </si>
  <si>
    <t>yellow</t>
  </si>
  <si>
    <t>off map</t>
  </si>
  <si>
    <t>% Sediment cover in channel at different windows</t>
  </si>
  <si>
    <t>Drainage area</t>
  </si>
  <si>
    <t>REMEMBER THE CHANNELS FROM THE 1st CAMPAIGN</t>
  </si>
  <si>
    <t>green</t>
  </si>
  <si>
    <t>delete</t>
  </si>
  <si>
    <t>LC301</t>
  </si>
  <si>
    <t>LC303</t>
  </si>
  <si>
    <t>LC306</t>
  </si>
  <si>
    <t>LC300</t>
  </si>
  <si>
    <t>LC208</t>
  </si>
  <si>
    <t>LC318</t>
  </si>
  <si>
    <t>LC302</t>
  </si>
  <si>
    <t>LC310</t>
  </si>
  <si>
    <t>LC307</t>
  </si>
  <si>
    <t>LC313</t>
  </si>
  <si>
    <t>LC311</t>
  </si>
  <si>
    <t>LC504 (5.2)</t>
  </si>
  <si>
    <t>LC506r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</si>
  <si>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</si>
  <si>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</si>
  <si>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</si>
  <si>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</si>
  <si>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</si>
  <si>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</si>
  <si>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</si>
  <si>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</si>
  <si>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</si>
  <si>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both are carb</t>
  </si>
  <si>
    <t>Steepness</t>
  </si>
  <si>
    <t>Clay (XRD)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</si>
</sst>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2" fontId="0" fillId="0" borderId="0" xfId="0" applyNumberFormat="1"/>
    <xf numFmtId="2" fontId="1" fillId="0" borderId="4" xfId="0" applyNumberFormat="1" applyFont="1" applyBorder="1"/>
    <xf numFmtId="2" fontId="1" fillId="0" borderId="6" xfId="0" applyNumberFormat="1" applyFont="1" applyBorder="1"/>
    <xf numFmtId="2" fontId="0" fillId="0" borderId="4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9" xfId="0" applyBorder="1"/>
    <xf numFmtId="0" fontId="0" fillId="12" borderId="0" xfId="0" applyFill="1"/>
    <xf numFmtId="0" fontId="0" fillId="5" borderId="9" xfId="0" applyFill="1" applyBorder="1"/>
    <xf numFmtId="0" fontId="0" fillId="12" borderId="9" xfId="0" applyFill="1" applyBorder="1"/>
    <xf numFmtId="0" fontId="3" fillId="0" borderId="0" xfId="0" applyFont="1"/>
    <xf numFmtId="0" fontId="4" fillId="0" borderId="0" xfId="0" applyFont="1"/>
    <xf numFmtId="0" fontId="0" fillId="13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80" zoomScaleNormal="8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RowHeight="14.4" x14ac:dyDescent="0.3"/>
  <cols>
    <col min="1" max="1" width="8.21875" customWidth="1"/>
    <col min="2" max="2" width="18.77734375" style="5" customWidth="1"/>
    <col min="3" max="3" width="11.44140625" customWidth="1"/>
    <col min="4" max="4" width="12.77734375" style="6" customWidth="1"/>
    <col min="5" max="5" width="11" bestFit="1" customWidth="1"/>
    <col min="6" max="6" width="8.77734375" style="5"/>
    <col min="7" max="7" width="15.44140625" bestFit="1" customWidth="1"/>
    <col min="8" max="8" width="9.88671875" bestFit="1" customWidth="1"/>
    <col min="9" max="9" width="21.21875" bestFit="1" customWidth="1"/>
  </cols>
  <sheetData>
    <row r="1" spans="1:9" s="7" customFormat="1" x14ac:dyDescent="0.3">
      <c r="B1" s="33" t="s">
        <v>35</v>
      </c>
      <c r="C1" s="34"/>
      <c r="D1" s="35"/>
      <c r="E1" s="34"/>
      <c r="F1" s="33" t="s">
        <v>37</v>
      </c>
      <c r="G1" s="34"/>
      <c r="H1" s="34"/>
      <c r="I1" s="35"/>
    </row>
    <row r="2" spans="1:9" s="1" customFormat="1" x14ac:dyDescent="0.3">
      <c r="A2" s="1" t="s">
        <v>0</v>
      </c>
      <c r="B2" s="3" t="s">
        <v>23</v>
      </c>
      <c r="C2" s="1" t="s">
        <v>34</v>
      </c>
      <c r="D2" s="4"/>
      <c r="E2" s="1" t="s">
        <v>139</v>
      </c>
      <c r="F2" s="3" t="s">
        <v>19</v>
      </c>
      <c r="G2" s="1" t="s">
        <v>39</v>
      </c>
      <c r="H2" s="1" t="s">
        <v>140</v>
      </c>
      <c r="I2" s="1" t="s">
        <v>31</v>
      </c>
    </row>
    <row r="3" spans="1:9" s="11" customFormat="1" x14ac:dyDescent="0.3">
      <c r="A3" s="9"/>
      <c r="B3" s="8"/>
      <c r="C3" s="9" t="s">
        <v>21</v>
      </c>
      <c r="D3" s="10" t="s">
        <v>22</v>
      </c>
      <c r="E3" s="9"/>
      <c r="F3" s="8"/>
      <c r="G3" s="9"/>
      <c r="H3" s="9"/>
      <c r="I3" s="9"/>
    </row>
    <row r="5" spans="1:9" x14ac:dyDescent="0.3">
      <c r="A5" s="2" t="s">
        <v>7</v>
      </c>
      <c r="B5" s="5">
        <v>1.7888999999999999</v>
      </c>
      <c r="C5">
        <v>39.299999999999997</v>
      </c>
      <c r="D5" s="6">
        <v>42</v>
      </c>
      <c r="E5">
        <v>63.409033000000001</v>
      </c>
      <c r="F5" s="5">
        <v>98.752955453727466</v>
      </c>
      <c r="G5" t="s">
        <v>24</v>
      </c>
    </row>
    <row r="6" spans="1:9" x14ac:dyDescent="0.3">
      <c r="A6" s="1" t="s">
        <v>4</v>
      </c>
      <c r="B6" s="5">
        <v>1.6960999999999999</v>
      </c>
      <c r="C6">
        <v>45.333329999999997</v>
      </c>
      <c r="D6" s="6">
        <v>46</v>
      </c>
      <c r="E6">
        <v>63.409033000000001</v>
      </c>
      <c r="F6" s="5">
        <v>76.694251845224755</v>
      </c>
      <c r="G6" t="s">
        <v>27</v>
      </c>
    </row>
    <row r="7" spans="1:9" x14ac:dyDescent="0.3">
      <c r="A7" s="1"/>
    </row>
    <row r="8" spans="1:9" x14ac:dyDescent="0.3">
      <c r="A8" s="1" t="s">
        <v>8</v>
      </c>
      <c r="B8" s="5">
        <v>2.9965999999999999</v>
      </c>
      <c r="C8">
        <v>31.5</v>
      </c>
      <c r="D8" s="6">
        <v>31.5</v>
      </c>
      <c r="E8">
        <v>32.665928999999998</v>
      </c>
      <c r="F8" s="5">
        <v>98.110526517915474</v>
      </c>
      <c r="G8" t="s">
        <v>25</v>
      </c>
    </row>
    <row r="9" spans="1:9" x14ac:dyDescent="0.3">
      <c r="A9" s="1"/>
    </row>
    <row r="10" spans="1:9" x14ac:dyDescent="0.3">
      <c r="A10" s="1" t="s">
        <v>1</v>
      </c>
      <c r="B10" s="5">
        <v>4.9977999999999998</v>
      </c>
      <c r="C10">
        <v>44.166666669999998</v>
      </c>
      <c r="D10" s="6">
        <v>46</v>
      </c>
      <c r="E10">
        <v>66.754755000000003</v>
      </c>
      <c r="F10" s="5">
        <v>92.966667622022854</v>
      </c>
      <c r="G10" t="s">
        <v>24</v>
      </c>
      <c r="H10" t="s">
        <v>30</v>
      </c>
    </row>
    <row r="11" spans="1:9" x14ac:dyDescent="0.3">
      <c r="A11" s="1" t="s">
        <v>2</v>
      </c>
      <c r="B11" s="5">
        <v>13.0229</v>
      </c>
      <c r="C11">
        <v>27.161290000000001</v>
      </c>
      <c r="D11" s="6">
        <v>28</v>
      </c>
      <c r="E11">
        <v>118.65309999999999</v>
      </c>
      <c r="F11" s="5">
        <v>23.049095607235198</v>
      </c>
      <c r="G11" t="s">
        <v>26</v>
      </c>
      <c r="H11" t="s">
        <v>29</v>
      </c>
    </row>
    <row r="12" spans="1:9" x14ac:dyDescent="0.3">
      <c r="A12" s="1" t="s">
        <v>12</v>
      </c>
      <c r="B12" s="5">
        <v>2.5943000000000001</v>
      </c>
      <c r="C12">
        <v>32.533333300000002</v>
      </c>
      <c r="D12" s="6">
        <v>34.5</v>
      </c>
      <c r="E12">
        <v>118.653122</v>
      </c>
      <c r="F12" s="5">
        <v>62.50453175982291</v>
      </c>
      <c r="G12" t="s">
        <v>40</v>
      </c>
      <c r="H12" t="s">
        <v>29</v>
      </c>
    </row>
    <row r="13" spans="1:9" x14ac:dyDescent="0.3">
      <c r="A13" s="1" t="s">
        <v>13</v>
      </c>
      <c r="B13" s="5">
        <v>1.0863</v>
      </c>
      <c r="C13">
        <v>47.612903000000003</v>
      </c>
      <c r="D13" s="6">
        <v>48</v>
      </c>
      <c r="E13">
        <v>26.941700000000001</v>
      </c>
      <c r="F13" s="5">
        <v>4.9857126116624881</v>
      </c>
      <c r="G13" t="s">
        <v>26</v>
      </c>
      <c r="H13" t="s">
        <v>29</v>
      </c>
      <c r="I13" t="s">
        <v>32</v>
      </c>
    </row>
    <row r="14" spans="1:9" x14ac:dyDescent="0.3">
      <c r="A14" s="1" t="s">
        <v>3</v>
      </c>
      <c r="B14" s="5">
        <v>1.2162999999999999</v>
      </c>
      <c r="C14">
        <v>35.566670000000002</v>
      </c>
      <c r="D14" s="6">
        <v>36.5</v>
      </c>
      <c r="E14">
        <v>17.135842</v>
      </c>
      <c r="F14" s="5">
        <v>86.615141741968543</v>
      </c>
      <c r="G14" t="s">
        <v>24</v>
      </c>
      <c r="H14" t="s">
        <v>29</v>
      </c>
      <c r="I14" t="s">
        <v>32</v>
      </c>
    </row>
    <row r="15" spans="1:9" x14ac:dyDescent="0.3">
      <c r="A15" s="1"/>
    </row>
    <row r="16" spans="1:9" x14ac:dyDescent="0.3">
      <c r="A16" s="1" t="s">
        <v>6</v>
      </c>
      <c r="B16" s="5">
        <v>3.6419000000000001</v>
      </c>
      <c r="C16">
        <v>38.299999999999997</v>
      </c>
      <c r="D16" s="6">
        <v>40.5</v>
      </c>
      <c r="E16">
        <v>41.784435999999999</v>
      </c>
    </row>
    <row r="17" spans="1:9" x14ac:dyDescent="0.3">
      <c r="A17" s="1" t="s">
        <v>5</v>
      </c>
      <c r="B17" s="5">
        <v>2.944</v>
      </c>
      <c r="C17">
        <v>37</v>
      </c>
      <c r="D17" s="6">
        <v>35</v>
      </c>
      <c r="E17">
        <v>55.081428000000002</v>
      </c>
      <c r="F17" s="5">
        <v>17.267990931339373</v>
      </c>
      <c r="G17" t="s">
        <v>26</v>
      </c>
      <c r="H17" t="s">
        <v>29</v>
      </c>
      <c r="I17" t="s">
        <v>32</v>
      </c>
    </row>
    <row r="18" spans="1:9" x14ac:dyDescent="0.3">
      <c r="A18" s="1" t="s">
        <v>18</v>
      </c>
      <c r="B18" s="5">
        <v>1.3084</v>
      </c>
      <c r="C18">
        <v>36.200000000000003</v>
      </c>
      <c r="D18" s="6">
        <v>37.5</v>
      </c>
      <c r="E18">
        <v>55.081428000000002</v>
      </c>
      <c r="F18" s="5">
        <v>69.331820687900276</v>
      </c>
      <c r="G18" t="s">
        <v>38</v>
      </c>
      <c r="H18" t="s">
        <v>29</v>
      </c>
      <c r="I18" t="s">
        <v>32</v>
      </c>
    </row>
    <row r="19" spans="1:9" x14ac:dyDescent="0.3">
      <c r="A19" s="1" t="s">
        <v>17</v>
      </c>
      <c r="B19" s="5">
        <v>1.673</v>
      </c>
      <c r="C19">
        <v>33.700000000000003</v>
      </c>
      <c r="D19" s="6">
        <v>34.5</v>
      </c>
      <c r="E19">
        <v>55.081428000000002</v>
      </c>
      <c r="F19" s="5">
        <v>84.409426288143564</v>
      </c>
      <c r="G19" t="s">
        <v>24</v>
      </c>
      <c r="H19" t="s">
        <v>29</v>
      </c>
      <c r="I19" t="s">
        <v>32</v>
      </c>
    </row>
    <row r="20" spans="1:9" x14ac:dyDescent="0.3">
      <c r="A20" s="1" t="s">
        <v>14</v>
      </c>
      <c r="B20" s="5">
        <v>0.64259999999999995</v>
      </c>
      <c r="C20">
        <v>36.466666666666669</v>
      </c>
      <c r="D20" s="6">
        <v>38</v>
      </c>
      <c r="E20">
        <v>55.081428000000002</v>
      </c>
      <c r="F20" s="5">
        <v>18.744764234061535</v>
      </c>
      <c r="G20" t="s">
        <v>26</v>
      </c>
      <c r="H20" t="s">
        <v>29</v>
      </c>
      <c r="I20" t="s">
        <v>33</v>
      </c>
    </row>
    <row r="21" spans="1:9" x14ac:dyDescent="0.3">
      <c r="A21" s="1" t="s">
        <v>15</v>
      </c>
      <c r="B21" s="5">
        <v>0.96164000000000005</v>
      </c>
      <c r="C21">
        <v>45.2</v>
      </c>
      <c r="D21" s="6">
        <v>41</v>
      </c>
      <c r="E21">
        <v>55.081428000000002</v>
      </c>
      <c r="F21" s="5">
        <v>60.542226487523898</v>
      </c>
      <c r="G21" t="s">
        <v>24</v>
      </c>
      <c r="H21" t="s">
        <v>29</v>
      </c>
      <c r="I21" t="s">
        <v>33</v>
      </c>
    </row>
    <row r="22" spans="1:9" x14ac:dyDescent="0.3">
      <c r="A22" s="1" t="s">
        <v>16</v>
      </c>
      <c r="B22" s="5">
        <v>1.7231000000000001</v>
      </c>
      <c r="C22">
        <v>45.2</v>
      </c>
      <c r="D22" s="6">
        <v>41</v>
      </c>
      <c r="E22">
        <v>55.081428000000002</v>
      </c>
      <c r="F22" s="5">
        <v>60.542226487523898</v>
      </c>
      <c r="G22" t="s">
        <v>24</v>
      </c>
      <c r="H22" t="s">
        <v>29</v>
      </c>
      <c r="I22" t="s">
        <v>33</v>
      </c>
    </row>
    <row r="23" spans="1:9" x14ac:dyDescent="0.3">
      <c r="A23" s="1"/>
    </row>
    <row r="24" spans="1:9" x14ac:dyDescent="0.3">
      <c r="A24" s="1" t="s">
        <v>9</v>
      </c>
      <c r="B24" s="5">
        <v>1.1865000000000001</v>
      </c>
      <c r="C24">
        <v>25.6</v>
      </c>
      <c r="D24" s="6">
        <v>26</v>
      </c>
      <c r="E24">
        <v>93.581818999999996</v>
      </c>
      <c r="F24" s="5">
        <v>94.907124382788624</v>
      </c>
      <c r="G24" t="s">
        <v>24</v>
      </c>
    </row>
    <row r="25" spans="1:9" x14ac:dyDescent="0.3">
      <c r="A25" s="1" t="s">
        <v>10</v>
      </c>
      <c r="B25" s="5">
        <v>0.57101999999999997</v>
      </c>
      <c r="C25">
        <v>40.933333300000001</v>
      </c>
      <c r="D25" s="6">
        <v>43</v>
      </c>
      <c r="E25">
        <v>31.887668999999999</v>
      </c>
      <c r="F25" s="5">
        <v>16.857070793243402</v>
      </c>
      <c r="G25" t="s">
        <v>26</v>
      </c>
    </row>
    <row r="26" spans="1:9" x14ac:dyDescent="0.3">
      <c r="A26" s="1" t="s">
        <v>11</v>
      </c>
      <c r="B26" s="5">
        <v>0.96199000000000001</v>
      </c>
      <c r="C26">
        <v>34.766666999999998</v>
      </c>
      <c r="D26" s="6">
        <v>36.5</v>
      </c>
      <c r="E26">
        <v>31.887668999999999</v>
      </c>
      <c r="F26" s="5">
        <v>76.228906823184076</v>
      </c>
      <c r="G26" t="s">
        <v>24</v>
      </c>
    </row>
    <row r="27" spans="1:9" x14ac:dyDescent="0.3">
      <c r="A27" s="1"/>
    </row>
  </sheetData>
  <mergeCells count="3">
    <mergeCell ref="B1:D1"/>
    <mergeCell ref="E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B9A8-331C-4FF2-A917-678A8722D7A2}">
  <dimension ref="A1:C49"/>
  <sheetViews>
    <sheetView zoomScale="47" workbookViewId="0">
      <selection activeCell="F19" sqref="F19"/>
    </sheetView>
  </sheetViews>
  <sheetFormatPr defaultRowHeight="14.4" x14ac:dyDescent="0.3"/>
  <cols>
    <col min="1" max="1" width="8.44140625" bestFit="1" customWidth="1"/>
    <col min="2" max="2" width="9.5546875" style="12" bestFit="1" customWidth="1"/>
    <col min="3" max="3" width="14.5546875" bestFit="1" customWidth="1"/>
  </cols>
  <sheetData>
    <row r="1" spans="1:3" x14ac:dyDescent="0.3">
      <c r="A1" s="7"/>
      <c r="B1" s="33" t="s">
        <v>37</v>
      </c>
      <c r="C1" s="34"/>
    </row>
    <row r="2" spans="1:3" x14ac:dyDescent="0.3">
      <c r="A2" s="1" t="s">
        <v>0</v>
      </c>
      <c r="B2" s="13" t="s">
        <v>19</v>
      </c>
      <c r="C2" s="1" t="s">
        <v>39</v>
      </c>
    </row>
    <row r="3" spans="1:3" x14ac:dyDescent="0.3">
      <c r="A3" s="9"/>
      <c r="B3" s="14"/>
      <c r="C3" s="9"/>
    </row>
    <row r="4" spans="1:3" x14ac:dyDescent="0.3">
      <c r="A4" t="str">
        <f>lith_data!A2</f>
        <v>LC100</v>
      </c>
      <c r="B4" s="15">
        <f>lith_data!E2</f>
        <v>95.797280593325212</v>
      </c>
    </row>
    <row r="5" spans="1:3" x14ac:dyDescent="0.3">
      <c r="A5" t="str">
        <f>lith_data!A3</f>
        <v>LC101</v>
      </c>
      <c r="B5" s="15">
        <f>lith_data!E3</f>
        <v>19.584954604409464</v>
      </c>
    </row>
    <row r="6" spans="1:3" x14ac:dyDescent="0.3">
      <c r="A6" t="str">
        <f>lith_data!A4</f>
        <v>LC104</v>
      </c>
      <c r="B6" s="15">
        <f>lith_data!E4</f>
        <v>92.748091603053311</v>
      </c>
    </row>
    <row r="7" spans="1:3" x14ac:dyDescent="0.3">
      <c r="A7" t="str">
        <f>lith_data!A5</f>
        <v>LC105</v>
      </c>
      <c r="B7" s="15">
        <f>lith_data!E5</f>
        <v>24.717691342534941</v>
      </c>
    </row>
    <row r="8" spans="1:3" x14ac:dyDescent="0.3">
      <c r="A8" t="str">
        <f>lith_data!A6</f>
        <v>LC106</v>
      </c>
      <c r="B8" s="15">
        <f>lith_data!E6</f>
        <v>93.618677042800996</v>
      </c>
    </row>
    <row r="9" spans="1:3" x14ac:dyDescent="0.3">
      <c r="A9" t="str">
        <f>lith_data!A7</f>
        <v>LC107</v>
      </c>
      <c r="B9" s="15">
        <f>lith_data!E7</f>
        <v>35.842450765864498</v>
      </c>
    </row>
    <row r="10" spans="1:3" x14ac:dyDescent="0.3">
      <c r="A10" t="str">
        <f>lith_data!A8</f>
        <v>LC108</v>
      </c>
      <c r="B10" s="15">
        <f>lith_data!E8</f>
        <v>79.337899543379237</v>
      </c>
    </row>
    <row r="11" spans="1:3" x14ac:dyDescent="0.3">
      <c r="A11" t="str">
        <f>lith_data!A9</f>
        <v>LC109</v>
      </c>
      <c r="B11" s="15">
        <f>lith_data!E9</f>
        <v>61.4484503478809</v>
      </c>
    </row>
    <row r="12" spans="1:3" x14ac:dyDescent="0.3">
      <c r="A12" t="str">
        <f>lith_data!A10</f>
        <v>LC110</v>
      </c>
      <c r="B12" s="15">
        <f>lith_data!E10</f>
        <v>98.084291187739652</v>
      </c>
    </row>
    <row r="13" spans="1:3" x14ac:dyDescent="0.3">
      <c r="A13" t="str">
        <f>lith_data!A11</f>
        <v>LC111</v>
      </c>
      <c r="B13" s="15">
        <f>lith_data!E11</f>
        <v>95.336512983571382</v>
      </c>
    </row>
    <row r="14" spans="1:3" x14ac:dyDescent="0.3">
      <c r="A14" t="str">
        <f>lith_data!A12</f>
        <v>LC113</v>
      </c>
      <c r="B14" s="15">
        <f>lith_data!E12</f>
        <v>98.126064735945022</v>
      </c>
    </row>
    <row r="15" spans="1:3" x14ac:dyDescent="0.3">
      <c r="A15" t="str">
        <f>lith_data!A13</f>
        <v>LC114</v>
      </c>
      <c r="B15" s="15">
        <f>lith_data!E13</f>
        <v>94.415917843388755</v>
      </c>
    </row>
    <row r="16" spans="1:3" x14ac:dyDescent="0.3">
      <c r="A16" t="str">
        <f>lith_data!A14</f>
        <v>LC115</v>
      </c>
      <c r="B16" s="15">
        <f>lith_data!E14</f>
        <v>82.681940700808539</v>
      </c>
    </row>
    <row r="17" spans="1:2" x14ac:dyDescent="0.3">
      <c r="A17" t="str">
        <f>lith_data!A15</f>
        <v>LC116.HS</v>
      </c>
      <c r="B17" s="15">
        <f>lith_data!E15</f>
        <v>32.621440536013566</v>
      </c>
    </row>
    <row r="18" spans="1:2" x14ac:dyDescent="0.3">
      <c r="A18" t="str">
        <f>lith_data!A16</f>
        <v>LC120</v>
      </c>
      <c r="B18" s="15">
        <f>lith_data!E16</f>
        <v>49.495327102803991</v>
      </c>
    </row>
    <row r="19" spans="1:2" x14ac:dyDescent="0.3">
      <c r="A19" s="16" t="str">
        <f>lith_data!A17</f>
        <v>LC2.4</v>
      </c>
      <c r="B19" s="15">
        <f>lith_data!E17</f>
        <v>77.179487179487566</v>
      </c>
    </row>
    <row r="20" spans="1:2" x14ac:dyDescent="0.3">
      <c r="A20" s="16" t="str">
        <f>lith_data!A18</f>
        <v>LC2.7</v>
      </c>
      <c r="B20" s="15">
        <f>lith_data!E18</f>
        <v>93.245469522240271</v>
      </c>
    </row>
    <row r="21" spans="1:2" x14ac:dyDescent="0.3">
      <c r="A21" s="16" t="str">
        <f>lith_data!A19</f>
        <v>LC2.8</v>
      </c>
      <c r="B21" s="15">
        <f>lith_data!E19</f>
        <v>94.52852153667007</v>
      </c>
    </row>
    <row r="22" spans="1:2" x14ac:dyDescent="0.3">
      <c r="A22" s="16" t="str">
        <f>lith_data!A20</f>
        <v>LC2.9</v>
      </c>
      <c r="B22" s="15">
        <f>lith_data!E20</f>
        <v>80.497737556561162</v>
      </c>
    </row>
    <row r="23" spans="1:2" x14ac:dyDescent="0.3">
      <c r="A23" s="16" t="str">
        <f>lith_data!A21</f>
        <v>LC201</v>
      </c>
      <c r="B23" s="15">
        <f>lith_data!E21</f>
        <v>96.574494428394615</v>
      </c>
    </row>
    <row r="24" spans="1:2" x14ac:dyDescent="0.3">
      <c r="A24" s="16" t="str">
        <f>lith_data!A22</f>
        <v>LC202</v>
      </c>
      <c r="B24" s="15">
        <f>lith_data!E22</f>
        <v>91.265474552956746</v>
      </c>
    </row>
    <row r="25" spans="1:2" x14ac:dyDescent="0.3">
      <c r="A25" s="16" t="str">
        <f>lith_data!A23</f>
        <v>LC203</v>
      </c>
      <c r="B25" s="15">
        <f>lith_data!E23</f>
        <v>96.298984034832941</v>
      </c>
    </row>
    <row r="26" spans="1:2" x14ac:dyDescent="0.3">
      <c r="A26" s="16" t="str">
        <f>lith_data!A24</f>
        <v>LC204.5</v>
      </c>
      <c r="B26" s="15">
        <f>lith_data!E24</f>
        <v>36.289281102022883</v>
      </c>
    </row>
    <row r="27" spans="1:2" x14ac:dyDescent="0.3">
      <c r="A27" s="16" t="str">
        <f>lith_data!A25</f>
        <v>LC205</v>
      </c>
      <c r="B27" s="15">
        <f>lith_data!E25</f>
        <v>98.84057971014434</v>
      </c>
    </row>
    <row r="28" spans="1:2" x14ac:dyDescent="0.3">
      <c r="A28" s="16" t="str">
        <f>lith_data!A26</f>
        <v>LC206</v>
      </c>
      <c r="B28" s="15">
        <f>lith_data!E26</f>
        <v>97.206349206349401</v>
      </c>
    </row>
    <row r="29" spans="1:2" x14ac:dyDescent="0.3">
      <c r="A29" s="16" t="str">
        <f>lith_data!A27</f>
        <v>LC207</v>
      </c>
      <c r="B29" s="15">
        <f>lith_data!E27</f>
        <v>22.003929273084832</v>
      </c>
    </row>
    <row r="30" spans="1:2" x14ac:dyDescent="0.3">
      <c r="A30" s="16" t="str">
        <f>lith_data!A28</f>
        <v>LC208</v>
      </c>
      <c r="B30" s="15">
        <f>lith_data!E28</f>
        <v>65.359477124182604</v>
      </c>
    </row>
    <row r="31" spans="1:2" x14ac:dyDescent="0.3">
      <c r="A31" t="str">
        <f>lith_data!A31</f>
        <v>LC301</v>
      </c>
      <c r="B31" s="15">
        <f>lith_data!E31</f>
        <v>80.069625761531853</v>
      </c>
    </row>
    <row r="32" spans="1:2" x14ac:dyDescent="0.3">
      <c r="A32" t="str">
        <f>lith_data!A32</f>
        <v>LC302</v>
      </c>
      <c r="B32" s="15">
        <f>lith_data!E32</f>
        <v>99.61706783369776</v>
      </c>
    </row>
    <row r="33" spans="1:2" x14ac:dyDescent="0.3">
      <c r="A33" t="str">
        <f>lith_data!A42</f>
        <v>LC319</v>
      </c>
      <c r="B33" s="15">
        <f>lith_data!E42</f>
        <v>66.38655462184839</v>
      </c>
    </row>
    <row r="34" spans="1:2" x14ac:dyDescent="0.3">
      <c r="A34" t="str">
        <f>lith_data!A43</f>
        <v>LC319</v>
      </c>
      <c r="B34" s="15">
        <f>lith_data!E43</f>
        <v>71.989966555183997</v>
      </c>
    </row>
    <row r="35" spans="1:2" x14ac:dyDescent="0.3">
      <c r="A35" t="str">
        <f>lith_data!A44</f>
        <v>LC404</v>
      </c>
      <c r="B35" s="15">
        <f>lith_data!E44</f>
        <v>39.573732718893936</v>
      </c>
    </row>
    <row r="36" spans="1:2" x14ac:dyDescent="0.3">
      <c r="A36" t="str">
        <f>lith_data!A45</f>
        <v>LC405</v>
      </c>
      <c r="B36" s="15">
        <f>lith_data!E45</f>
        <v>63.727454909819372</v>
      </c>
    </row>
    <row r="37" spans="1:2" x14ac:dyDescent="0.3">
      <c r="A37" t="str">
        <f>lith_data!A46</f>
        <v>LC406</v>
      </c>
      <c r="B37" s="15">
        <f>lith_data!E46</f>
        <v>52.131979695431554</v>
      </c>
    </row>
    <row r="38" spans="1:2" x14ac:dyDescent="0.3">
      <c r="A38" t="str">
        <f>lith_data!A47</f>
        <v>LC407</v>
      </c>
      <c r="B38" s="15">
        <f>lith_data!E47</f>
        <v>84.03811792733768</v>
      </c>
    </row>
    <row r="39" spans="1:2" x14ac:dyDescent="0.3">
      <c r="A39" t="str">
        <f>lith_data!A48</f>
        <v>LC408</v>
      </c>
      <c r="B39" s="15">
        <f>lith_data!E48</f>
        <v>56.43305439330566</v>
      </c>
    </row>
    <row r="40" spans="1:2" x14ac:dyDescent="0.3">
      <c r="A40" t="str">
        <f>lith_data!A49</f>
        <v>LC410</v>
      </c>
      <c r="B40" s="15">
        <f>lith_data!E49</f>
        <v>87.056037884767562</v>
      </c>
    </row>
    <row r="41" spans="1:2" x14ac:dyDescent="0.3">
      <c r="A41" t="str">
        <f>lith_data!A50</f>
        <v>LC411</v>
      </c>
      <c r="B41" s="15">
        <f>lith_data!E50</f>
        <v>19.110576923076938</v>
      </c>
    </row>
    <row r="42" spans="1:2" x14ac:dyDescent="0.3">
      <c r="A42" t="str">
        <f>lith_data!A51</f>
        <v>LC412</v>
      </c>
      <c r="B42" s="15">
        <f>lith_data!E51</f>
        <v>89.316650625601142</v>
      </c>
    </row>
    <row r="43" spans="1:2" x14ac:dyDescent="0.3">
      <c r="A43" t="str">
        <f>lith_data!A52</f>
        <v>LC500</v>
      </c>
      <c r="B43" s="15">
        <f>lith_data!E52</f>
        <v>85.67404426559321</v>
      </c>
    </row>
    <row r="44" spans="1:2" x14ac:dyDescent="0.3">
      <c r="A44" t="str">
        <f>lith_data!A53</f>
        <v>LC504</v>
      </c>
      <c r="B44" s="15">
        <f>lith_data!E53</f>
        <v>80.349746893695723</v>
      </c>
    </row>
    <row r="45" spans="1:2" x14ac:dyDescent="0.3">
      <c r="A45" t="str">
        <f>lith_data!A54</f>
        <v>LC505</v>
      </c>
      <c r="B45" s="15">
        <f>lith_data!E54</f>
        <v>72.786885245901559</v>
      </c>
    </row>
    <row r="46" spans="1:2" x14ac:dyDescent="0.3">
      <c r="A46" t="str">
        <f>lith_data!A55</f>
        <v>LC506</v>
      </c>
      <c r="B46" s="15">
        <f>lith_data!E55</f>
        <v>91.639871382636585</v>
      </c>
    </row>
    <row r="47" spans="1:2" x14ac:dyDescent="0.3">
      <c r="A47" t="str">
        <f>lith_data!A56</f>
        <v>LC507</v>
      </c>
      <c r="B47" s="15">
        <f>lith_data!E56</f>
        <v>54.163890739506982</v>
      </c>
    </row>
    <row r="48" spans="1:2" x14ac:dyDescent="0.3">
      <c r="A48" t="str">
        <f>lith_data!A57</f>
        <v>LC509</v>
      </c>
      <c r="B48" s="15">
        <f>lith_data!E57</f>
        <v>96.128560993426063</v>
      </c>
    </row>
    <row r="49" spans="2:2" x14ac:dyDescent="0.3">
      <c r="B49" s="15"/>
    </row>
  </sheetData>
  <mergeCells count="1">
    <mergeCell ref="B1:C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9715-0568-4F48-94F7-640187ADF49C}">
  <dimension ref="A1:AE75"/>
  <sheetViews>
    <sheetView topLeftCell="A2" zoomScale="51" zoomScaleNormal="90" workbookViewId="0">
      <pane xSplit="1" topLeftCell="B1" activePane="topRight" state="frozen"/>
      <selection pane="topRight" activeCell="I16" sqref="I16"/>
    </sheetView>
  </sheetViews>
  <sheetFormatPr defaultRowHeight="14.4" x14ac:dyDescent="0.3"/>
  <cols>
    <col min="1" max="1" width="11.44140625" bestFit="1" customWidth="1"/>
    <col min="2" max="2" width="19" bestFit="1" customWidth="1"/>
    <col min="3" max="3" width="19.77734375" bestFit="1" customWidth="1"/>
    <col min="4" max="4" width="9.77734375" bestFit="1" customWidth="1"/>
    <col min="5" max="5" width="14.5546875" bestFit="1" customWidth="1"/>
    <col min="11" max="11" width="11.44140625" bestFit="1" customWidth="1"/>
    <col min="12" max="12" width="11.44140625" customWidth="1"/>
    <col min="14" max="14" width="9.21875" customWidth="1"/>
    <col min="19" max="19" width="12.44140625" bestFit="1" customWidth="1"/>
    <col min="20" max="20" width="14.21875" bestFit="1" customWidth="1"/>
    <col min="22" max="22" width="9.21875" bestFit="1" customWidth="1"/>
    <col min="24" max="24" width="20.5546875" bestFit="1" customWidth="1"/>
  </cols>
  <sheetData>
    <row r="1" spans="1:31" s="1" customFormat="1" x14ac:dyDescent="0.3">
      <c r="B1" s="1" t="s">
        <v>35</v>
      </c>
      <c r="E1" s="1" t="s">
        <v>36</v>
      </c>
      <c r="U1" s="1" t="s">
        <v>37</v>
      </c>
      <c r="Y1" s="7" t="s">
        <v>111</v>
      </c>
      <c r="Z1" s="7"/>
      <c r="AA1" s="7"/>
      <c r="AB1" s="7"/>
      <c r="AC1" s="7"/>
      <c r="AD1" s="7"/>
      <c r="AE1" s="7"/>
    </row>
    <row r="2" spans="1:31" s="1" customFormat="1" x14ac:dyDescent="0.3">
      <c r="A2" s="1" t="s">
        <v>0</v>
      </c>
      <c r="B2" s="1" t="s">
        <v>23</v>
      </c>
      <c r="C2" s="1" t="s">
        <v>34</v>
      </c>
      <c r="E2" s="1" t="s">
        <v>41</v>
      </c>
      <c r="L2" s="1" t="s">
        <v>95</v>
      </c>
      <c r="R2" s="1" t="s">
        <v>20</v>
      </c>
      <c r="S2" s="1" t="s">
        <v>112</v>
      </c>
      <c r="T2" s="1" t="s">
        <v>93</v>
      </c>
      <c r="U2" s="1" t="s">
        <v>19</v>
      </c>
      <c r="V2" s="1" t="s">
        <v>39</v>
      </c>
      <c r="W2" s="1" t="s">
        <v>28</v>
      </c>
      <c r="X2" s="1" t="s">
        <v>31</v>
      </c>
      <c r="Y2" s="1" t="s">
        <v>91</v>
      </c>
      <c r="Z2" s="1" t="s">
        <v>92</v>
      </c>
      <c r="AA2" s="1" t="s">
        <v>94</v>
      </c>
      <c r="AB2" s="1" t="s">
        <v>96</v>
      </c>
      <c r="AC2" s="1" t="s">
        <v>97</v>
      </c>
      <c r="AD2" s="1" t="s">
        <v>101</v>
      </c>
      <c r="AE2" s="1" t="s">
        <v>102</v>
      </c>
    </row>
    <row r="3" spans="1:31" s="1" customFormat="1" x14ac:dyDescent="0.3">
      <c r="C3" s="1" t="s">
        <v>21</v>
      </c>
      <c r="D3" s="1" t="s">
        <v>22</v>
      </c>
      <c r="E3" s="1" t="s">
        <v>91</v>
      </c>
      <c r="F3" s="1" t="s">
        <v>92</v>
      </c>
      <c r="G3" s="1" t="s">
        <v>94</v>
      </c>
      <c r="H3" s="1" t="s">
        <v>96</v>
      </c>
      <c r="I3" s="1" t="s">
        <v>97</v>
      </c>
      <c r="J3" s="1" t="s">
        <v>101</v>
      </c>
      <c r="K3" s="1" t="s">
        <v>102</v>
      </c>
      <c r="L3" s="1" t="s">
        <v>91</v>
      </c>
      <c r="M3" s="1" t="s">
        <v>92</v>
      </c>
      <c r="N3" s="1" t="s">
        <v>94</v>
      </c>
      <c r="O3" s="1" t="s">
        <v>97</v>
      </c>
      <c r="P3" s="1" t="s">
        <v>101</v>
      </c>
      <c r="Q3" s="1" t="s">
        <v>102</v>
      </c>
    </row>
    <row r="4" spans="1:31" x14ac:dyDescent="0.3">
      <c r="A4" t="s">
        <v>60</v>
      </c>
      <c r="E4">
        <f>(calcs!B21-calcs!C21)/calcs!R10</f>
        <v>0.2089999999999918</v>
      </c>
      <c r="F4">
        <f>(calcs!D21-calcs!E21)/calcs!S10</f>
        <v>0.15650000000000547</v>
      </c>
      <c r="G4">
        <f>(calcs!F21-calcs!G21)/calcs!T10</f>
        <v>0.14300000000000068</v>
      </c>
      <c r="H4">
        <f>(calcs!H21-calcs!I21)/calcs!U10</f>
        <v>8.6000000000001367E-2</v>
      </c>
      <c r="I4">
        <f>(calcs!J21-calcs!K21)/calcs!V10</f>
        <v>9.7500000000000003E-2</v>
      </c>
      <c r="J4">
        <f>(calcs!L21-calcs!M21)/calcs!W10</f>
        <v>9.7249999999999087E-2</v>
      </c>
      <c r="K4">
        <f>(calcs!N21-calcs!O21)/calcs!X10</f>
        <v>8.626666666666627E-2</v>
      </c>
      <c r="M4">
        <f>1545-1538.9</f>
        <v>6.0999999999999091</v>
      </c>
      <c r="N4">
        <f>1549.72-1537.03</f>
        <v>12.690000000000055</v>
      </c>
      <c r="O4">
        <f>1571.7-1534.73</f>
        <v>36.970000000000027</v>
      </c>
      <c r="P4">
        <f>1601.31-1531.32</f>
        <v>69.990000000000009</v>
      </c>
      <c r="Q4">
        <f>1629.79-1527.9</f>
        <v>101.88999999999987</v>
      </c>
      <c r="U4">
        <v>95.797280593325212</v>
      </c>
    </row>
    <row r="5" spans="1:31" x14ac:dyDescent="0.3">
      <c r="A5" t="s">
        <v>50</v>
      </c>
      <c r="E5">
        <f>(calcs!B22-calcs!C22)/calcs!R11</f>
        <v>0</v>
      </c>
      <c r="F5">
        <f>(calcs!D22-calcs!E22)/calcs!S11</f>
        <v>0</v>
      </c>
      <c r="G5">
        <f>(calcs!F22-calcs!G22)/calcs!T11</f>
        <v>0</v>
      </c>
      <c r="H5">
        <f>(calcs!H22-calcs!I22)/calcs!U11</f>
        <v>0</v>
      </c>
      <c r="I5">
        <f>(calcs!J22-calcs!K22)/calcs!V11</f>
        <v>0</v>
      </c>
      <c r="J5">
        <f>(calcs!L22-calcs!M22)/calcs!W11</f>
        <v>0</v>
      </c>
      <c r="K5">
        <f>(calcs!N22-calcs!O22)/calcs!X11</f>
        <v>0</v>
      </c>
      <c r="M5">
        <f>1499.46-1490.79</f>
        <v>8.6700000000000728</v>
      </c>
      <c r="N5">
        <f>1499.56-1490.79</f>
        <v>8.7699999999999818</v>
      </c>
      <c r="O5">
        <f>1515.72-1489.66</f>
        <v>26.059999999999945</v>
      </c>
      <c r="P5">
        <f>1545.98-1487.72</f>
        <v>58.259999999999991</v>
      </c>
      <c r="Q5">
        <f>1573.75-1469.65</f>
        <v>104.09999999999991</v>
      </c>
      <c r="U5">
        <v>19.584954604409464</v>
      </c>
    </row>
    <row r="6" spans="1:31" x14ac:dyDescent="0.3">
      <c r="A6" t="s">
        <v>57</v>
      </c>
      <c r="E6">
        <f>(calcs!B23-calcs!C23)/calcs!R12</f>
        <v>0</v>
      </c>
      <c r="F6">
        <f>(calcs!D23-calcs!E23)/calcs!S12</f>
        <v>0</v>
      </c>
      <c r="G6">
        <f>(calcs!F23-calcs!G23)/calcs!T12</f>
        <v>0</v>
      </c>
      <c r="H6">
        <f>(calcs!H23-calcs!I23)/calcs!U12</f>
        <v>0</v>
      </c>
      <c r="I6">
        <f>(calcs!J23-calcs!K23)/calcs!V12</f>
        <v>0</v>
      </c>
      <c r="J6">
        <f>(calcs!L23-calcs!M23)/calcs!W12</f>
        <v>0</v>
      </c>
      <c r="K6">
        <f>(calcs!N23-calcs!O23)/calcs!X12</f>
        <v>0</v>
      </c>
      <c r="U6">
        <v>92.748091603053311</v>
      </c>
    </row>
    <row r="7" spans="1:31" x14ac:dyDescent="0.3">
      <c r="A7" t="s">
        <v>49</v>
      </c>
      <c r="E7">
        <f>(calcs!B24-calcs!C24)/calcs!R13</f>
        <v>9.1000000000008185E-2</v>
      </c>
      <c r="F7">
        <f>(calcs!D24-calcs!E24)/calcs!S13</f>
        <v>0.10099999999999909</v>
      </c>
      <c r="G7">
        <f>(calcs!F24-calcs!G24)/calcs!T13</f>
        <v>8.1499999999999767E-2</v>
      </c>
      <c r="H7">
        <f>(calcs!H24-calcs!I24)/calcs!U13</f>
        <v>5.4499999999999695E-2</v>
      </c>
      <c r="I7">
        <f>(calcs!J24-calcs!K24)/calcs!V13</f>
        <v>6.5199999999999814E-2</v>
      </c>
      <c r="J7">
        <f>(calcs!L24-calcs!M24)/calcs!W13</f>
        <v>7.7949999999999589E-2</v>
      </c>
      <c r="K7">
        <f>(calcs!N24-calcs!O24)/calcs!X13</f>
        <v>9.6600000000000061E-2</v>
      </c>
      <c r="M7">
        <f>1537.24-1535.09</f>
        <v>2.1500000000000909</v>
      </c>
      <c r="N7">
        <f>1546.59-1534.73</f>
        <v>11.8599999999999</v>
      </c>
      <c r="O7">
        <f>1567.59-1533.39</f>
        <v>34.199999999999818</v>
      </c>
      <c r="P7">
        <f>1600-1529.49</f>
        <v>70.509999999999991</v>
      </c>
      <c r="Q7">
        <f>1627.53-1525.71</f>
        <v>101.81999999999994</v>
      </c>
      <c r="U7">
        <v>24.717691342534941</v>
      </c>
    </row>
    <row r="8" spans="1:31" x14ac:dyDescent="0.3">
      <c r="A8" t="s">
        <v>61</v>
      </c>
      <c r="E8">
        <f>(calcs!B25-calcs!C25)/calcs!R14</f>
        <v>-9.9000000000000907E-2</v>
      </c>
      <c r="F8">
        <f>(calcs!D25-calcs!E25)/calcs!S14</f>
        <v>8.5500000000001825E-2</v>
      </c>
      <c r="G8">
        <f>(calcs!F25-calcs!G25)/calcs!T14</f>
        <v>0.11574999999999705</v>
      </c>
      <c r="H8">
        <f>(calcs!H25-calcs!I25)/calcs!U14</f>
        <v>0.1339999999999994</v>
      </c>
      <c r="I8">
        <f>(calcs!J25-calcs!K25)/calcs!V14</f>
        <v>0.11710000000000037</v>
      </c>
      <c r="J8">
        <f>(calcs!L25-calcs!M25)/calcs!W14</f>
        <v>0.10779999999999973</v>
      </c>
      <c r="K8">
        <f>(calcs!N25-calcs!O25)/calcs!X14</f>
        <v>0.11153333333333346</v>
      </c>
      <c r="M8">
        <f>1549.72-1545.72</f>
        <v>4</v>
      </c>
      <c r="N8">
        <f>1556.6-1545.38</f>
        <v>11.2199999999998</v>
      </c>
      <c r="O8">
        <f>1574.92-1540.95</f>
        <v>33.970000000000027</v>
      </c>
      <c r="P8">
        <f>1606.21-1534.73</f>
        <v>71.480000000000018</v>
      </c>
      <c r="Q8">
        <f>1633.73-1531.32</f>
        <v>102.41000000000008</v>
      </c>
      <c r="U8">
        <v>93.618677042800996</v>
      </c>
    </row>
    <row r="9" spans="1:31" x14ac:dyDescent="0.3">
      <c r="A9" t="s">
        <v>56</v>
      </c>
      <c r="E9">
        <f>(calcs!B26-calcs!C26)/calcs!R15</f>
        <v>0.11500000000000909</v>
      </c>
      <c r="F9">
        <f>(calcs!D26-calcs!E26)/calcs!S15</f>
        <v>8.2500000000004542E-2</v>
      </c>
      <c r="G9">
        <f>(calcs!F26-calcs!G26)/calcs!T15</f>
        <v>0.10750000000000455</v>
      </c>
      <c r="H9">
        <f>(calcs!H26-calcs!I26)/calcs!U15</f>
        <v>9.1833333333333184E-2</v>
      </c>
      <c r="I9">
        <f>(calcs!J26-calcs!K26)/calcs!V15</f>
        <v>8.6900000000000546E-2</v>
      </c>
      <c r="J9">
        <f>(calcs!L26-calcs!M26)/calcs!W15</f>
        <v>0.11284999999999969</v>
      </c>
      <c r="K9">
        <f>(calcs!N26-calcs!O26)/calcs!X15</f>
        <v>0.12676666666666733</v>
      </c>
      <c r="M9">
        <f>1566.12-1553.3</f>
        <v>12.819999999999936</v>
      </c>
      <c r="N9">
        <f>1566.12-1553.3</f>
        <v>12.819999999999936</v>
      </c>
      <c r="O9">
        <f>1590.91-1551.09</f>
        <v>39.820000000000164</v>
      </c>
      <c r="P9">
        <f>1621.43-1545.72</f>
        <v>75.710000000000036</v>
      </c>
      <c r="Q9">
        <f>1647.06-1538.9</f>
        <v>108.15999999999985</v>
      </c>
      <c r="U9">
        <v>35.842450765864498</v>
      </c>
    </row>
    <row r="10" spans="1:31" x14ac:dyDescent="0.3">
      <c r="A10" t="s">
        <v>52</v>
      </c>
      <c r="E10">
        <f>(calcs!B27-calcs!C27)/calcs!R16</f>
        <v>0.18300000000001546</v>
      </c>
      <c r="F10">
        <f>(calcs!D27-calcs!E27)/calcs!S16</f>
        <v>0.1599999999999909</v>
      </c>
      <c r="G10">
        <f>(calcs!F27-calcs!G27)/calcs!T16</f>
        <v>0.20325000000000273</v>
      </c>
      <c r="H10">
        <f>(calcs!H27-calcs!I27)/calcs!U16</f>
        <v>0.18433333333333243</v>
      </c>
      <c r="I10">
        <f>(calcs!J27-calcs!K27)/calcs!V16</f>
        <v>0.12299999999999954</v>
      </c>
      <c r="J10">
        <f>(calcs!L27-calcs!M27)/calcs!W16</f>
        <v>0.148900000000001</v>
      </c>
      <c r="K10">
        <f>(calcs!N27-calcs!O27)/calcs!X16</f>
        <v>0.16773333333333387</v>
      </c>
      <c r="M10">
        <f>1573.84-1567.02</f>
        <v>6.8199999999999363</v>
      </c>
      <c r="N10">
        <f>1582.3-1566.99</f>
        <v>15.309999999999945</v>
      </c>
      <c r="O10">
        <f>1610.88-1560.14</f>
        <v>50.740000000000009</v>
      </c>
      <c r="P10">
        <f>1640.52-1556.7</f>
        <v>83.819999999999936</v>
      </c>
      <c r="Q10">
        <f>1658.99-1551.59</f>
        <v>107.40000000000009</v>
      </c>
      <c r="U10">
        <v>79.337899543379237</v>
      </c>
    </row>
    <row r="11" spans="1:31" x14ac:dyDescent="0.3">
      <c r="A11" t="s">
        <v>53</v>
      </c>
      <c r="E11">
        <f>(calcs!B28-calcs!C28)/calcs!R17</f>
        <v>1.4999999999986358E-2</v>
      </c>
      <c r="F11">
        <f>(calcs!D28-calcs!E28)/calcs!S17</f>
        <v>2.1500000000003183E-2</v>
      </c>
      <c r="G11">
        <f>(calcs!F28-calcs!G28)/calcs!T17</f>
        <v>8.8749999999998858E-2</v>
      </c>
      <c r="H11">
        <f>(calcs!H28-calcs!I28)/calcs!U17</f>
        <v>0.11766666666666954</v>
      </c>
      <c r="I11">
        <f>(calcs!J28-calcs!K28)/calcs!V17</f>
        <v>0.11100000000000136</v>
      </c>
      <c r="J11">
        <f>(calcs!L28-calcs!M28)/calcs!W17</f>
        <v>0.12949999999999931</v>
      </c>
      <c r="K11">
        <f>(calcs!N28-calcs!O28)/calcs!X17</f>
        <v>0.15110000000000051</v>
      </c>
      <c r="M11">
        <f>1645.39-1631.89</f>
        <v>13.5</v>
      </c>
      <c r="N11">
        <f>1650.88-1630.37</f>
        <v>20.510000000000218</v>
      </c>
      <c r="O11">
        <f>1660.6-1627.29</f>
        <v>33.309999999999945</v>
      </c>
      <c r="P11">
        <f>1667.48-1618.04</f>
        <v>49.440000000000055</v>
      </c>
      <c r="Q11">
        <f>1673.79-1606.44</f>
        <v>67.349999999999909</v>
      </c>
      <c r="U11">
        <v>61.4484503478809</v>
      </c>
    </row>
    <row r="12" spans="1:31" x14ac:dyDescent="0.3">
      <c r="A12" t="s">
        <v>47</v>
      </c>
      <c r="E12">
        <f>(calcs!B29-calcs!C29)/calcs!R18</f>
        <v>0</v>
      </c>
      <c r="F12">
        <f>(calcs!D29-calcs!E29)/calcs!S18</f>
        <v>0</v>
      </c>
      <c r="G12">
        <f>(calcs!F29-calcs!G29)/calcs!T18</f>
        <v>0</v>
      </c>
      <c r="H12">
        <f>(calcs!H29-calcs!I29)/calcs!U18</f>
        <v>0</v>
      </c>
      <c r="I12">
        <f>(calcs!J29-calcs!K29)/calcs!V18</f>
        <v>0</v>
      </c>
      <c r="J12">
        <f>(calcs!L29-calcs!M29)/calcs!W18</f>
        <v>0</v>
      </c>
      <c r="K12">
        <f>(calcs!N29-calcs!O29)/calcs!X18</f>
        <v>0</v>
      </c>
      <c r="M12">
        <f>1657.09-1656.19</f>
        <v>0.89999999999986358</v>
      </c>
      <c r="N12">
        <f>1659.89-1656.06</f>
        <v>3.8300000000001546</v>
      </c>
      <c r="O12">
        <f>1670.47-1655.92</f>
        <v>14.549999999999955</v>
      </c>
      <c r="P12">
        <f>1677.27-1648.86</f>
        <v>28.410000000000082</v>
      </c>
      <c r="Q12">
        <f>1683.5-1643.54</f>
        <v>39.960000000000036</v>
      </c>
      <c r="U12">
        <v>98.084291187739652</v>
      </c>
    </row>
    <row r="13" spans="1:31" x14ac:dyDescent="0.3">
      <c r="A13" t="s">
        <v>55</v>
      </c>
      <c r="E13">
        <f>(calcs!B30-calcs!C30)/calcs!R19</f>
        <v>8.6999999999989086E-2</v>
      </c>
      <c r="F13">
        <f>(calcs!D30-calcs!E30)/calcs!S19</f>
        <v>0.105499999999995</v>
      </c>
      <c r="G13">
        <f>(calcs!F30-calcs!G30)/calcs!T19</f>
        <v>39.619250000000001</v>
      </c>
      <c r="H13" s="27">
        <f>(calcs!H30-calcs!I30)/calcs!U19</f>
        <v>0</v>
      </c>
      <c r="I13" s="27">
        <f>(calcs!J30-calcs!K30)/calcs!V19</f>
        <v>0</v>
      </c>
      <c r="J13" s="27">
        <f>(calcs!L30-calcs!M30)/calcs!W19</f>
        <v>0</v>
      </c>
      <c r="K13" s="27">
        <f>(calcs!N30-calcs!O30)/calcs!X19</f>
        <v>0</v>
      </c>
      <c r="M13">
        <f>1648.78-1646.61</f>
        <v>2.1700000000000728</v>
      </c>
      <c r="N13">
        <f>1653.8-1645.71</f>
        <v>8.0899999999999181</v>
      </c>
      <c r="O13">
        <f>1663.8-1643.54</f>
        <v>20.259999999999991</v>
      </c>
      <c r="P13">
        <f>1675.14-1640.03</f>
        <v>35.110000000000127</v>
      </c>
      <c r="Q13">
        <f>1678.68-1635.72</f>
        <v>42.960000000000036</v>
      </c>
      <c r="U13">
        <v>95.336512983571382</v>
      </c>
    </row>
    <row r="14" spans="1:31" x14ac:dyDescent="0.3">
      <c r="A14" t="s">
        <v>59</v>
      </c>
      <c r="E14">
        <f>(calcs!B31-calcs!C31)/calcs!R20</f>
        <v>0.13399999999999182</v>
      </c>
      <c r="F14">
        <f>(calcs!D31-calcs!E31)/calcs!S20</f>
        <v>7.6999999999998181E-2</v>
      </c>
      <c r="G14">
        <f>(calcs!F31-calcs!G31)/calcs!T20</f>
        <v>0.19899999999999524</v>
      </c>
      <c r="H14">
        <f>(calcs!H31-calcs!I31)/calcs!U20</f>
        <v>0.17233333333333575</v>
      </c>
      <c r="I14">
        <f>(calcs!J31-calcs!K31)/calcs!V20</f>
        <v>0.16699999999999818</v>
      </c>
      <c r="J14">
        <f>(calcs!L31-calcs!M31)/calcs!W20</f>
        <v>0.137349999999999</v>
      </c>
      <c r="K14" s="27">
        <f>(calcs!N31-calcs!O31)/calcs!X20</f>
        <v>0</v>
      </c>
      <c r="M14">
        <f>1645.14-1629.24</f>
        <v>15.900000000000091</v>
      </c>
      <c r="N14">
        <f>1654.2-1635.72</f>
        <v>18.480000000000018</v>
      </c>
      <c r="O14">
        <f>1661.68-1631.89</f>
        <v>29.789999999999964</v>
      </c>
      <c r="P14">
        <f>1669.53-1626.68</f>
        <v>42.849999999999909</v>
      </c>
      <c r="Q14">
        <f>1675.37-1618.04</f>
        <v>57.329999999999927</v>
      </c>
      <c r="U14">
        <v>98.126064735945022</v>
      </c>
    </row>
    <row r="15" spans="1:31" x14ac:dyDescent="0.3">
      <c r="A15" t="s">
        <v>48</v>
      </c>
      <c r="E15">
        <f>(calcs!B32-calcs!C32)/calcs!R21</f>
        <v>4.0999999999985451E-2</v>
      </c>
      <c r="F15">
        <f>(calcs!D32-calcs!E32)/calcs!S21</f>
        <v>0.10099999999999909</v>
      </c>
      <c r="G15">
        <f>(calcs!F32-calcs!G32)/calcs!T21</f>
        <v>9.6999999999997047E-2</v>
      </c>
      <c r="H15">
        <f>(calcs!H32-calcs!I32)/calcs!U21</f>
        <v>0.12133333333333288</v>
      </c>
      <c r="I15">
        <f>(calcs!J32-calcs!K32)/calcs!V21</f>
        <v>0.11279999999999973</v>
      </c>
      <c r="J15">
        <f>(calcs!L32-calcs!M32)/calcs!W21</f>
        <v>0.1299000000000001</v>
      </c>
      <c r="K15">
        <f>(calcs!N32-calcs!O32)/calcs!X21</f>
        <v>0.14039999999999964</v>
      </c>
      <c r="M15">
        <f>1637.27-1631.89</f>
        <v>5.3799999999998818</v>
      </c>
      <c r="N15">
        <f>1647.99-1630.37</f>
        <v>17.620000000000118</v>
      </c>
      <c r="O15">
        <f>1659.43-1627.29</f>
        <v>32.1400000000001</v>
      </c>
      <c r="P15">
        <f>1668.25-1618.04</f>
        <v>50.210000000000036</v>
      </c>
      <c r="Q15">
        <f>1674.24-1608.29</f>
        <v>65.950000000000045</v>
      </c>
      <c r="U15">
        <v>94.415917843388755</v>
      </c>
    </row>
    <row r="16" spans="1:31" x14ac:dyDescent="0.3">
      <c r="A16" t="s">
        <v>51</v>
      </c>
      <c r="E16">
        <f>(calcs!B33-calcs!C33)/calcs!R22</f>
        <v>7.999999999999545E-2</v>
      </c>
      <c r="F16">
        <f>(calcs!D33-calcs!E33)/calcs!S22</f>
        <v>0.12899999999999637</v>
      </c>
      <c r="G16">
        <f>(calcs!F33-calcs!G33)/calcs!T22</f>
        <v>8.2499999999998866E-2</v>
      </c>
      <c r="H16">
        <f>(calcs!H33-calcs!I33)/calcs!U22</f>
        <v>7.2666666666665006E-2</v>
      </c>
      <c r="I16">
        <f>(calcs!J33-calcs!K33)/calcs!V22</f>
        <v>5.9100000000000819E-2</v>
      </c>
      <c r="J16">
        <f>(calcs!L33-calcs!M33)/calcs!W22</f>
        <v>8.4950000000000039E-2</v>
      </c>
      <c r="K16">
        <f>(calcs!N33-calcs!O33)/calcs!X22</f>
        <v>8.4933333333333388E-2</v>
      </c>
      <c r="M16">
        <f>1539.73-1531.68</f>
        <v>8.0499999999999545</v>
      </c>
      <c r="N16">
        <f>1548.2-1531.48</f>
        <v>16.720000000000027</v>
      </c>
      <c r="O16">
        <f>1573.58-1529.76</f>
        <v>43.819999999999936</v>
      </c>
      <c r="P16">
        <f>1608.07-1525.71</f>
        <v>82.3599999999999</v>
      </c>
      <c r="Q16">
        <f>1627.26-1518.83</f>
        <v>108.43000000000006</v>
      </c>
      <c r="U16">
        <v>82.681940700808539</v>
      </c>
    </row>
    <row r="17" spans="1:21" x14ac:dyDescent="0.3">
      <c r="A17" t="s">
        <v>58</v>
      </c>
      <c r="E17">
        <f>(calcs!B34-calcs!C34)/calcs!R23</f>
        <v>8.9000000000010002E-2</v>
      </c>
      <c r="F17">
        <f>(calcs!D34-calcs!E34)/calcs!S23</f>
        <v>-2.1000000000003637E-2</v>
      </c>
      <c r="G17">
        <f>(calcs!F34-calcs!G34)/calcs!T23</f>
        <v>3.7499999999999999E-2</v>
      </c>
      <c r="H17">
        <f>(calcs!H34-calcs!I34)/calcs!U23</f>
        <v>7.1666666666665907E-2</v>
      </c>
      <c r="I17">
        <f>(calcs!J34-calcs!K34)/calcs!V23</f>
        <v>8.0800000000001551E-2</v>
      </c>
      <c r="J17">
        <f>(calcs!L34-calcs!M34)/calcs!W23</f>
        <v>9.1449999999999823E-2</v>
      </c>
      <c r="K17">
        <f>(calcs!N34-calcs!O34)/calcs!X23</f>
        <v>8.6699999999999972E-2</v>
      </c>
      <c r="M17">
        <f>1542.21-1536.65</f>
        <v>5.5599999999999454</v>
      </c>
      <c r="N17">
        <f>1552.32-1535.09</f>
        <v>17.230000000000018</v>
      </c>
      <c r="O17">
        <f>1570.52-1533.56</f>
        <v>36.960000000000036</v>
      </c>
      <c r="P17">
        <f>1604.21-1529.76</f>
        <v>74.450000000000045</v>
      </c>
      <c r="Q17">
        <f>1628.92-1527.28</f>
        <v>101.6400000000001</v>
      </c>
      <c r="U17">
        <v>32.621440536013566</v>
      </c>
    </row>
    <row r="18" spans="1:21" x14ac:dyDescent="0.3">
      <c r="A18" t="s">
        <v>54</v>
      </c>
      <c r="E18">
        <f>(calcs!B35-calcs!C35)/calcs!R24</f>
        <v>0.17999999999999544</v>
      </c>
      <c r="F18">
        <f>(calcs!D35-calcs!E35)/calcs!S24</f>
        <v>0.12799999999999728</v>
      </c>
      <c r="G18">
        <f>(calcs!F35-calcs!G35)/calcs!T24</f>
        <v>0.15550000000000069</v>
      </c>
      <c r="H18">
        <f>(calcs!J35-calcs!K35)/calcs!U24</f>
        <v>0.29016666666666802</v>
      </c>
      <c r="I18">
        <f>(calcs!J35-calcs!K35)/calcs!V24</f>
        <v>0.17410000000000081</v>
      </c>
      <c r="J18">
        <f>(calcs!L35-calcs!M35)/calcs!W24</f>
        <v>0.16360000000000013</v>
      </c>
      <c r="K18">
        <f>(calcs!N35-calcs!O35)/calcs!X24</f>
        <v>0.1624000000000001</v>
      </c>
      <c r="M18">
        <f>1585.67-1579.14</f>
        <v>6.5299999999999727</v>
      </c>
      <c r="N18">
        <f>1592.74-1577.8</f>
        <v>14.940000000000055</v>
      </c>
      <c r="O18">
        <f>1612.19-1572.23</f>
        <v>39.960000000000036</v>
      </c>
      <c r="P18">
        <f>1649.2-1564.47</f>
        <v>84.730000000000018</v>
      </c>
      <c r="Q18">
        <f>1661.61-1558.01</f>
        <v>103.59999999999991</v>
      </c>
      <c r="U18">
        <v>49.495327102803991</v>
      </c>
    </row>
    <row r="19" spans="1:21" x14ac:dyDescent="0.3">
      <c r="A19" s="17" t="s">
        <v>62</v>
      </c>
      <c r="E19">
        <f>(calcs!B3-calcs!C3)/calcs!B2</f>
        <v>0.13299999999999274</v>
      </c>
      <c r="F19">
        <f>(calcs!D3-calcs!E3)/calcs!D2</f>
        <v>8.3000000000004098E-2</v>
      </c>
      <c r="G19">
        <f>(calcs!F3-calcs!G3)/calcs!F2</f>
        <v>0.11349999999999909</v>
      </c>
      <c r="H19">
        <f>(calcs!H3-calcs!I3)/calcs!H2</f>
        <v>0.13049999999999878</v>
      </c>
      <c r="I19">
        <f>(calcs!J3-calcs!K3)/calcs!J2</f>
        <v>0.113900000000001</v>
      </c>
      <c r="J19">
        <f>(calcs!L3-calcs!M3)/calcs!L2</f>
        <v>0.13804999999999951</v>
      </c>
      <c r="K19">
        <f>(calcs!N3-calcs!O3)/calcs!N2</f>
        <v>0.16976666666666687</v>
      </c>
      <c r="M19">
        <f>1656.98-1654.75</f>
        <v>2.2300000000000182</v>
      </c>
      <c r="N19">
        <f>1662.02-1651.17</f>
        <v>10.849999999999909</v>
      </c>
      <c r="O19">
        <f>1677.77-1644.25</f>
        <v>33.519999999999982</v>
      </c>
      <c r="P19">
        <f>1687.14-1636.69</f>
        <v>50.450000000000045</v>
      </c>
      <c r="Q19">
        <f>1691.44-1628.99</f>
        <v>62.450000000000045</v>
      </c>
      <c r="U19">
        <v>77.179487179487566</v>
      </c>
    </row>
    <row r="20" spans="1:21" x14ac:dyDescent="0.3">
      <c r="A20" s="17" t="s">
        <v>65</v>
      </c>
      <c r="E20">
        <f>(calcs!B4-calcs!C4)/calcs!B2</f>
        <v>0.45299999999999729</v>
      </c>
      <c r="F20">
        <f>(calcs!D4-calcs!E4)/calcs!D2</f>
        <v>0.23600000000000138</v>
      </c>
      <c r="G20">
        <f>(calcs!F4-calcs!G4)/calcs!F2</f>
        <v>0.21274999999999977</v>
      </c>
      <c r="H20">
        <f>(calcs!H4-calcs!I4)/calcs!H2</f>
        <v>0.29366666666666486</v>
      </c>
      <c r="I20">
        <f>(calcs!J4-calcs!K4)/calcs!J2</f>
        <v>0.24399999999999863</v>
      </c>
      <c r="J20">
        <f>(calcs!L4-calcs!M4)/calcs!L2</f>
        <v>0.16225000000000023</v>
      </c>
      <c r="K20">
        <f>(calcs!N4-calcs!O4)/calcs!N2</f>
        <v>0.18413333333333337</v>
      </c>
      <c r="M20">
        <f>1630.76-1623.71</f>
        <v>7.0499999999999545</v>
      </c>
      <c r="N20">
        <f>1644.63-1620</f>
        <v>24.630000000000109</v>
      </c>
      <c r="O20">
        <f>1661.27-1617.15</f>
        <v>44.119999999999891</v>
      </c>
      <c r="P20">
        <f>1678.06-1607.23</f>
        <v>70.829999999999927</v>
      </c>
      <c r="Q20">
        <f>1686.72-1598.74</f>
        <v>87.980000000000018</v>
      </c>
      <c r="U20">
        <v>93.245469522240271</v>
      </c>
    </row>
    <row r="21" spans="1:21" x14ac:dyDescent="0.3">
      <c r="A21" s="17" t="s">
        <v>64</v>
      </c>
      <c r="E21">
        <f>(calcs!B5-calcs!C5)/calcs!B2</f>
        <v>7.3000000000001813E-2</v>
      </c>
      <c r="F21">
        <f>(calcs!D5-calcs!E5)/calcs!D2</f>
        <v>0.20350000000000817</v>
      </c>
      <c r="G21">
        <f>(calcs!F5-calcs!G5)/calcs!F2</f>
        <v>0.18799999999999956</v>
      </c>
      <c r="H21">
        <f>(calcs!H5-calcs!I5)/calcs!H2</f>
        <v>0.2236666666666641</v>
      </c>
      <c r="I21">
        <f>(calcs!J5-calcs!K5)/calcs!J2</f>
        <v>0.22359999999999899</v>
      </c>
      <c r="J21">
        <f>(calcs!L5-calcs!M5)/calcs!L2</f>
        <v>0.20424999999999954</v>
      </c>
      <c r="K21">
        <f>(calcs!N5-calcs!O5)/calcs!N2</f>
        <v>0.22320000000000012</v>
      </c>
      <c r="M21">
        <f>1604.3-1602.08</f>
        <v>2.2200000000000273</v>
      </c>
      <c r="N21">
        <f>1611.86-1589.74</f>
        <v>22.119999999999891</v>
      </c>
      <c r="O21">
        <f>1629.62-1589.5</f>
        <v>40.119999999999891</v>
      </c>
      <c r="P21">
        <f>1665.65-1580.03</f>
        <v>85.620000000000118</v>
      </c>
      <c r="Q21">
        <f>1677.01-1568.67</f>
        <v>108.33999999999992</v>
      </c>
      <c r="U21">
        <v>94.52852153667007</v>
      </c>
    </row>
    <row r="22" spans="1:21" x14ac:dyDescent="0.3">
      <c r="A22" s="17" t="s">
        <v>63</v>
      </c>
      <c r="E22">
        <f>(calcs!B6-calcs!C6)/calcs!B2</f>
        <v>0.25599999999999457</v>
      </c>
      <c r="F22">
        <f>(calcs!D6-calcs!E6)/calcs!D2</f>
        <v>0.25849999999999229</v>
      </c>
      <c r="G22">
        <f>(calcs!F6-calcs!G6)/calcs!F2</f>
        <v>0.28450000000000275</v>
      </c>
      <c r="H22">
        <f>(calcs!H6-calcs!I6)/calcs!H2</f>
        <v>0.23816666666666605</v>
      </c>
      <c r="I22">
        <f>(calcs!J6-calcs!K6)/calcs!J2</f>
        <v>0.23139999999999872</v>
      </c>
      <c r="J22">
        <f>(calcs!L6-calcs!M6)/calcs!L2</f>
        <v>0.20575000000000046</v>
      </c>
      <c r="K22">
        <f>(calcs!N6-calcs!O6)/calcs!N2</f>
        <v>0.22126666666666628</v>
      </c>
      <c r="M22">
        <f>1593.36-1589.5</f>
        <v>3.8599999999999</v>
      </c>
      <c r="N22">
        <f>1598.16-1585.59</f>
        <v>12.570000000000164</v>
      </c>
      <c r="O22">
        <f>1618.01-1582.21</f>
        <v>35.799999999999955</v>
      </c>
      <c r="P22">
        <f>1653.49-1570.39</f>
        <v>83.099999999999909</v>
      </c>
      <c r="Q22">
        <f>1673.33-1558.06</f>
        <v>115.26999999999998</v>
      </c>
      <c r="U22">
        <v>80.497737556561162</v>
      </c>
    </row>
    <row r="23" spans="1:21" x14ac:dyDescent="0.3">
      <c r="A23" s="17" t="s">
        <v>72</v>
      </c>
      <c r="E23">
        <f>(calcs!B12-calcs!C12)/calcs!B2</f>
        <v>0.13699999999998907</v>
      </c>
      <c r="F23">
        <f>(calcs!D12-calcs!E12)/calcs!D2</f>
        <v>0.18100000000000591</v>
      </c>
      <c r="G23">
        <f>(calcs!F12-calcs!G12)/calcs!F2</f>
        <v>0.15924999999999728</v>
      </c>
      <c r="H23">
        <f>(calcs!H12-calcs!I12)/calcs!H2</f>
        <v>0.18383333333333288</v>
      </c>
      <c r="I23">
        <f>(calcs!J12-calcs!K12)/calcs!J2</f>
        <v>0.15620000000000117</v>
      </c>
      <c r="J23">
        <f>(calcs!L12-calcs!M12)/calcs!L2</f>
        <v>0.15904999999999972</v>
      </c>
      <c r="K23">
        <f>(calcs!N12-calcs!O12)/calcs!N2</f>
        <v>0.16663333333333336</v>
      </c>
      <c r="M23">
        <f>1568.22-1560.01</f>
        <v>8.2100000000000364</v>
      </c>
      <c r="N23">
        <f>1574.08-1556.86</f>
        <v>17.220000000000027</v>
      </c>
      <c r="O23">
        <f>1599.94-1552.39</f>
        <v>47.549999999999955</v>
      </c>
      <c r="P23">
        <f>1628.37-1545.63</f>
        <v>82.739999999999782</v>
      </c>
      <c r="Q23">
        <f>1658.93-1534.38</f>
        <v>124.54999999999995</v>
      </c>
      <c r="U23">
        <v>97.206349206349401</v>
      </c>
    </row>
    <row r="24" spans="1:21" x14ac:dyDescent="0.3">
      <c r="A24" s="17" t="s">
        <v>70</v>
      </c>
      <c r="E24">
        <f>(calcs!B13-calcs!C13)/calcs!B2</f>
        <v>0.17300000000000182</v>
      </c>
      <c r="F24">
        <f>(calcs!D13-calcs!E13)/calcs!D2</f>
        <v>0.15249999999999772</v>
      </c>
      <c r="G24">
        <f>(calcs!F13-calcs!G13)/calcs!F2</f>
        <v>0.2025000000000034</v>
      </c>
      <c r="H24">
        <f>(calcs!H13-calcs!I13)/calcs!H2</f>
        <v>0.2</v>
      </c>
      <c r="I24">
        <f>(calcs!J13-calcs!K13)/calcs!J2</f>
        <v>0.18319999999999936</v>
      </c>
      <c r="J24">
        <f>(calcs!L13-calcs!M13)/calcs!L2</f>
        <v>0.17279999999999973</v>
      </c>
      <c r="K24">
        <f>(calcs!N13-calcs!O13)/calcs!N2</f>
        <v>0.17983333333333273</v>
      </c>
      <c r="M24">
        <f>1568.87-1564.33</f>
        <v>4.5399999999999636</v>
      </c>
      <c r="N24">
        <f>1575.56-1559.98</f>
        <v>15.579999999999927</v>
      </c>
      <c r="O24">
        <f>1607.65-1557.33</f>
        <v>50.320000000000164</v>
      </c>
      <c r="P24">
        <f>1636.42-1554.2</f>
        <v>82.220000000000027</v>
      </c>
      <c r="Q24">
        <f>1661.4-1546.38</f>
        <v>115.01999999999998</v>
      </c>
      <c r="U24">
        <v>22.003929273084832</v>
      </c>
    </row>
    <row r="25" spans="1:21" x14ac:dyDescent="0.3">
      <c r="A25" s="17" t="s">
        <v>120</v>
      </c>
      <c r="E25">
        <f>(calcs!B72-calcs!C72)/calcs!R10</f>
        <v>0.19700000000000273</v>
      </c>
      <c r="F25">
        <f>(calcs!D72-calcs!E72)/calcs!S10</f>
        <v>0.16949999999999363</v>
      </c>
      <c r="G25">
        <f>(calcs!F72-calcs!G72)/calcs!T10</f>
        <v>0.20299999999999727</v>
      </c>
      <c r="H25">
        <f>(calcs!H72-calcs!I72)/calcs!U10</f>
        <v>0.16866666666666486</v>
      </c>
      <c r="I25">
        <f>(calcs!J72-calcs!K72)/calcs!V10</f>
        <v>0.18819999999999937</v>
      </c>
      <c r="J25">
        <f>(calcs!L72-calcs!M72)/calcs!W10</f>
        <v>0.18644999999999981</v>
      </c>
      <c r="K25">
        <f>(calcs!N72-calcs!O72)/calcs!X10</f>
        <v>0.19863333333333305</v>
      </c>
      <c r="M25">
        <f>1582.69-1570.55</f>
        <v>12.1400000000001</v>
      </c>
      <c r="N25">
        <f>1593.28-1570.55</f>
        <v>22.730000000000018</v>
      </c>
      <c r="O25">
        <f>1615.09-1562.62</f>
        <v>52.470000000000027</v>
      </c>
      <c r="P25">
        <f>1648.24-1556.86</f>
        <v>91.380000000000109</v>
      </c>
      <c r="Q25">
        <f>1664.48-1549.4</f>
        <v>115.07999999999993</v>
      </c>
    </row>
    <row r="26" spans="1:21" x14ac:dyDescent="0.3">
      <c r="A26" s="17" t="s">
        <v>69</v>
      </c>
      <c r="E26">
        <f>(calcs!B14-calcs!C14)/calcs!B2</f>
        <v>0.1990000000000009</v>
      </c>
      <c r="F26">
        <f>(calcs!D14-calcs!E14)/calcs!D2</f>
        <v>0.15349999999999681</v>
      </c>
      <c r="G26">
        <f>(calcs!F14-calcs!G14)/calcs!F2</f>
        <v>0.15049999999999955</v>
      </c>
      <c r="H26">
        <f>(calcs!H14-calcs!I14)/calcs!H2</f>
        <v>0.1384999999999991</v>
      </c>
      <c r="I26">
        <f>(calcs!J14-calcs!K14)/calcs!J2</f>
        <v>0.18069999999999936</v>
      </c>
      <c r="J26">
        <f>(calcs!L14-calcs!M14)/calcs!L2</f>
        <v>0.18849999999999908</v>
      </c>
      <c r="K26">
        <f>(calcs!N14-calcs!O14)/calcs!N2</f>
        <v>0.17630000000000035</v>
      </c>
      <c r="M26">
        <f>1620.24-1618.81</f>
        <v>1.4300000000000637</v>
      </c>
      <c r="N26">
        <f>1628.55-1617.77</f>
        <v>10.779999999999973</v>
      </c>
      <c r="O26">
        <f>1654.16-1613.24</f>
        <v>40.920000000000073</v>
      </c>
      <c r="P26">
        <f>1675.96-1606.22</f>
        <v>69.740000000000009</v>
      </c>
      <c r="Q26">
        <f>1684.81-1593.36</f>
        <v>91.450000000000045</v>
      </c>
      <c r="U26">
        <v>37.904269081500395</v>
      </c>
    </row>
    <row r="27" spans="1:21" x14ac:dyDescent="0.3">
      <c r="A27" t="s">
        <v>119</v>
      </c>
      <c r="E27">
        <f>(calcs!B73-calcs!C73)/calcs!R11</f>
        <v>0</v>
      </c>
      <c r="F27">
        <f>(calcs!D73-calcs!E73)/calcs!S11</f>
        <v>0</v>
      </c>
      <c r="G27">
        <f>(calcs!F73-calcs!G73)/calcs!T11</f>
        <v>0</v>
      </c>
      <c r="H27">
        <f>(calcs!H73-calcs!I73)/calcs!U11</f>
        <v>0</v>
      </c>
      <c r="I27">
        <f>(calcs!J73-calcs!K73)/calcs!V11</f>
        <v>0</v>
      </c>
      <c r="J27">
        <f>(calcs!L73-calcs!M73)/calcs!W11</f>
        <v>0</v>
      </c>
      <c r="K27">
        <f>(calcs!N73-calcs!O73)/calcs!X11</f>
        <v>0</v>
      </c>
      <c r="M27">
        <f>1663.29-1660.34</f>
        <v>2.9500000000000455</v>
      </c>
      <c r="N27">
        <f>1666.6-1658.16</f>
        <v>8.4399999999998272</v>
      </c>
      <c r="O27">
        <f>1672.97-1650.9</f>
        <v>22.069999999999936</v>
      </c>
      <c r="P27">
        <f>1678.59-1642.6</f>
        <v>35.990000000000009</v>
      </c>
      <c r="Q27">
        <f>1683-1635.39</f>
        <v>47.6099999999999</v>
      </c>
    </row>
    <row r="28" spans="1:21" x14ac:dyDescent="0.3">
      <c r="A28" t="s">
        <v>116</v>
      </c>
      <c r="E28">
        <f>(calcs!B74-calcs!C74)/calcs!R12</f>
        <v>0</v>
      </c>
      <c r="F28">
        <f>(calcs!D74-calcs!E74)/calcs!S12</f>
        <v>0</v>
      </c>
      <c r="G28">
        <f>(calcs!F74-calcs!G74)/calcs!T12</f>
        <v>0</v>
      </c>
      <c r="H28">
        <f>(calcs!H74-calcs!I74)/calcs!U12</f>
        <v>0</v>
      </c>
      <c r="I28">
        <f>(calcs!J74-calcs!K74)/calcs!V12</f>
        <v>0</v>
      </c>
      <c r="J28">
        <f>(calcs!L74-calcs!M74)/calcs!W12</f>
        <v>0</v>
      </c>
      <c r="K28">
        <f>(calcs!N74-calcs!O74)/calcs!X12</f>
        <v>0</v>
      </c>
      <c r="M28">
        <f>1654.1-1646.49</f>
        <v>7.6099999999999</v>
      </c>
      <c r="N28">
        <f>1660.74-1643.24</f>
        <v>17.5</v>
      </c>
      <c r="O28">
        <f>1670.55-1641.97</f>
        <v>28.579999999999927</v>
      </c>
      <c r="P28">
        <f>1678.94-1632.97</f>
        <v>45.970000000000027</v>
      </c>
      <c r="Q28">
        <f>1679.31-1629.43</f>
        <v>49.879999999999882</v>
      </c>
    </row>
    <row r="29" spans="1:21" x14ac:dyDescent="0.3">
      <c r="A29" t="s">
        <v>122</v>
      </c>
      <c r="E29">
        <f>(calcs!B75-calcs!C75)/calcs!R13</f>
        <v>7.2000000000002728E-2</v>
      </c>
      <c r="F29">
        <f>(calcs!D75-calcs!E75)/calcs!S13</f>
        <v>0.11700000000000728</v>
      </c>
      <c r="G29">
        <f>(calcs!F75-calcs!G75)/calcs!T13</f>
        <v>0.10749999999999886</v>
      </c>
      <c r="H29" s="27">
        <f>(calcs!H75-calcs!I75)/calcs!U13</f>
        <v>0</v>
      </c>
      <c r="I29" s="27">
        <f>(calcs!J75-calcs!K75)/calcs!V13</f>
        <v>0</v>
      </c>
      <c r="J29" s="27">
        <f>(calcs!L75-calcs!M75)/calcs!W13</f>
        <v>0</v>
      </c>
      <c r="K29" s="27">
        <f>(calcs!N75-calcs!O75)/calcs!X13</f>
        <v>0</v>
      </c>
      <c r="M29">
        <f>1641.1-1632.15</f>
        <v>8.9499999999998181</v>
      </c>
      <c r="N29">
        <f>1646.01-1631.13</f>
        <v>14.879999999999882</v>
      </c>
      <c r="O29">
        <f>1659.05-1629.43</f>
        <v>29.619999999999891</v>
      </c>
      <c r="P29">
        <f>1672.3-1620.99</f>
        <v>51.309999999999945</v>
      </c>
      <c r="Q29">
        <f>1678.41-1617.52</f>
        <v>60.8900000000001</v>
      </c>
    </row>
    <row r="30" spans="1:21" x14ac:dyDescent="0.3">
      <c r="A30" t="s">
        <v>117</v>
      </c>
      <c r="E30">
        <f>(calcs!B76-calcs!C76)/calcs!R14</f>
        <v>0.10599999999999454</v>
      </c>
      <c r="F30">
        <f>(calcs!D76-calcs!E76)/calcs!S14</f>
        <v>0.12050000000000409</v>
      </c>
      <c r="G30">
        <f>(calcs!F76-calcs!G76)/calcs!T14</f>
        <v>0.11474999999999795</v>
      </c>
      <c r="H30">
        <f>(calcs!H76-calcs!I76)/calcs!U14</f>
        <v>0.11516666666666803</v>
      </c>
      <c r="I30">
        <f>(calcs!J76-calcs!K76)/calcs!V14</f>
        <v>0.10950000000000046</v>
      </c>
      <c r="J30">
        <f>(calcs!L76-calcs!M76)/calcs!W14</f>
        <v>0.10784999999999968</v>
      </c>
      <c r="K30" s="27">
        <f>(calcs!N76-calcs!O76)/calcs!X14</f>
        <v>-5.3644333333333334</v>
      </c>
      <c r="M30">
        <f>1631.32-1627.24</f>
        <v>4.0799999999999272</v>
      </c>
      <c r="N30">
        <f>1637.11-1620.76</f>
        <v>16.349999999999909</v>
      </c>
      <c r="O30">
        <f>1648.48-1617.52</f>
        <v>30.960000000000036</v>
      </c>
      <c r="P30">
        <f>1667.36-1608.7</f>
        <v>58.659999999999854</v>
      </c>
      <c r="Q30">
        <f>1676-1604.39</f>
        <v>71.6099999999999</v>
      </c>
    </row>
    <row r="31" spans="1:21" x14ac:dyDescent="0.3">
      <c r="A31" t="s">
        <v>88</v>
      </c>
      <c r="E31">
        <f>(calcs!B36-calcs!C36)/calcs!R10</f>
        <v>5.8999999999991816E-2</v>
      </c>
      <c r="F31">
        <f>(calcs!D36-calcs!E36)/calcs!S10</f>
        <v>6.6499999999996368E-2</v>
      </c>
      <c r="G31">
        <f>(calcs!F36-calcs!G36)/calcs!T10</f>
        <v>0.10200000000000387</v>
      </c>
      <c r="H31">
        <f>(calcs!H36-calcs!I36)/calcs!U10</f>
        <v>9.8499999999997576E-2</v>
      </c>
      <c r="I31">
        <f>(calcs!J36-calcs!K36)/calcs!V10</f>
        <v>9.6500000000000904E-2</v>
      </c>
      <c r="J31">
        <f>(calcs!L36-calcs!M36)/calcs!W10</f>
        <v>9.3149999999999414E-2</v>
      </c>
      <c r="K31">
        <f>(calcs!N36-calcs!O36)/calcs!X10</f>
        <v>9.7266666666666876E-2</v>
      </c>
      <c r="M31">
        <f>1622.26-1612.7</f>
        <v>9.5599999999999454</v>
      </c>
      <c r="N31">
        <f>1626.36-1607.33</f>
        <v>19.029999999999973</v>
      </c>
      <c r="O31">
        <f>1645.58-1603.6</f>
        <v>41.980000000000018</v>
      </c>
      <c r="P31">
        <f>1659.94-1597.76</f>
        <v>62.180000000000064</v>
      </c>
      <c r="Q31">
        <f>1671.05-1594.41</f>
        <v>76.639999999999873</v>
      </c>
      <c r="U31">
        <v>0</v>
      </c>
    </row>
    <row r="32" spans="1:21" x14ac:dyDescent="0.3">
      <c r="A32" t="s">
        <v>90</v>
      </c>
      <c r="E32">
        <f>(calcs!B37-calcs!C37)/calcs!R11</f>
        <v>5.0000000000181895E-3</v>
      </c>
      <c r="F32">
        <f>(calcs!D37-calcs!E37)/calcs!S11</f>
        <v>8.4500000000002726E-2</v>
      </c>
      <c r="G32">
        <f>(calcs!F37-calcs!G37)/calcs!T11</f>
        <v>9.5000000000004553E-2</v>
      </c>
      <c r="H32">
        <f>(calcs!H37-calcs!I37)/calcs!U11</f>
        <v>8.0166666666665762E-2</v>
      </c>
      <c r="I32">
        <f>(calcs!J37-calcs!K37)/calcs!V11</f>
        <v>7.8800000000001091E-2</v>
      </c>
      <c r="J32">
        <f>(calcs!L37-calcs!M37)/calcs!W11</f>
        <v>7.9450000000000506E-2</v>
      </c>
      <c r="K32">
        <f>(calcs!N37-calcs!O37)/calcs!X11</f>
        <v>7.4933333333333393E-2</v>
      </c>
      <c r="M32">
        <f>1604.68-1595.73</f>
        <v>8.9500000000000455</v>
      </c>
      <c r="N32">
        <f>1612.23-1595.73</f>
        <v>16.5</v>
      </c>
      <c r="O32">
        <f>1622.54-1593.46</f>
        <v>29.079999999999927</v>
      </c>
      <c r="P32">
        <f>1641.52-1590.13</f>
        <v>51.389999999999873</v>
      </c>
      <c r="Q32">
        <f>1654.15-1586.16</f>
        <v>67.990000000000009</v>
      </c>
      <c r="U32">
        <v>68.466898954703908</v>
      </c>
    </row>
    <row r="33" spans="1:21" x14ac:dyDescent="0.3">
      <c r="A33" t="s">
        <v>118</v>
      </c>
      <c r="E33">
        <f>(calcs!B77-calcs!C77)/calcs!R14</f>
        <v>4.1999999999984536E-2</v>
      </c>
      <c r="F33">
        <f>(calcs!D77-calcs!E77)/calcs!S15</f>
        <v>4.1999999999995909E-2</v>
      </c>
      <c r="G33">
        <f>(calcs!F77-calcs!G77)/calcs!T15</f>
        <v>5.4250000000001818E-2</v>
      </c>
      <c r="H33">
        <f>(calcs!H77-calcs!I77)/calcs!U15</f>
        <v>5.633333333333515E-2</v>
      </c>
      <c r="I33">
        <f>(calcs!J77-calcs!K77)/calcs!V15</f>
        <v>5.8099999999999458E-2</v>
      </c>
      <c r="J33">
        <f>(calcs!L77-calcs!M77)/calcs!W15</f>
        <v>5.2450000000000045E-2</v>
      </c>
      <c r="K33">
        <f>(calcs!N77-calcs!O77)/calcs!X15</f>
        <v>5.7599999999999908E-2</v>
      </c>
      <c r="M33">
        <f>1591.95-1586.64</f>
        <v>5.3099999999999454</v>
      </c>
      <c r="N33">
        <f>1600.86-1584.03</f>
        <v>16.829999999999927</v>
      </c>
      <c r="O33">
        <f>1617.03-1582.86</f>
        <v>34.170000000000073</v>
      </c>
      <c r="P33">
        <f>1633.81-1580.61</f>
        <v>53.200000000000045</v>
      </c>
      <c r="Q33">
        <f>1639.15-1577.81</f>
        <v>61.340000000000146</v>
      </c>
    </row>
    <row r="34" spans="1:21" x14ac:dyDescent="0.3">
      <c r="A34" t="s">
        <v>124</v>
      </c>
      <c r="E34">
        <f>(calcs!B78-calcs!C78)/calcs!R15</f>
        <v>7.5999999999999096E-2</v>
      </c>
      <c r="F34">
        <f>(calcs!D78-calcs!E78)/calcs!S16</f>
        <v>2.9499999999995908E-2</v>
      </c>
      <c r="G34">
        <f>(calcs!F78-calcs!G78)/calcs!T16</f>
        <v>8.9999999999974996E-3</v>
      </c>
      <c r="H34">
        <f>(calcs!H78-calcs!I78)/calcs!U16</f>
        <v>3.5000000000002272E-2</v>
      </c>
      <c r="I34">
        <f>(calcs!J78-calcs!K78)/calcs!V16</f>
        <v>5.7699999999999821E-2</v>
      </c>
      <c r="J34">
        <f>(calcs!L78-calcs!M78)/calcs!W16</f>
        <v>6.1100000000000133E-2</v>
      </c>
      <c r="K34">
        <f>(calcs!N78-calcs!O78)/calcs!X16</f>
        <v>5.6099999999999754E-2</v>
      </c>
      <c r="M34">
        <f>1573.53-1571.7</f>
        <v>1.8299999999999272</v>
      </c>
      <c r="N34">
        <f>1576.15-1571.56</f>
        <v>4.5900000000001455</v>
      </c>
      <c r="O34">
        <f>1587.33-1569.39</f>
        <v>17.939999999999827</v>
      </c>
      <c r="P34">
        <f>1604.39-1567.07</f>
        <v>37.320000000000164</v>
      </c>
      <c r="Q34">
        <f>1617.53-1564.3</f>
        <v>53.230000000000018</v>
      </c>
    </row>
    <row r="35" spans="1:21" x14ac:dyDescent="0.3">
      <c r="A35" t="s">
        <v>123</v>
      </c>
      <c r="E35">
        <f>(calcs!B79-calcs!C79)/calcs!R16</f>
        <v>0.14300000000000637</v>
      </c>
      <c r="F35">
        <f>(calcs!D79-calcs!E79)/calcs!S17</f>
        <v>7.4500000000000455E-2</v>
      </c>
      <c r="G35">
        <f>(calcs!F79-calcs!G79)/calcs!T17</f>
        <v>6.8750000000000006E-2</v>
      </c>
      <c r="H35">
        <f>(calcs!H79-calcs!I79)/calcs!U17</f>
        <v>5.8999999999999393E-2</v>
      </c>
      <c r="I35">
        <f>(calcs!J79-calcs!K79)/calcs!V17</f>
        <v>6.9100000000000814E-2</v>
      </c>
      <c r="J35">
        <f>(calcs!L79-calcs!M79)/calcs!W17</f>
        <v>0.10360000000000014</v>
      </c>
      <c r="K35">
        <f>(calcs!N79-calcs!O79)/calcs!X17</f>
        <v>0.11119999999999966</v>
      </c>
      <c r="M35">
        <f>1540.06-1530.68</f>
        <v>9.3799999999998818</v>
      </c>
      <c r="N35">
        <f>1545.59-1525.51</f>
        <v>20.079999999999927</v>
      </c>
      <c r="O35">
        <f>1564.37-1520.82</f>
        <v>43.549999999999955</v>
      </c>
      <c r="P35">
        <f>1579.01-1517.88</f>
        <v>61.129999999999882</v>
      </c>
      <c r="Q35">
        <f>1592.04-1507.7</f>
        <v>84.339999999999918</v>
      </c>
    </row>
    <row r="36" spans="1:21" x14ac:dyDescent="0.3">
      <c r="A36" t="s">
        <v>126</v>
      </c>
      <c r="E36">
        <f>(calcs!B80-calcs!C80)/calcs!R17</f>
        <v>0.14900000000000091</v>
      </c>
      <c r="F36">
        <f>(calcs!D80-calcs!E80)/calcs!S18</f>
        <v>6.7500000000006818E-2</v>
      </c>
      <c r="G36">
        <f>(calcs!F80-calcs!G80)/calcs!T18</f>
        <v>0.11700000000000159</v>
      </c>
      <c r="H36">
        <f>(calcs!H80-calcs!I80)/calcs!U18</f>
        <v>0.14350000000000213</v>
      </c>
      <c r="I36">
        <f>(calcs!J80-calcs!K80)/calcs!V18</f>
        <v>0.14700000000000046</v>
      </c>
      <c r="J36">
        <f>(calcs!L80-calcs!M80)/calcs!W18</f>
        <v>0.16810000000000058</v>
      </c>
      <c r="K36">
        <f>(calcs!N80-calcs!O80)/calcs!X18</f>
        <v>0.16643333333333354</v>
      </c>
      <c r="M36">
        <f>1401.73-1399.13</f>
        <v>2.5999999999999091</v>
      </c>
      <c r="N36">
        <f>1405.98-1396.77</f>
        <v>9.2100000000000364</v>
      </c>
      <c r="O36">
        <f>1427.15-1393.66</f>
        <v>33.490000000000009</v>
      </c>
      <c r="P36">
        <f>1458.28-1388.27</f>
        <v>70.009999999999991</v>
      </c>
      <c r="Q36">
        <f>1480.6-1383.62</f>
        <v>96.980000000000018</v>
      </c>
    </row>
    <row r="37" spans="1:21" x14ac:dyDescent="0.3">
      <c r="A37" t="s">
        <v>125</v>
      </c>
      <c r="E37">
        <f>(calcs!B81-calcs!C81)/calcs!R18</f>
        <v>4.9999999999954525E-3</v>
      </c>
      <c r="F37">
        <f>(calcs!D81-calcs!E81)/calcs!S19</f>
        <v>0.13999999999999774</v>
      </c>
      <c r="G37">
        <f>(calcs!F81-calcs!G81)/calcs!T19</f>
        <v>0.18949999999999817</v>
      </c>
      <c r="H37">
        <f>(calcs!H81-calcs!I81)/calcs!U19</f>
        <v>0.18099999999999833</v>
      </c>
      <c r="I37">
        <f>(calcs!J81-calcs!K81)/calcs!V19</f>
        <v>0.20710000000000037</v>
      </c>
      <c r="J37">
        <f>(calcs!L81-calcs!M81)/calcs!W19</f>
        <v>0.24870000000000003</v>
      </c>
      <c r="K37">
        <f>(calcs!N81-calcs!O81)/calcs!X19</f>
        <v>0.25586666666666663</v>
      </c>
      <c r="M37">
        <f>1436.19-1429.85</f>
        <v>6.3400000000001455</v>
      </c>
      <c r="N37">
        <f>1441.22-1424.6</f>
        <v>16.620000000000118</v>
      </c>
      <c r="O37">
        <f>1461.98-1414.35</f>
        <v>47.630000000000109</v>
      </c>
      <c r="P37">
        <f>1488.01-1404.57</f>
        <v>83.440000000000055</v>
      </c>
      <c r="Q37">
        <f>1511.31-1396.77</f>
        <v>114.53999999999996</v>
      </c>
    </row>
    <row r="38" spans="1:21" x14ac:dyDescent="0.3">
      <c r="A38" t="s">
        <v>121</v>
      </c>
      <c r="E38">
        <f>(calcs!B82-calcs!C82)/calcs!R19</f>
        <v>0.10299999999999727</v>
      </c>
      <c r="F38">
        <f>(calcs!D82-calcs!E82)/calcs!S20</f>
        <v>0.21050000000000182</v>
      </c>
      <c r="G38">
        <f>(calcs!F82-calcs!G82)/calcs!T20</f>
        <v>0.18025000000000091</v>
      </c>
      <c r="H38">
        <f>(calcs!H82-calcs!I82)/calcs!U20</f>
        <v>0.18233333333333424</v>
      </c>
      <c r="I38">
        <f>(calcs!J82-calcs!K82)/calcs!V20</f>
        <v>0.18039999999999964</v>
      </c>
      <c r="J38">
        <f>(calcs!L82-calcs!M82)/calcs!W20</f>
        <v>0.15295000000000072</v>
      </c>
      <c r="K38">
        <f>(calcs!N82-calcs!O82)/calcs!X20</f>
        <v>0.14780000000000049</v>
      </c>
      <c r="M38">
        <f>1512.68-1507.7</f>
        <v>4.9800000000000182</v>
      </c>
      <c r="N38">
        <f>1521.55-1506.55</f>
        <v>15</v>
      </c>
      <c r="O38">
        <f>1548.17-1503.46</f>
        <v>44.710000000000036</v>
      </c>
      <c r="P38">
        <f>1566.99-1498.03</f>
        <v>68.960000000000036</v>
      </c>
      <c r="Q38">
        <f>1577.42-1490.75</f>
        <v>86.670000000000073</v>
      </c>
    </row>
    <row r="39" spans="1:21" x14ac:dyDescent="0.3">
      <c r="A39" t="s">
        <v>87</v>
      </c>
      <c r="E39">
        <f>(calcs!B38-calcs!C38)/calcs!R12</f>
        <v>0</v>
      </c>
      <c r="F39">
        <f>(calcs!D38-calcs!E38)/calcs!S12</f>
        <v>0</v>
      </c>
      <c r="G39">
        <f>(calcs!F38-calcs!G38)/calcs!T12</f>
        <v>0</v>
      </c>
      <c r="H39">
        <f>(calcs!H38-calcs!I38)/calcs!U12</f>
        <v>0</v>
      </c>
      <c r="I39">
        <f>(calcs!J38-calcs!K38)/calcs!V12</f>
        <v>0</v>
      </c>
      <c r="J39">
        <f>(calcs!L38-calcs!M38)/calcs!W12</f>
        <v>0</v>
      </c>
      <c r="K39">
        <f>(calcs!N38-calcs!O38)/calcs!X12</f>
        <v>0</v>
      </c>
      <c r="U39">
        <v>66.38655462184839</v>
      </c>
    </row>
    <row r="40" spans="1:21" x14ac:dyDescent="0.3">
      <c r="A40" t="s">
        <v>87</v>
      </c>
      <c r="E40">
        <f>(calcs!B39-calcs!C39)/calcs!R13</f>
        <v>0</v>
      </c>
      <c r="F40">
        <f>(calcs!D39-calcs!E39)/calcs!S13</f>
        <v>0</v>
      </c>
      <c r="G40">
        <f>(calcs!F39-calcs!G39)/calcs!T13</f>
        <v>0</v>
      </c>
      <c r="H40">
        <f>(calcs!H39-calcs!I39)/calcs!U13</f>
        <v>0</v>
      </c>
      <c r="I40">
        <f>(calcs!J39-calcs!K39)/calcs!V13</f>
        <v>0</v>
      </c>
      <c r="J40">
        <f>(calcs!L39-calcs!M39)/calcs!W13</f>
        <v>0</v>
      </c>
      <c r="K40">
        <f>(calcs!N39-calcs!O39)/calcs!X13</f>
        <v>0</v>
      </c>
      <c r="U40">
        <v>71.989966555183997</v>
      </c>
    </row>
    <row r="41" spans="1:21" x14ac:dyDescent="0.3">
      <c r="A41" s="17" t="s">
        <v>76</v>
      </c>
      <c r="E41">
        <f>(calcs!B40-calcs!C40)/calcs!R10</f>
        <v>0.24700000000000272</v>
      </c>
      <c r="F41">
        <f>(calcs!D40-calcs!E40)/calcs!S10</f>
        <v>2.599999999999909E-2</v>
      </c>
      <c r="G41">
        <f>(calcs!F40-calcs!G40)/calcs!T10</f>
        <v>0.10774999999999864</v>
      </c>
      <c r="H41">
        <f>(calcs!H40-calcs!I40)/calcs!U10</f>
        <v>0.25566666666666532</v>
      </c>
      <c r="I41">
        <f>(calcs!J40-calcs!K40)/calcs!V10</f>
        <v>0.19130000000000108</v>
      </c>
      <c r="J41">
        <f>(calcs!L40-calcs!M40)/calcs!W10</f>
        <v>0.23624999999999999</v>
      </c>
      <c r="K41">
        <f>(calcs!N40-calcs!O40)/calcs!X10</f>
        <v>0.21770000000000059</v>
      </c>
      <c r="M41">
        <f>1554.42-1553.5</f>
        <v>0.92000000000007276</v>
      </c>
      <c r="N41">
        <f>1558.39-1549.74</f>
        <v>8.6500000000000909</v>
      </c>
      <c r="O41">
        <f>1574.71-1543.85</f>
        <v>30.860000000000127</v>
      </c>
      <c r="P41">
        <f>1595.34-1532.26</f>
        <v>63.079999999999927</v>
      </c>
      <c r="Q41">
        <f>1605.74-1518.9</f>
        <v>86.839999999999918</v>
      </c>
      <c r="U41">
        <v>39.573732718893936</v>
      </c>
    </row>
    <row r="42" spans="1:21" x14ac:dyDescent="0.3">
      <c r="A42" s="17" t="s">
        <v>75</v>
      </c>
      <c r="E42">
        <f>(calcs!B41-calcs!C41)/calcs!R11</f>
        <v>0.24900000000000092</v>
      </c>
      <c r="F42">
        <f>(calcs!D41-calcs!E41)/calcs!S11</f>
        <v>0.17549999999999955</v>
      </c>
      <c r="G42">
        <f>(calcs!F41-calcs!G41)/calcs!T11</f>
        <v>0.11025000000000204</v>
      </c>
      <c r="H42">
        <f>(calcs!H41-calcs!I41)/calcs!U11</f>
        <v>0.10099999999999909</v>
      </c>
      <c r="I42">
        <f>(calcs!J41-calcs!K41)/calcs!V11</f>
        <v>9.9200000000000732E-2</v>
      </c>
      <c r="J42" s="27">
        <f>(calcs!L41-calcs!M41)/calcs!W11</f>
        <v>0.10259999999999991</v>
      </c>
      <c r="K42" s="27">
        <f>(calcs!N41-calcs!O41)/calcs!X11</f>
        <v>0.11009999999999991</v>
      </c>
      <c r="M42">
        <f>1568.47-1561.8</f>
        <v>6.6700000000000728</v>
      </c>
      <c r="N42">
        <f>1575.88-1560.36</f>
        <v>15.520000000000209</v>
      </c>
      <c r="O42">
        <f>1590.54-1559.05</f>
        <v>31.490000000000009</v>
      </c>
      <c r="P42">
        <f>1607.94-1553.07</f>
        <v>54.870000000000118</v>
      </c>
      <c r="Q42">
        <f>1625.79-1545.24</f>
        <v>80.549999999999955</v>
      </c>
      <c r="U42">
        <v>63.727454909819372</v>
      </c>
    </row>
    <row r="43" spans="1:21" x14ac:dyDescent="0.3">
      <c r="A43" s="17" t="s">
        <v>77</v>
      </c>
      <c r="E43">
        <f>(calcs!B42-calcs!C42)/calcs!R12</f>
        <v>0.10799999999999273</v>
      </c>
      <c r="F43">
        <f>(calcs!D42-calcs!E42)/calcs!S12</f>
        <v>0.12749999999999773</v>
      </c>
      <c r="G43">
        <f>(calcs!F42-calcs!G42)/calcs!T12</f>
        <v>7.9250000000001819E-2</v>
      </c>
      <c r="H43">
        <f>(calcs!H42-calcs!I42)/calcs!U12</f>
        <v>0.10183333333333545</v>
      </c>
      <c r="I43">
        <f>(calcs!J42-calcs!K42)/calcs!V12</f>
        <v>9.5999999999999086E-2</v>
      </c>
      <c r="J43">
        <f>(calcs!L42-calcs!M42)/calcs!W12</f>
        <v>9.8599999999998994E-2</v>
      </c>
      <c r="K43">
        <f>(calcs!N42-calcs!O42)/calcs!X12</f>
        <v>9.5899999999999944E-2</v>
      </c>
      <c r="M43">
        <f>1580.31-1575.28</f>
        <v>5.0299999999999727</v>
      </c>
      <c r="N43">
        <f>1583.7-1572.56</f>
        <v>11.1400000000001</v>
      </c>
      <c r="O43">
        <f>1602.36-1569.07</f>
        <v>33.289999999999964</v>
      </c>
      <c r="P43">
        <f>1625.72-1563.54</f>
        <v>62.180000000000064</v>
      </c>
      <c r="Q43">
        <f>1640.81-1560.36</f>
        <v>80.450000000000045</v>
      </c>
      <c r="U43">
        <v>52.131979695431554</v>
      </c>
    </row>
    <row r="44" spans="1:21" x14ac:dyDescent="0.3">
      <c r="A44" s="17" t="s">
        <v>78</v>
      </c>
      <c r="E44">
        <f>(calcs!B43-calcs!C43)/calcs!R13</f>
        <v>9.200000000000727E-2</v>
      </c>
      <c r="F44">
        <f>(calcs!D43-calcs!E43)/calcs!S13</f>
        <v>2.0000000000004549E-2</v>
      </c>
      <c r="G44">
        <f>(calcs!F43-calcs!G43)/calcs!T13</f>
        <v>3.125E-2</v>
      </c>
      <c r="H44">
        <f>(calcs!H43-calcs!I43)/calcs!U13</f>
        <v>5.2000000000001968E-2</v>
      </c>
      <c r="I44">
        <f>(calcs!J43-calcs!K43)/calcs!V13</f>
        <v>7.5599999999999459E-2</v>
      </c>
      <c r="J44">
        <f>(calcs!L43-calcs!M43)/calcs!W13</f>
        <v>8.3750000000000005E-2</v>
      </c>
      <c r="K44">
        <f>(calcs!N43-calcs!O43)/calcs!X13</f>
        <v>8.1566666666666759E-2</v>
      </c>
      <c r="M44">
        <f>1593.36-1587.13</f>
        <v>6.2299999999997908</v>
      </c>
      <c r="N44">
        <f>1597.94-1584</f>
        <v>13.940000000000055</v>
      </c>
      <c r="O44">
        <f>1610.06-1580.67</f>
        <v>29.389999999999873</v>
      </c>
      <c r="P44">
        <f>1631.2-1576.89</f>
        <v>54.309999999999945</v>
      </c>
      <c r="Q44">
        <f>1647.81-1571.6</f>
        <v>76.210000000000036</v>
      </c>
      <c r="U44">
        <v>84.03811792733768</v>
      </c>
    </row>
    <row r="45" spans="1:21" x14ac:dyDescent="0.3">
      <c r="A45" s="17" t="s">
        <v>81</v>
      </c>
      <c r="E45">
        <f>(calcs!B44-calcs!C44)/calcs!R14</f>
        <v>9.1000000000008185E-2</v>
      </c>
      <c r="F45">
        <f>(calcs!D44-calcs!E44)/calcs!S14</f>
        <v>7.7500000000009089E-2</v>
      </c>
      <c r="G45">
        <f>(calcs!F44-calcs!G44)/calcs!T14</f>
        <v>7.6500000000004315E-2</v>
      </c>
      <c r="H45">
        <f>(calcs!H44-calcs!I44)/calcs!U14</f>
        <v>9.7166666666665458E-2</v>
      </c>
      <c r="I45">
        <f>(calcs!J44-calcs!K44)/calcs!V14</f>
        <v>9.2499999999999999E-2</v>
      </c>
      <c r="J45">
        <f>(calcs!L44-calcs!M44)/calcs!W14</f>
        <v>8.9800000000000185E-2</v>
      </c>
      <c r="K45">
        <f>(calcs!N44-calcs!O44)/calcs!X14</f>
        <v>9.2966666666666239E-2</v>
      </c>
      <c r="M45">
        <f>1599.25-1596.63</f>
        <v>2.6199999999998909</v>
      </c>
      <c r="N45">
        <f>1605.06-1595.8</f>
        <v>9.2599999999999909</v>
      </c>
      <c r="O45">
        <f>1622.06-1594.72</f>
        <v>27.339999999999918</v>
      </c>
      <c r="P45">
        <f>1650.13-1591.89</f>
        <v>58.240000000000009</v>
      </c>
      <c r="Q45">
        <f>1662.16-1589.07</f>
        <v>73.090000000000146</v>
      </c>
      <c r="U45">
        <v>56.43305439330566</v>
      </c>
    </row>
    <row r="46" spans="1:21" x14ac:dyDescent="0.3">
      <c r="A46" s="17" t="s">
        <v>82</v>
      </c>
      <c r="E46">
        <f>(calcs!B45-calcs!C45)/calcs!R15</f>
        <v>0.14300000000000637</v>
      </c>
      <c r="F46">
        <f>(calcs!D45-calcs!E45)/calcs!S15</f>
        <v>0.11849999999999454</v>
      </c>
      <c r="G46">
        <f>(calcs!F45-calcs!G45)/calcs!T15</f>
        <v>9.9750000000000227E-2</v>
      </c>
      <c r="H46">
        <f>(calcs!H45-calcs!I45)/calcs!U15</f>
        <v>9.6333333333332882E-2</v>
      </c>
      <c r="I46">
        <f>(calcs!J45-calcs!K45)/calcs!V15</f>
        <v>8.5499999999999549E-2</v>
      </c>
      <c r="J46">
        <f>(calcs!L45-calcs!M45)/calcs!W15</f>
        <v>9.9599999999999231E-2</v>
      </c>
      <c r="K46">
        <f>(calcs!N45-calcs!O45)/calcs!X15</f>
        <v>9.6233333333333726E-2</v>
      </c>
      <c r="M46">
        <f>1613.71-1608.72</f>
        <v>4.9900000000000091</v>
      </c>
      <c r="N46">
        <f>1622.81-1607.38</f>
        <v>15.429999999999836</v>
      </c>
      <c r="O46">
        <f>1642.62-1604.45</f>
        <v>38.169999999999845</v>
      </c>
      <c r="P46">
        <f>1661.32-1599.11</f>
        <v>62.210000000000036</v>
      </c>
      <c r="Q46">
        <f>1671.97-1595.8</f>
        <v>76.170000000000073</v>
      </c>
      <c r="U46">
        <v>87.056037884767562</v>
      </c>
    </row>
    <row r="47" spans="1:21" x14ac:dyDescent="0.3">
      <c r="A47" s="17" t="s">
        <v>80</v>
      </c>
      <c r="E47">
        <f>(calcs!B46-calcs!C46)/calcs!R16</f>
        <v>7.6999999999998181E-2</v>
      </c>
      <c r="F47">
        <f>(calcs!D46-calcs!E46)/calcs!S16</f>
        <v>5.1499999999998637E-2</v>
      </c>
      <c r="G47">
        <f>(calcs!F46-calcs!G46)/calcs!T16</f>
        <v>3.2499999999998863E-2</v>
      </c>
      <c r="H47">
        <f>(calcs!H46-calcs!I46)/calcs!U16</f>
        <v>7.5166666666670309E-2</v>
      </c>
      <c r="I47">
        <f>(calcs!J46-calcs!K46)/calcs!V16</f>
        <v>6.5399999999999639E-2</v>
      </c>
      <c r="J47">
        <f>(calcs!L46-calcs!M46)/calcs!W16</f>
        <v>7.4349999999999458E-2</v>
      </c>
      <c r="K47">
        <f>(calcs!N46-calcs!O46)/calcs!X16</f>
        <v>7.9533333333333761E-2</v>
      </c>
      <c r="M47">
        <f>1627.12-1619.09</f>
        <v>8.0299999999999727</v>
      </c>
      <c r="N47">
        <f>1633.57-1618.17</f>
        <v>15.399999999999864</v>
      </c>
      <c r="O47">
        <f>1651.27-1614.96</f>
        <v>36.309999999999945</v>
      </c>
      <c r="P47">
        <f>1662.73-1608.72</f>
        <v>54.009999999999991</v>
      </c>
      <c r="Q47">
        <f>1670.85-1602.98</f>
        <v>67.869999999999891</v>
      </c>
      <c r="U47">
        <v>19.110576923076938</v>
      </c>
    </row>
    <row r="48" spans="1:21" x14ac:dyDescent="0.3">
      <c r="A48" s="17" t="s">
        <v>79</v>
      </c>
      <c r="E48">
        <f>(calcs!B47-calcs!C47)/calcs!R17</f>
        <v>0.10299999999999727</v>
      </c>
      <c r="F48">
        <f>(calcs!D47-calcs!E47)/calcs!S17</f>
        <v>9.549999999999273E-2</v>
      </c>
      <c r="G48">
        <f>(calcs!F47-calcs!G47)/calcs!T17</f>
        <v>8.7000000000000452E-2</v>
      </c>
      <c r="H48">
        <f>(calcs!H47-calcs!I47)/calcs!U17</f>
        <v>8.2166666666663932E-2</v>
      </c>
      <c r="I48" s="27">
        <f>(calcs!J47-calcs!K47)/calcs!V17</f>
        <v>-16.394000000000002</v>
      </c>
      <c r="J48" s="27">
        <f>(calcs!L47-calcs!M47)/calcs!W17</f>
        <v>-8.1822999999999997</v>
      </c>
      <c r="K48" s="27">
        <f>(calcs!N47-calcs!O47)/calcs!X17</f>
        <v>-5.4412333333333329</v>
      </c>
      <c r="M48">
        <f>1637.87-1631.08</f>
        <v>6.7899999999999636</v>
      </c>
      <c r="N48">
        <f>1643.1-1630.6</f>
        <v>12.5</v>
      </c>
      <c r="O48">
        <f>1655.35-1627.32</f>
        <v>28.029999999999973</v>
      </c>
      <c r="P48">
        <f>1669.63-1623.11</f>
        <v>46.520000000000209</v>
      </c>
      <c r="Q48">
        <f>1676.58-1616.61</f>
        <v>59.970000000000027</v>
      </c>
      <c r="U48">
        <v>89.316650625601142</v>
      </c>
    </row>
    <row r="49" spans="1:21" x14ac:dyDescent="0.3">
      <c r="A49" t="s">
        <v>85</v>
      </c>
      <c r="E49">
        <f>(calcs!B48-calcs!C48)/calcs!R10</f>
        <v>2.199999999997999E-2</v>
      </c>
      <c r="F49">
        <f>(calcs!D48-calcs!E48)/calcs!S10</f>
        <v>0.16399999999999865</v>
      </c>
      <c r="G49">
        <f>(calcs!F48-calcs!G48)/calcs!T10</f>
        <v>6.0250000000002045E-2</v>
      </c>
      <c r="H49">
        <f>(calcs!H48-calcs!I48)/calcs!U10</f>
        <v>8.7000000000000452E-2</v>
      </c>
      <c r="I49">
        <f>(calcs!J48-calcs!K48)/calcs!V10</f>
        <v>6.1900000000000545E-2</v>
      </c>
      <c r="J49">
        <f>(calcs!L48-calcs!M48)/calcs!W10</f>
        <v>0.12330000000000041</v>
      </c>
      <c r="K49">
        <f>(calcs!N48-calcs!O48)/calcs!X10</f>
        <v>0.15859999999999977</v>
      </c>
      <c r="M49">
        <f>1645.03-1643.84</f>
        <v>1.1900000000000546</v>
      </c>
      <c r="N49">
        <f>1647.36-1642.87</f>
        <v>4.4900000000000091</v>
      </c>
      <c r="O49">
        <f>1662.03-1639.79</f>
        <v>22.240000000000009</v>
      </c>
      <c r="P49">
        <f>1674.32-1633.93</f>
        <v>40.389999999999873</v>
      </c>
      <c r="Q49">
        <f>1678.95-1630.14</f>
        <v>48.809999999999945</v>
      </c>
      <c r="U49">
        <v>85.67404426559321</v>
      </c>
    </row>
    <row r="50" spans="1:21" x14ac:dyDescent="0.3">
      <c r="A50" t="s">
        <v>84</v>
      </c>
      <c r="E50">
        <f>(calcs!B49-calcs!C49)/calcs!R11</f>
        <v>0.42300000000000182</v>
      </c>
      <c r="F50">
        <f>(calcs!D49-calcs!E49)/calcs!S11</f>
        <v>0.14400000000000546</v>
      </c>
      <c r="G50">
        <f>(calcs!F49-calcs!G49)/calcs!T11</f>
        <v>0.10774999999999864</v>
      </c>
      <c r="H50">
        <f>(calcs!H49-calcs!I49)/calcs!U11</f>
        <v>0.11866666666666864</v>
      </c>
      <c r="I50">
        <f>(calcs!J49-calcs!K49)/calcs!V11</f>
        <v>7.3800000000001087E-2</v>
      </c>
      <c r="J50">
        <f>(calcs!L49-calcs!M49)/calcs!W11</f>
        <v>9.3199999999999367E-2</v>
      </c>
      <c r="K50">
        <f>(calcs!N49-calcs!O49)/calcs!X11</f>
        <v>0.11913333333333337</v>
      </c>
      <c r="M50">
        <f>1489.46-1482.69</f>
        <v>6.7699999999999818</v>
      </c>
      <c r="N50">
        <f>1495.64-1477.88</f>
        <v>17.759999999999991</v>
      </c>
      <c r="O50">
        <f>1525.54-1470.02</f>
        <v>55.519999999999982</v>
      </c>
      <c r="P50">
        <f>1545.56-1462.06</f>
        <v>83.5</v>
      </c>
      <c r="Q50">
        <f>1575.08-1456.79</f>
        <v>118.28999999999996</v>
      </c>
      <c r="U50">
        <v>80.349746893695723</v>
      </c>
    </row>
    <row r="51" spans="1:21" x14ac:dyDescent="0.3">
      <c r="A51" t="s">
        <v>73</v>
      </c>
      <c r="E51">
        <f>(calcs!B50-calcs!C50)/calcs!R12</f>
        <v>2.9000000000019101E-2</v>
      </c>
      <c r="F51">
        <f>(calcs!D50-calcs!E50)/calcs!S12</f>
        <v>8.1500000000005457E-2</v>
      </c>
      <c r="G51">
        <f>(calcs!F50-calcs!G50)/calcs!T12</f>
        <v>5.4499999999995906E-2</v>
      </c>
      <c r="H51">
        <f>(calcs!H50-calcs!I50)/calcs!U12</f>
        <v>7.1666666666665907E-2</v>
      </c>
      <c r="I51">
        <f>(calcs!J50-calcs!K50)/calcs!V12</f>
        <v>5.4200000000000727E-2</v>
      </c>
      <c r="J51">
        <f>(calcs!L50-calcs!M50)/calcs!W12</f>
        <v>6.2750000000000916E-2</v>
      </c>
      <c r="K51">
        <f>(calcs!N50-calcs!O50)/calcs!X12</f>
        <v>6.4333333333333187E-2</v>
      </c>
      <c r="M51">
        <f>1438.16-1435.04</f>
        <v>3.1200000000001182</v>
      </c>
      <c r="N51">
        <f>1443.62-1434.03</f>
        <v>9.5899999999999181</v>
      </c>
      <c r="O51">
        <f>1458.23-1431.62</f>
        <v>26.610000000000127</v>
      </c>
      <c r="P51">
        <f>1480.84-1429.14</f>
        <v>51.699999999999818</v>
      </c>
      <c r="Q51">
        <f>1506.63-1426.07</f>
        <v>80.560000000000173</v>
      </c>
      <c r="U51">
        <v>72.786885245901559</v>
      </c>
    </row>
    <row r="52" spans="1:21" x14ac:dyDescent="0.3">
      <c r="A52" t="s">
        <v>128</v>
      </c>
      <c r="E52">
        <f>(calcs!B51-calcs!C51)/calcs!R13</f>
        <v>5.8999999999991816E-2</v>
      </c>
      <c r="F52">
        <f>(calcs!D51-calcs!E51)/calcs!S13</f>
        <v>3.249999999999318E-2</v>
      </c>
      <c r="G52">
        <f>(calcs!F51-calcs!G51)/calcs!T13</f>
        <v>2.22500000000025E-2</v>
      </c>
      <c r="H52">
        <f>(calcs!H51-calcs!I51)/calcs!U13</f>
        <v>5.466666666667E-2</v>
      </c>
      <c r="I52">
        <f>(calcs!J51-calcs!K51)/calcs!V13</f>
        <v>3.3600000000001275E-2</v>
      </c>
      <c r="J52">
        <f>(calcs!L51-calcs!M51)/calcs!W13</f>
        <v>3.6199999999998907E-2</v>
      </c>
      <c r="K52">
        <f>(calcs!N51-calcs!O51)/calcs!X13</f>
        <v>6.1033333333333911E-2</v>
      </c>
      <c r="M52">
        <f>1425.18-1424.58</f>
        <v>0.60000000000013642</v>
      </c>
      <c r="N52">
        <f>1427.54-1424.27</f>
        <v>3.2699999999999818</v>
      </c>
      <c r="O52">
        <f>1441.84-1423.24</f>
        <v>18.599999999999909</v>
      </c>
      <c r="P52">
        <f>1464.53-1420.36</f>
        <v>44.170000000000073</v>
      </c>
      <c r="Q52">
        <f>1501.82-1417.18</f>
        <v>84.639999999999873</v>
      </c>
      <c r="U52">
        <v>91.639871382636585</v>
      </c>
    </row>
    <row r="53" spans="1:21" x14ac:dyDescent="0.3">
      <c r="A53" t="s">
        <v>83</v>
      </c>
      <c r="E53">
        <f>(calcs!B52-calcs!C52)/calcs!R14</f>
        <v>7.0000000000004545E-2</v>
      </c>
      <c r="F53">
        <f>(calcs!D52-calcs!E52)/calcs!S14</f>
        <v>8.7999999999999551E-2</v>
      </c>
      <c r="G53">
        <f>(calcs!F52-calcs!G52)/calcs!T14</f>
        <v>8.2249999999999088E-2</v>
      </c>
      <c r="H53">
        <f>(calcs!H52-calcs!I52)/calcs!U14</f>
        <v>7.5999999999999096E-2</v>
      </c>
      <c r="I53">
        <f>(calcs!J52-calcs!K52)/calcs!V14</f>
        <v>7.2499999999999995E-2</v>
      </c>
      <c r="J53">
        <f>(calcs!L52-calcs!M52)/calcs!W14</f>
        <v>6.3400000000000317E-2</v>
      </c>
      <c r="K53">
        <f>(calcs!N52-calcs!O52)/calcs!X14</f>
        <v>6.4499999999999696E-2</v>
      </c>
      <c r="M53">
        <f>1608.94-1607.41</f>
        <v>1.5299999999999727</v>
      </c>
      <c r="N53">
        <f>1612.42-1606.57</f>
        <v>5.8500000000001364</v>
      </c>
      <c r="O53">
        <f>1621.59-1603.9</f>
        <v>17.689999999999827</v>
      </c>
      <c r="P53">
        <f>1636.36-1601.99</f>
        <v>34.369999999999891</v>
      </c>
      <c r="Q53">
        <f>1645.48-1599.44</f>
        <v>46.039999999999964</v>
      </c>
      <c r="U53">
        <v>54.163890739506982</v>
      </c>
    </row>
    <row r="54" spans="1:21" x14ac:dyDescent="0.3">
      <c r="A54" t="s">
        <v>86</v>
      </c>
      <c r="E54">
        <f>(calcs!B53-calcs!C53)/calcs!R15</f>
        <v>0.14600000000000363</v>
      </c>
      <c r="F54">
        <f>(calcs!D53-calcs!E53)/calcs!S15</f>
        <v>0.21000000000000227</v>
      </c>
      <c r="G54">
        <f>(calcs!F53-calcs!G53)/calcs!T15</f>
        <v>0.20049999999999954</v>
      </c>
      <c r="H54">
        <f>(calcs!H53-calcs!I53)/calcs!U15</f>
        <v>0.20116666666666561</v>
      </c>
      <c r="I54">
        <f>(calcs!J53-calcs!K53)/calcs!V15</f>
        <v>0.16970000000000027</v>
      </c>
      <c r="J54">
        <f>(calcs!L53-calcs!M53)/calcs!W15</f>
        <v>0.15129999999999996</v>
      </c>
      <c r="K54">
        <f>(calcs!N53-calcs!O53)/calcs!X15</f>
        <v>0.18163333333333337</v>
      </c>
      <c r="M54">
        <f>1551.85-1550.59</f>
        <v>1.2599999999999909</v>
      </c>
      <c r="N54">
        <f>1560.14-1545.58</f>
        <v>14.560000000000173</v>
      </c>
      <c r="O54">
        <f>1585.51-1541.43</f>
        <v>44.079999999999927</v>
      </c>
      <c r="P54">
        <f>1602.83-1528.78</f>
        <v>74.049999999999955</v>
      </c>
      <c r="Q54">
        <f>1617.6-1508.77</f>
        <v>108.82999999999993</v>
      </c>
      <c r="U54">
        <v>96.128560993426063</v>
      </c>
    </row>
    <row r="57" spans="1:21" x14ac:dyDescent="0.3">
      <c r="A57" t="s">
        <v>113</v>
      </c>
    </row>
    <row r="58" spans="1:21" x14ac:dyDescent="0.3">
      <c r="A58" s="31" t="s">
        <v>7</v>
      </c>
      <c r="E58">
        <f>(calcs!B54-calcs!C54)/calcs!R10</f>
        <v>9.8000000000001822E-2</v>
      </c>
      <c r="F58">
        <f>(calcs!D54-calcs!E54)/calcs!S10</f>
        <v>9.7999999999990456E-2</v>
      </c>
      <c r="G58">
        <f>(calcs!F54-calcs!G54)/calcs!T10</f>
        <v>9.9750000000000227E-2</v>
      </c>
      <c r="H58">
        <f>(calcs!H54-calcs!I54)/calcs!U10</f>
        <v>0.15216666666666848</v>
      </c>
      <c r="I58">
        <f>(calcs!J54-calcs!K54)/calcs!V10</f>
        <v>0.12680000000000063</v>
      </c>
      <c r="J58">
        <f>(calcs!L54-calcs!M54)/calcs!W10</f>
        <v>0.17475000000000024</v>
      </c>
      <c r="K58">
        <f>(calcs!N54-calcs!O54)/calcs!X10</f>
        <v>0.18486666666666679</v>
      </c>
      <c r="M58">
        <f>1590.96-1583.96</f>
        <v>7</v>
      </c>
      <c r="N58">
        <f>1597.78-1582.73</f>
        <v>15.049999999999955</v>
      </c>
      <c r="O58">
        <f>1632.79-1579.14</f>
        <v>53.649999999999864</v>
      </c>
      <c r="P58">
        <f>1657.91-1570.88</f>
        <v>87.029999999999973</v>
      </c>
      <c r="Q58">
        <f>1663.2-1562.97</f>
        <v>100.23000000000002</v>
      </c>
    </row>
    <row r="59" spans="1:21" x14ac:dyDescent="0.3">
      <c r="A59" t="s">
        <v>4</v>
      </c>
      <c r="E59">
        <f>(calcs!B55-calcs!C55)/calcs!R11</f>
        <v>7.9999999999927247E-3</v>
      </c>
      <c r="F59">
        <f>(calcs!D55-calcs!E55)/calcs!S11</f>
        <v>8.6000000000001367E-2</v>
      </c>
      <c r="G59">
        <f>(calcs!F55-calcs!G55)/calcs!T11</f>
        <v>-3.6250000000001135E-2</v>
      </c>
      <c r="H59">
        <f>(calcs!H55-calcs!I55)/calcs!U11</f>
        <v>0.19233333333333272</v>
      </c>
      <c r="I59">
        <f>(calcs!J55-calcs!K55)/calcs!V11</f>
        <v>0.155</v>
      </c>
      <c r="J59">
        <f>(calcs!L55-calcs!M55)/calcs!W11</f>
        <v>0.16990000000000008</v>
      </c>
      <c r="K59">
        <f>(calcs!N55-calcs!O55)/calcs!X11</f>
        <v>0.16256666666666661</v>
      </c>
      <c r="M59">
        <f>1583.45-1580.43</f>
        <v>3.0199999999999818</v>
      </c>
      <c r="N59">
        <f>1589.52-1579.14</f>
        <v>10.379999999999882</v>
      </c>
      <c r="O59">
        <f>1615.94-1574.79</f>
        <v>41.150000000000091</v>
      </c>
      <c r="P59">
        <f>1651.36-1566.99</f>
        <v>84.369999999999891</v>
      </c>
      <c r="Q59">
        <f>1661.59-1559.56</f>
        <v>102.02999999999997</v>
      </c>
    </row>
    <row r="60" spans="1:21" x14ac:dyDescent="0.3">
      <c r="A60" t="s">
        <v>8</v>
      </c>
      <c r="E60">
        <f>(calcs!B56-calcs!C56)/calcs!R12</f>
        <v>6.8999999999982714E-2</v>
      </c>
      <c r="F60">
        <f>(calcs!D56-calcs!E56)/calcs!S12</f>
        <v>0.12599999999999908</v>
      </c>
      <c r="G60">
        <f>(calcs!F56-calcs!G56)/calcs!T12</f>
        <v>0.17350000000000138</v>
      </c>
      <c r="H60">
        <f>(calcs!H56-calcs!I56)/calcs!U12</f>
        <v>0.11283333333333304</v>
      </c>
      <c r="I60">
        <f>(calcs!J56-calcs!K56)/calcs!V12</f>
        <v>0.16799999999999954</v>
      </c>
      <c r="J60">
        <f>(calcs!L56-calcs!M56)/calcs!W12</f>
        <v>0.16034999999999969</v>
      </c>
      <c r="K60">
        <f>(calcs!N56-calcs!O56)/calcs!X12</f>
        <v>0.15813333333333277</v>
      </c>
      <c r="M60">
        <f>1538.72-1531.99</f>
        <v>6.7300000000000182</v>
      </c>
      <c r="N60">
        <f>1540.82-1527.25</f>
        <v>13.569999999999936</v>
      </c>
      <c r="O60">
        <f>1551.69-1521.25</f>
        <v>30.440000000000055</v>
      </c>
      <c r="P60">
        <f>1565.01-1518.82</f>
        <v>46.190000000000055</v>
      </c>
      <c r="Q60">
        <f>1586.14-1517.58</f>
        <v>68.560000000000173</v>
      </c>
    </row>
    <row r="61" spans="1:21" x14ac:dyDescent="0.3">
      <c r="A61" t="s">
        <v>1</v>
      </c>
      <c r="E61">
        <f>(calcs!B57-calcs!C57)/calcs!R13</f>
        <v>0.39000000000000912</v>
      </c>
      <c r="F61">
        <f>(calcs!D57-calcs!E57)/calcs!S13</f>
        <v>7.4000000000000912E-2</v>
      </c>
      <c r="G61">
        <f>(calcs!F57-calcs!G57)/calcs!T13</f>
        <v>0.11399999999999863</v>
      </c>
      <c r="H61">
        <f>(calcs!H57-calcs!I57)/calcs!U13</f>
        <v>0.13916666666666516</v>
      </c>
      <c r="I61">
        <f>(calcs!J57-calcs!K57)/calcs!V13</f>
        <v>0.12679999999999836</v>
      </c>
      <c r="J61">
        <f>(calcs!L57-calcs!M57)/calcs!W13</f>
        <v>0.1869500000000005</v>
      </c>
      <c r="K61">
        <f>(calcs!N57-calcs!O57)/calcs!X13</f>
        <v>0.17843333333333325</v>
      </c>
      <c r="M61">
        <f>1405.36-1401.57</f>
        <v>3.7899999999999636</v>
      </c>
      <c r="N61">
        <f>1411.63-1400.06</f>
        <v>11.570000000000164</v>
      </c>
      <c r="O61">
        <f>1432.6-1395.89</f>
        <v>36.709999999999809</v>
      </c>
      <c r="P61">
        <f>1468.08-1390.91</f>
        <v>77.169999999999845</v>
      </c>
      <c r="Q61">
        <f>1488.23-1384.21</f>
        <v>104.01999999999998</v>
      </c>
    </row>
    <row r="62" spans="1:21" x14ac:dyDescent="0.3">
      <c r="A62" t="s">
        <v>2</v>
      </c>
      <c r="E62">
        <f>(calcs!B58-calcs!C58)/calcs!R14</f>
        <v>0.34900000000000092</v>
      </c>
      <c r="F62">
        <f>(calcs!D58-calcs!E58)/calcs!S14</f>
        <v>0.1990000000000009</v>
      </c>
      <c r="G62">
        <f>(calcs!F58-calcs!G58)/calcs!T14</f>
        <v>0.21449999999999819</v>
      </c>
      <c r="H62">
        <f>(calcs!H58-calcs!I58)/calcs!U14</f>
        <v>0.20499999999999924</v>
      </c>
      <c r="I62">
        <f>(calcs!J58-calcs!K58)/calcs!V14</f>
        <v>0.25669999999999843</v>
      </c>
      <c r="J62">
        <f>(calcs!L58-calcs!M58)/calcs!W14</f>
        <v>0.24399999999999977</v>
      </c>
      <c r="K62">
        <f>(calcs!N58-calcs!O58)/calcs!X14</f>
        <v>0.27076666666666671</v>
      </c>
      <c r="M62">
        <f>1448.68-1442.79</f>
        <v>5.8900000000001</v>
      </c>
      <c r="N62">
        <f>1457.1-1438.44</f>
        <v>18.659999999999854</v>
      </c>
      <c r="O62">
        <f>1471.57-1428.28</f>
        <v>43.289999999999964</v>
      </c>
      <c r="P62">
        <f>1502.72-1414.35</f>
        <v>88.370000000000118</v>
      </c>
      <c r="Q62">
        <f>1537.1-1404.57</f>
        <v>132.52999999999997</v>
      </c>
    </row>
    <row r="63" spans="1:21" x14ac:dyDescent="0.3">
      <c r="A63" t="s">
        <v>12</v>
      </c>
      <c r="E63">
        <f>(calcs!B59-calcs!C59)/calcs!R15</f>
        <v>0.33500000000001362</v>
      </c>
      <c r="F63">
        <f>(calcs!D59-calcs!E59)/calcs!S15</f>
        <v>0.42400000000000093</v>
      </c>
      <c r="G63">
        <f>(calcs!F59-calcs!G59)/calcs!T15</f>
        <v>0.32950000000000157</v>
      </c>
      <c r="H63">
        <f>(calcs!H59-calcs!I59)/calcs!U15</f>
        <v>0.3318333333333347</v>
      </c>
      <c r="I63">
        <f>(calcs!J59-calcs!K59)/calcs!V15</f>
        <v>0.29159999999999853</v>
      </c>
      <c r="J63">
        <f>(calcs!L59-calcs!M59)/calcs!W15</f>
        <v>0.27629999999999993</v>
      </c>
      <c r="K63">
        <f>(calcs!N59-calcs!O59)/calcs!X15</f>
        <v>0.26596666666666652</v>
      </c>
      <c r="M63">
        <f>1468.39-1460.27</f>
        <v>8.1200000000001182</v>
      </c>
      <c r="N63">
        <f>1473.97-1456.98</f>
        <v>16.990000000000009</v>
      </c>
      <c r="O63">
        <f>1497.68-1448.68</f>
        <v>49</v>
      </c>
      <c r="P63">
        <f>1521.91-1431.81</f>
        <v>90.100000000000136</v>
      </c>
      <c r="Q63">
        <f>1553.64-1417.28</f>
        <v>136.36000000000013</v>
      </c>
    </row>
    <row r="64" spans="1:21" x14ac:dyDescent="0.3">
      <c r="A64" t="s">
        <v>13</v>
      </c>
      <c r="E64">
        <f>(calcs!B60-calcs!C60)/calcs!R16</f>
        <v>5.4999999999995455E-2</v>
      </c>
      <c r="F64">
        <f>(calcs!D60-calcs!E60)/calcs!S16</f>
        <v>7.350000000000137E-2</v>
      </c>
      <c r="G64">
        <f>(calcs!F60-calcs!G60)/calcs!T16</f>
        <v>7.8250000000002734E-2</v>
      </c>
      <c r="H64">
        <f>(calcs!H60-calcs!I60)/calcs!U16</f>
        <v>7.5999999999999096E-2</v>
      </c>
      <c r="I64">
        <f>(calcs!J60-calcs!K60)/calcs!V16</f>
        <v>6.5499999999999545E-2</v>
      </c>
      <c r="J64">
        <f>(calcs!L60-calcs!M60)/calcs!W16</f>
        <v>2.8199999999999364E-2</v>
      </c>
      <c r="K64">
        <f>(calcs!N60-calcs!O60)/calcs!X16</f>
        <v>4.2866666666666331E-2</v>
      </c>
      <c r="M64">
        <f>1569.21-1560.72</f>
        <v>8.4900000000000091</v>
      </c>
      <c r="N64">
        <f>1574.74-1554.3</f>
        <v>20.440000000000055</v>
      </c>
      <c r="O64">
        <f>1586.45-1549.76</f>
        <v>36.690000000000055</v>
      </c>
      <c r="P64">
        <f>1599.8-1545.99</f>
        <v>53.809999999999945</v>
      </c>
      <c r="Q64">
        <f>1612.62-1541.25</f>
        <v>71.369999999999891</v>
      </c>
    </row>
    <row r="65" spans="1:17" x14ac:dyDescent="0.3">
      <c r="A65" t="s">
        <v>3</v>
      </c>
      <c r="E65">
        <f>(calcs!B61-calcs!C61)/calcs!R17</f>
        <v>3.4999999999990906E-2</v>
      </c>
      <c r="F65">
        <f>(calcs!D61-calcs!E61)/calcs!S17</f>
        <v>0.13499999999999091</v>
      </c>
      <c r="G65">
        <f>(calcs!F61-calcs!G61)/calcs!T17</f>
        <v>8.3499999999997951E-2</v>
      </c>
      <c r="H65">
        <f>(calcs!H61-calcs!I61)/calcs!U17</f>
        <v>9.2166666666666217E-2</v>
      </c>
      <c r="I65">
        <f>(calcs!J61-calcs!K61)/calcs!V17</f>
        <v>6.5000000000000002E-2</v>
      </c>
      <c r="J65">
        <f>(calcs!L61-calcs!M61)/calcs!W17</f>
        <v>5.2599999999999911E-2</v>
      </c>
      <c r="K65">
        <f>(calcs!N61-calcs!O61)/calcs!X17</f>
        <v>5.4266666666666574E-2</v>
      </c>
      <c r="M65">
        <f>1572.87-1571.89</f>
        <v>0.97999999999979082</v>
      </c>
      <c r="N65">
        <f>1574.69-1569.78</f>
        <v>4.9100000000000819</v>
      </c>
      <c r="O65">
        <f>1588.06-1566.6</f>
        <v>21.460000000000036</v>
      </c>
      <c r="P65">
        <f>1605.17-1563.69</f>
        <v>41.480000000000018</v>
      </c>
      <c r="Q65">
        <f>1614.79-1559.56</f>
        <v>55.230000000000018</v>
      </c>
    </row>
    <row r="66" spans="1:17" x14ac:dyDescent="0.3">
      <c r="A66" t="s">
        <v>6</v>
      </c>
      <c r="E66">
        <f>(calcs!B62-calcs!C62)/calcs!R18</f>
        <v>0.11000000000001364</v>
      </c>
      <c r="F66">
        <f>(calcs!D62-calcs!E62)/calcs!S18</f>
        <v>0.1435000000000059</v>
      </c>
      <c r="G66">
        <f>(calcs!F62-calcs!G62)/calcs!T18</f>
        <v>8.1250000000000003E-2</v>
      </c>
      <c r="H66">
        <f>(calcs!H62-calcs!I62)/calcs!U18</f>
        <v>0.10183333333333167</v>
      </c>
      <c r="I66">
        <f>(calcs!J62-calcs!K62)/calcs!V18</f>
        <v>9.5999999999999086E-2</v>
      </c>
      <c r="J66" s="27">
        <f>(calcs!L62-calcs!M62)/calcs!W18</f>
        <v>0</v>
      </c>
      <c r="K66" s="27">
        <f>(calcs!N62-calcs!O62)/calcs!X18</f>
        <v>0</v>
      </c>
      <c r="M66">
        <f>1416.8-1415.62</f>
        <v>1.1800000000000637</v>
      </c>
      <c r="N66">
        <f>1423.8-1414.36</f>
        <v>9.4400000000000546</v>
      </c>
      <c r="O66">
        <f>1441.03-1413.49</f>
        <v>27.539999999999964</v>
      </c>
      <c r="P66">
        <f>1468.86-1411.74</f>
        <v>57.119999999999891</v>
      </c>
      <c r="Q66">
        <f>1499.32-1410.34</f>
        <v>88.980000000000018</v>
      </c>
    </row>
    <row r="67" spans="1:17" x14ac:dyDescent="0.3">
      <c r="A67" t="s">
        <v>5</v>
      </c>
      <c r="E67">
        <f>(calcs!B63-calcs!C63)/calcs!R19</f>
        <v>0.22699999999999818</v>
      </c>
      <c r="F67">
        <f>(calcs!D63-calcs!E63)/calcs!S19</f>
        <v>0.25149999999999861</v>
      </c>
      <c r="G67">
        <f>(calcs!F63-calcs!G63)/calcs!T19</f>
        <v>0.26049999999999612</v>
      </c>
      <c r="H67">
        <f>(calcs!H63-calcs!I63)/calcs!U19</f>
        <v>0.25650000000000167</v>
      </c>
      <c r="I67">
        <f>(calcs!J63-calcs!K63)/calcs!V19</f>
        <v>0.24929999999999836</v>
      </c>
      <c r="J67">
        <f>(calcs!L63-calcs!M63)/calcs!W19</f>
        <v>0.21840000000000032</v>
      </c>
      <c r="K67">
        <f>(calcs!N63-calcs!O63)/calcs!X19</f>
        <v>0.1756000000000002</v>
      </c>
      <c r="M67">
        <f>1492.78-1489.58</f>
        <v>3.2000000000000455</v>
      </c>
      <c r="N67">
        <f>1500.83-1484.61</f>
        <v>16.220000000000027</v>
      </c>
      <c r="O67">
        <f>1516.27-1479</f>
        <v>37.269999999999982</v>
      </c>
      <c r="P67">
        <f>1563.24-1474.15</f>
        <v>89.089999999999918</v>
      </c>
      <c r="Q67">
        <f>1594.53-1469.06</f>
        <v>125.47000000000003</v>
      </c>
    </row>
    <row r="68" spans="1:17" x14ac:dyDescent="0.3">
      <c r="A68" t="s">
        <v>18</v>
      </c>
      <c r="E68">
        <f>(calcs!B64-calcs!C64)/calcs!R20</f>
        <v>0.14500000000000454</v>
      </c>
      <c r="F68">
        <f>(calcs!D64-calcs!E64)/calcs!S20</f>
        <v>0.12350000000000136</v>
      </c>
      <c r="G68">
        <f>(calcs!F64-calcs!G64)/calcs!T20</f>
        <v>0.13774999999999976</v>
      </c>
      <c r="H68">
        <f>(calcs!H64-calcs!I64)/calcs!U20</f>
        <v>0.17566666666666986</v>
      </c>
      <c r="I68">
        <f>(calcs!J64-calcs!K64)/calcs!V20</f>
        <v>0.1575</v>
      </c>
      <c r="J68">
        <f>(calcs!L64-calcs!M64)/calcs!W20</f>
        <v>0.24100000000000021</v>
      </c>
      <c r="K68">
        <f>(calcs!N64-calcs!O64)/calcs!X20</f>
        <v>0.24203333333333299</v>
      </c>
      <c r="M68">
        <f>1529.91-1524.48</f>
        <v>5.4300000000000637</v>
      </c>
      <c r="N68">
        <f>1540.22-1517.81</f>
        <v>22.410000000000082</v>
      </c>
      <c r="O68">
        <f>1565.94-1504.74</f>
        <v>61.200000000000045</v>
      </c>
      <c r="P68">
        <f>1590.19-1489.86</f>
        <v>100.33000000000015</v>
      </c>
      <c r="Q68">
        <f>1608.51-1479.21</f>
        <v>129.29999999999995</v>
      </c>
    </row>
    <row r="69" spans="1:17" x14ac:dyDescent="0.3">
      <c r="A69" t="s">
        <v>17</v>
      </c>
      <c r="E69">
        <f>(calcs!B65-calcs!C65)/calcs!R21</f>
        <v>9.200000000000727E-2</v>
      </c>
      <c r="F69">
        <f>(calcs!D65-calcs!E65)/calcs!S21</f>
        <v>0.17000000000000454</v>
      </c>
      <c r="G69">
        <f>(calcs!F65-calcs!G65)/calcs!T21</f>
        <v>0.12975000000000136</v>
      </c>
      <c r="H69">
        <f>(calcs!H65-calcs!I65)/calcs!U21</f>
        <v>0.1636666666666694</v>
      </c>
      <c r="I69">
        <f>(calcs!J65-calcs!K65)/calcs!V21</f>
        <v>0.1837000000000012</v>
      </c>
      <c r="J69">
        <f>(calcs!L65-calcs!M65)/calcs!W21</f>
        <v>0.22309999999999947</v>
      </c>
      <c r="K69">
        <f>(calcs!N65-calcs!O65)/calcs!X21</f>
        <v>0.22210000000000035</v>
      </c>
      <c r="M69">
        <f>1526.76-1521.45</f>
        <v>5.3099999999999454</v>
      </c>
      <c r="N69">
        <f>1547.82-1520.65</f>
        <v>27.169999999999845</v>
      </c>
      <c r="O69">
        <f>1563.98-1508.77</f>
        <v>55.210000000000036</v>
      </c>
      <c r="P69">
        <f>1587.46-1492.3</f>
        <v>95.160000000000082</v>
      </c>
      <c r="Q69">
        <f>1598.87-1480.12</f>
        <v>118.75</v>
      </c>
    </row>
    <row r="70" spans="1:17" x14ac:dyDescent="0.3">
      <c r="A70" t="s">
        <v>14</v>
      </c>
      <c r="E70">
        <f>(calcs!B66-calcs!C66)/calcs!R22</f>
        <v>-4.9999999999954525E-3</v>
      </c>
      <c r="F70">
        <f>(calcs!D66-calcs!E66)/calcs!S22</f>
        <v>2.8499999999996816E-2</v>
      </c>
      <c r="G70">
        <f>(calcs!F66-calcs!G66)/calcs!T22</f>
        <v>7.4000000000000912E-2</v>
      </c>
      <c r="H70">
        <f>(calcs!H66-calcs!I66)/calcs!U22</f>
        <v>7.4666666666666964E-2</v>
      </c>
      <c r="I70">
        <f>(calcs!J66-calcs!K66)/calcs!V22</f>
        <v>7.6800000000000632E-2</v>
      </c>
      <c r="J70">
        <f>(calcs!L66-calcs!M66)/calcs!W22</f>
        <v>6.9599999999999232E-2</v>
      </c>
      <c r="K70">
        <f>(calcs!N66-calcs!O66)/calcs!X22</f>
        <v>7.4399999999999786E-2</v>
      </c>
      <c r="M70">
        <f>1578.41-1573.03</f>
        <v>5.3800000000001091</v>
      </c>
      <c r="N70">
        <f>1583.69-1572.09</f>
        <v>11.600000000000136</v>
      </c>
      <c r="O70">
        <f>1592-1569.34</f>
        <v>22.660000000000082</v>
      </c>
      <c r="P70">
        <f>1609.74-1565.91</f>
        <v>43.829999999999927</v>
      </c>
      <c r="Q70">
        <f>1621.26-1558.99</f>
        <v>62.269999999999982</v>
      </c>
    </row>
    <row r="71" spans="1:17" x14ac:dyDescent="0.3">
      <c r="A71" t="s">
        <v>15</v>
      </c>
      <c r="E71">
        <f>(calcs!B67-calcs!C67)/calcs!R23</f>
        <v>3.0999999999994542E-2</v>
      </c>
      <c r="F71">
        <f>(calcs!D67-calcs!E67)/calcs!S23</f>
        <v>0.11600000000000818</v>
      </c>
      <c r="G71">
        <f>(calcs!F67-calcs!G67)/calcs!T23</f>
        <v>8.5249999999996356E-2</v>
      </c>
      <c r="H71">
        <f>(calcs!H67-calcs!I67)/calcs!U23</f>
        <v>8.1833333333334701E-2</v>
      </c>
      <c r="I71">
        <f>(calcs!J67-calcs!K67)/calcs!V23</f>
        <v>6.9400000000000545E-2</v>
      </c>
      <c r="J71">
        <f>(calcs!L67-calcs!M67)/calcs!W23</f>
        <v>6.7500000000000004E-2</v>
      </c>
      <c r="K71">
        <f>(calcs!N67-calcs!O67)/calcs!X23</f>
        <v>7.4333333333333945E-2</v>
      </c>
      <c r="M71">
        <f>1584.62-1581.77</f>
        <v>2.8499999999999091</v>
      </c>
      <c r="N71">
        <f>1587.4-1581.19</f>
        <v>6.2100000000000364</v>
      </c>
      <c r="O71">
        <f>1596.52-1578.45</f>
        <v>18.069999999999936</v>
      </c>
      <c r="P71">
        <f>1615.19-1575.17</f>
        <v>40.019999999999982</v>
      </c>
      <c r="Q71">
        <f>1624.39-1570.29</f>
        <v>54.100000000000136</v>
      </c>
    </row>
    <row r="72" spans="1:17" x14ac:dyDescent="0.3">
      <c r="A72" t="s">
        <v>16</v>
      </c>
      <c r="E72">
        <f>(calcs!B68-calcs!C68)/calcs!R24</f>
        <v>0</v>
      </c>
      <c r="F72">
        <f>(calcs!D68-calcs!E68)/calcs!S24</f>
        <v>0</v>
      </c>
      <c r="G72">
        <f>(calcs!F68-calcs!G68)/calcs!T24</f>
        <v>0</v>
      </c>
      <c r="H72">
        <f>(calcs!H68-calcs!I68)/calcs!U24</f>
        <v>0</v>
      </c>
      <c r="I72">
        <f>(calcs!J68-calcs!K68)/calcs!V24</f>
        <v>0</v>
      </c>
      <c r="J72">
        <f>(calcs!L68-calcs!M68)/calcs!W24</f>
        <v>0</v>
      </c>
      <c r="K72">
        <f>(calcs!N68-calcs!O68)/calcs!X24</f>
        <v>0</v>
      </c>
    </row>
    <row r="73" spans="1:17" x14ac:dyDescent="0.3">
      <c r="A73" t="s">
        <v>9</v>
      </c>
      <c r="E73">
        <f>(calcs!B69-calcs!C69)/calcs!R25</f>
        <v>-1.0999999999989995E-2</v>
      </c>
      <c r="F73">
        <f>(calcs!D69-calcs!E69)/calcs!S25</f>
        <v>0.12300000000000182</v>
      </c>
      <c r="G73">
        <f>(calcs!F69-calcs!G69)/calcs!T25</f>
        <v>0.15224999999999794</v>
      </c>
      <c r="H73">
        <f>(calcs!H69-calcs!I69)/calcs!U25</f>
        <v>0.16650000000000015</v>
      </c>
      <c r="I73">
        <f>(calcs!J69-calcs!K69)/calcs!V25</f>
        <v>0.24800000000000183</v>
      </c>
      <c r="J73">
        <f>(calcs!L69-calcs!M69)/calcs!W25</f>
        <v>0.15659999999999968</v>
      </c>
      <c r="K73">
        <f>(calcs!N69-calcs!O69)/calcs!X25</f>
        <v>0.16113333333333307</v>
      </c>
      <c r="M73">
        <f>1560.96-1557.32</f>
        <v>3.6400000000001</v>
      </c>
      <c r="N73">
        <f>1565.69-1552.25</f>
        <v>13.440000000000055</v>
      </c>
      <c r="O73">
        <f>1584.98-1544.84</f>
        <v>40.1400000000001</v>
      </c>
      <c r="P73">
        <f>1597.78-1529.6</f>
        <v>68.180000000000064</v>
      </c>
      <c r="Q73">
        <f>1607.11-1506.5</f>
        <v>100.6099999999999</v>
      </c>
    </row>
    <row r="74" spans="1:17" x14ac:dyDescent="0.3">
      <c r="A74" t="s">
        <v>10</v>
      </c>
      <c r="E74">
        <f>(calcs!B70-calcs!C70)/calcs!R26</f>
        <v>0.18199999999999364</v>
      </c>
      <c r="F74">
        <f>(calcs!D70-calcs!E70)/calcs!S26</f>
        <v>0.125</v>
      </c>
      <c r="G74">
        <f>(calcs!F70-calcs!G70)/calcs!T26</f>
        <v>8.1999999999999323E-2</v>
      </c>
      <c r="H74">
        <f>(calcs!H70-calcs!I70)/calcs!U26</f>
        <v>9.4166666666664386E-2</v>
      </c>
      <c r="I74">
        <f>(calcs!J70-calcs!K70)/calcs!V26</f>
        <v>8.889999999999873E-2</v>
      </c>
      <c r="J74">
        <f>(calcs!L70-calcs!M70)/calcs!W26</f>
        <v>9.589999999999918E-2</v>
      </c>
      <c r="K74">
        <f>(calcs!N70-calcs!O70)/calcs!X26</f>
        <v>0.10259999999999991</v>
      </c>
      <c r="M74">
        <f>1573.43-1567.92</f>
        <v>5.5099999999999909</v>
      </c>
      <c r="N74">
        <f>1576.83-1565.04</f>
        <v>11.789999999999964</v>
      </c>
      <c r="O74">
        <f>1595.2-1561.43</f>
        <v>33.769999999999982</v>
      </c>
      <c r="P74">
        <f>1616.46-1559.12</f>
        <v>57.340000000000146</v>
      </c>
      <c r="Q74">
        <f>1631.93-1553.07</f>
        <v>78.860000000000127</v>
      </c>
    </row>
    <row r="75" spans="1:17" x14ac:dyDescent="0.3">
      <c r="A75" t="s">
        <v>11</v>
      </c>
      <c r="E75">
        <f>(calcs!B71-calcs!C71)/calcs!R27</f>
        <v>0.13600000000001272</v>
      </c>
      <c r="F75">
        <f>(calcs!D71-calcs!E71)/calcs!S27</f>
        <v>0.10799999999999273</v>
      </c>
      <c r="G75">
        <f>(calcs!F71-calcs!G71)/calcs!T27</f>
        <v>8.8249999999999315E-2</v>
      </c>
      <c r="H75">
        <f>(calcs!H71-calcs!I71)/calcs!U27</f>
        <v>9.2166666666666217E-2</v>
      </c>
      <c r="I75">
        <f>(calcs!J71-calcs!K71)/calcs!V27</f>
        <v>9.3299999999999272E-2</v>
      </c>
      <c r="J75">
        <f>(calcs!L71-calcs!M71)/calcs!W27</f>
        <v>8.6499999999999772E-2</v>
      </c>
      <c r="K75">
        <f>(calcs!N71-calcs!O71)/calcs!X27</f>
        <v>8.9866666666666789E-2</v>
      </c>
      <c r="M75">
        <f>1586.3-1581.67</f>
        <v>4.6299999999998818</v>
      </c>
      <c r="N75">
        <f>1590.87-1580.67</f>
        <v>10.199999999999818</v>
      </c>
      <c r="O75">
        <f>1603.7-1577.94</f>
        <v>25.759999999999991</v>
      </c>
      <c r="P75">
        <f>1626-1571.68</f>
        <v>54.319999999999936</v>
      </c>
      <c r="Q75">
        <f>1642.69-1567.93</f>
        <v>74.759999999999991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53FF-CD2A-45CA-8A48-29977876D8DB}">
  <dimension ref="A1:F67"/>
  <sheetViews>
    <sheetView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8.44140625" bestFit="1" customWidth="1"/>
    <col min="2" max="2" width="15.21875" bestFit="1" customWidth="1"/>
    <col min="3" max="3" width="34" bestFit="1" customWidth="1"/>
    <col min="4" max="4" width="31.77734375" bestFit="1" customWidth="1"/>
    <col min="5" max="5" width="6.5546875" style="12" bestFit="1" customWidth="1"/>
  </cols>
  <sheetData>
    <row r="1" spans="1:5" x14ac:dyDescent="0.3">
      <c r="A1" t="s">
        <v>42</v>
      </c>
      <c r="B1" t="s">
        <v>43</v>
      </c>
      <c r="C1" t="s">
        <v>44</v>
      </c>
      <c r="D1" t="s">
        <v>45</v>
      </c>
      <c r="E1" s="12" t="s">
        <v>46</v>
      </c>
    </row>
    <row r="2" spans="1:5" x14ac:dyDescent="0.3">
      <c r="A2" t="s">
        <v>60</v>
      </c>
      <c r="B2">
        <v>50.874000000000002</v>
      </c>
      <c r="C2">
        <v>54.11</v>
      </c>
      <c r="D2">
        <v>51.01</v>
      </c>
      <c r="E2" s="12">
        <f t="shared" ref="E2:E27" si="0">(1-(D2-B2)/(C2-B2))*100</f>
        <v>95.797280593325212</v>
      </c>
    </row>
    <row r="3" spans="1:5" x14ac:dyDescent="0.3">
      <c r="A3" t="s">
        <v>50</v>
      </c>
      <c r="B3">
        <v>108.63800000000001</v>
      </c>
      <c r="C3">
        <v>110.95099999999999</v>
      </c>
      <c r="D3">
        <v>110.498</v>
      </c>
      <c r="E3" s="12">
        <f t="shared" si="0"/>
        <v>19.584954604409464</v>
      </c>
    </row>
    <row r="4" spans="1:5" x14ac:dyDescent="0.3">
      <c r="A4" t="s">
        <v>57</v>
      </c>
      <c r="B4">
        <v>51.4</v>
      </c>
      <c r="C4">
        <v>54.281999999999996</v>
      </c>
      <c r="D4">
        <v>51.609000000000002</v>
      </c>
      <c r="E4" s="12">
        <f t="shared" si="0"/>
        <v>92.748091603053311</v>
      </c>
    </row>
    <row r="5" spans="1:5" x14ac:dyDescent="0.3">
      <c r="A5" t="s">
        <v>49</v>
      </c>
      <c r="B5">
        <v>107.62</v>
      </c>
      <c r="C5">
        <v>109.214</v>
      </c>
      <c r="D5">
        <v>108.82</v>
      </c>
      <c r="E5" s="12">
        <f t="shared" si="0"/>
        <v>24.717691342534941</v>
      </c>
    </row>
    <row r="6" spans="1:5" x14ac:dyDescent="0.3">
      <c r="A6" t="s">
        <v>61</v>
      </c>
      <c r="B6">
        <v>113.121</v>
      </c>
      <c r="C6">
        <v>114.40600000000001</v>
      </c>
      <c r="D6">
        <v>113.203</v>
      </c>
      <c r="E6" s="12">
        <f t="shared" si="0"/>
        <v>93.618677042800996</v>
      </c>
    </row>
    <row r="7" spans="1:5" x14ac:dyDescent="0.3">
      <c r="A7" t="s">
        <v>56</v>
      </c>
      <c r="B7">
        <v>121.051</v>
      </c>
      <c r="C7">
        <v>123.336</v>
      </c>
      <c r="D7">
        <v>122.517</v>
      </c>
      <c r="E7" s="12">
        <f t="shared" si="0"/>
        <v>35.842450765864498</v>
      </c>
    </row>
    <row r="8" spans="1:5" x14ac:dyDescent="0.3">
      <c r="A8" t="s">
        <v>52</v>
      </c>
      <c r="B8">
        <v>116.77200000000001</v>
      </c>
      <c r="C8">
        <v>118.524</v>
      </c>
      <c r="D8">
        <v>117.134</v>
      </c>
      <c r="E8" s="12">
        <f t="shared" si="0"/>
        <v>79.337899543379237</v>
      </c>
    </row>
    <row r="9" spans="1:5" x14ac:dyDescent="0.3">
      <c r="A9" t="s">
        <v>53</v>
      </c>
      <c r="B9">
        <v>85.322999999999993</v>
      </c>
      <c r="C9">
        <v>88.484999999999999</v>
      </c>
      <c r="D9">
        <v>86.542000000000002</v>
      </c>
      <c r="E9" s="12">
        <f t="shared" si="0"/>
        <v>61.4484503478809</v>
      </c>
    </row>
    <row r="10" spans="1:5" x14ac:dyDescent="0.3">
      <c r="A10" t="s">
        <v>47</v>
      </c>
      <c r="B10">
        <v>114.607</v>
      </c>
      <c r="C10">
        <v>116.434</v>
      </c>
      <c r="D10">
        <v>114.642</v>
      </c>
      <c r="E10" s="12">
        <f t="shared" si="0"/>
        <v>98.084291187739652</v>
      </c>
    </row>
    <row r="11" spans="1:5" x14ac:dyDescent="0.3">
      <c r="A11" t="s">
        <v>55</v>
      </c>
      <c r="B11">
        <v>112.339</v>
      </c>
      <c r="C11">
        <v>114.226</v>
      </c>
      <c r="D11">
        <v>112.42700000000001</v>
      </c>
      <c r="E11" s="12">
        <f t="shared" si="0"/>
        <v>95.336512983571382</v>
      </c>
    </row>
    <row r="12" spans="1:5" x14ac:dyDescent="0.3">
      <c r="A12" t="s">
        <v>59</v>
      </c>
      <c r="B12">
        <v>85.784999999999997</v>
      </c>
      <c r="C12">
        <v>86.959000000000003</v>
      </c>
      <c r="D12">
        <v>85.807000000000002</v>
      </c>
      <c r="E12" s="12">
        <f t="shared" si="0"/>
        <v>98.126064735945022</v>
      </c>
    </row>
    <row r="13" spans="1:5" x14ac:dyDescent="0.3">
      <c r="A13" t="s">
        <v>48</v>
      </c>
      <c r="B13">
        <v>103.502</v>
      </c>
      <c r="C13">
        <v>106.61799999999999</v>
      </c>
      <c r="D13">
        <v>103.676</v>
      </c>
      <c r="E13" s="12">
        <f t="shared" si="0"/>
        <v>94.415917843388755</v>
      </c>
    </row>
    <row r="14" spans="1:5" x14ac:dyDescent="0.3">
      <c r="A14" t="s">
        <v>51</v>
      </c>
      <c r="B14">
        <v>50.683</v>
      </c>
      <c r="C14">
        <v>53.651000000000003</v>
      </c>
      <c r="D14">
        <v>51.197000000000003</v>
      </c>
      <c r="E14" s="12">
        <f t="shared" si="0"/>
        <v>82.681940700808539</v>
      </c>
    </row>
    <row r="15" spans="1:5" x14ac:dyDescent="0.3">
      <c r="A15" t="s">
        <v>58</v>
      </c>
      <c r="B15">
        <v>50.755000000000003</v>
      </c>
      <c r="C15">
        <v>53.143000000000001</v>
      </c>
      <c r="D15">
        <v>52.363999999999997</v>
      </c>
      <c r="E15" s="12">
        <f t="shared" si="0"/>
        <v>32.621440536013566</v>
      </c>
    </row>
    <row r="16" spans="1:5" x14ac:dyDescent="0.3">
      <c r="A16" t="s">
        <v>54</v>
      </c>
      <c r="B16">
        <v>128.07599999999999</v>
      </c>
      <c r="C16">
        <v>130.751</v>
      </c>
      <c r="D16">
        <v>129.42699999999999</v>
      </c>
      <c r="E16" s="12">
        <f t="shared" si="0"/>
        <v>49.495327102803991</v>
      </c>
    </row>
    <row r="17" spans="1:5" x14ac:dyDescent="0.3">
      <c r="A17" t="s">
        <v>62</v>
      </c>
      <c r="B17">
        <v>123.295</v>
      </c>
      <c r="C17">
        <v>124.855</v>
      </c>
      <c r="D17">
        <v>123.651</v>
      </c>
      <c r="E17" s="12">
        <f t="shared" si="0"/>
        <v>77.179487179487566</v>
      </c>
    </row>
    <row r="18" spans="1:5" x14ac:dyDescent="0.3">
      <c r="A18" t="s">
        <v>65</v>
      </c>
      <c r="B18">
        <v>98.378</v>
      </c>
      <c r="C18">
        <v>100.199</v>
      </c>
      <c r="D18">
        <v>98.501000000000005</v>
      </c>
      <c r="E18" s="12">
        <f t="shared" si="0"/>
        <v>93.245469522240271</v>
      </c>
    </row>
    <row r="19" spans="1:5" x14ac:dyDescent="0.3">
      <c r="A19" t="s">
        <v>64</v>
      </c>
      <c r="B19">
        <v>117.94</v>
      </c>
      <c r="C19">
        <v>119.658</v>
      </c>
      <c r="D19">
        <v>118.03400000000001</v>
      </c>
      <c r="E19" s="12">
        <f t="shared" si="0"/>
        <v>94.52852153667007</v>
      </c>
    </row>
    <row r="20" spans="1:5" x14ac:dyDescent="0.3">
      <c r="A20" t="s">
        <v>63</v>
      </c>
      <c r="B20">
        <v>115.078</v>
      </c>
      <c r="C20">
        <v>117.288</v>
      </c>
      <c r="D20">
        <v>115.509</v>
      </c>
      <c r="E20" s="12">
        <f t="shared" si="0"/>
        <v>80.497737556561162</v>
      </c>
    </row>
    <row r="21" spans="1:5" x14ac:dyDescent="0.3">
      <c r="A21" t="s">
        <v>67</v>
      </c>
      <c r="B21">
        <v>108.514</v>
      </c>
      <c r="C21">
        <v>110.937</v>
      </c>
      <c r="D21">
        <v>108.59699999999999</v>
      </c>
      <c r="E21" s="12">
        <f t="shared" si="0"/>
        <v>96.574494428394615</v>
      </c>
    </row>
    <row r="22" spans="1:5" x14ac:dyDescent="0.3">
      <c r="A22" t="s">
        <v>66</v>
      </c>
      <c r="B22">
        <v>108.52</v>
      </c>
      <c r="C22">
        <v>109.974</v>
      </c>
      <c r="D22">
        <v>108.64700000000001</v>
      </c>
      <c r="E22" s="12">
        <f t="shared" si="0"/>
        <v>91.265474552956746</v>
      </c>
    </row>
    <row r="23" spans="1:5" x14ac:dyDescent="0.3">
      <c r="A23" t="s">
        <v>89</v>
      </c>
      <c r="B23">
        <v>51.4</v>
      </c>
      <c r="C23">
        <v>52.777999999999999</v>
      </c>
      <c r="D23">
        <v>51.451000000000001</v>
      </c>
      <c r="E23" s="12">
        <f t="shared" si="0"/>
        <v>96.298984034832941</v>
      </c>
    </row>
    <row r="24" spans="1:5" x14ac:dyDescent="0.3">
      <c r="A24" t="s">
        <v>68</v>
      </c>
      <c r="B24">
        <v>109.444</v>
      </c>
      <c r="C24">
        <v>111.767</v>
      </c>
      <c r="D24">
        <v>110.92400000000001</v>
      </c>
      <c r="E24" s="12">
        <f t="shared" si="0"/>
        <v>36.289281102022883</v>
      </c>
    </row>
    <row r="25" spans="1:5" x14ac:dyDescent="0.3">
      <c r="A25" t="s">
        <v>71</v>
      </c>
      <c r="B25">
        <v>106.57</v>
      </c>
      <c r="C25">
        <v>108.295</v>
      </c>
      <c r="D25">
        <v>106.59</v>
      </c>
      <c r="E25" s="12">
        <f t="shared" si="0"/>
        <v>98.84057971014434</v>
      </c>
    </row>
    <row r="26" spans="1:5" x14ac:dyDescent="0.3">
      <c r="A26" t="s">
        <v>72</v>
      </c>
      <c r="B26">
        <v>106.298</v>
      </c>
      <c r="C26">
        <v>107.873</v>
      </c>
      <c r="D26">
        <v>106.342</v>
      </c>
      <c r="E26" s="12">
        <f t="shared" si="0"/>
        <v>97.206349206349401</v>
      </c>
    </row>
    <row r="27" spans="1:5" x14ac:dyDescent="0.3">
      <c r="A27" t="s">
        <v>70</v>
      </c>
      <c r="B27">
        <v>108.113</v>
      </c>
      <c r="C27">
        <v>109.131</v>
      </c>
      <c r="D27">
        <v>108.907</v>
      </c>
      <c r="E27" s="12">
        <f t="shared" si="0"/>
        <v>22.003929273084832</v>
      </c>
    </row>
    <row r="28" spans="1:5" x14ac:dyDescent="0.3">
      <c r="A28" t="s">
        <v>120</v>
      </c>
      <c r="B28">
        <v>114.607</v>
      </c>
      <c r="C28">
        <v>115.98399999999999</v>
      </c>
      <c r="D28">
        <v>115.084</v>
      </c>
      <c r="E28" s="12">
        <f t="shared" ref="E28:E41" si="1">(1-(D28-B28)/(C28-B28))*100</f>
        <v>65.359477124182604</v>
      </c>
    </row>
    <row r="29" spans="1:5" x14ac:dyDescent="0.3">
      <c r="A29" t="s">
        <v>69</v>
      </c>
      <c r="B29">
        <v>108.74</v>
      </c>
      <c r="C29">
        <v>110.286</v>
      </c>
      <c r="D29">
        <v>109.7</v>
      </c>
      <c r="E29" s="12">
        <f t="shared" si="1"/>
        <v>37.904269081500395</v>
      </c>
    </row>
    <row r="30" spans="1:5" x14ac:dyDescent="0.3">
      <c r="A30" t="s">
        <v>119</v>
      </c>
      <c r="B30">
        <v>107.367</v>
      </c>
      <c r="C30">
        <v>108.723</v>
      </c>
      <c r="D30">
        <v>107.383</v>
      </c>
      <c r="E30" s="12">
        <f t="shared" si="1"/>
        <v>98.820058997050793</v>
      </c>
    </row>
    <row r="31" spans="1:5" x14ac:dyDescent="0.3">
      <c r="A31" t="s">
        <v>116</v>
      </c>
      <c r="B31">
        <v>113.121</v>
      </c>
      <c r="C31">
        <v>114.27</v>
      </c>
      <c r="D31">
        <v>113.35</v>
      </c>
      <c r="E31" s="12">
        <f t="shared" si="1"/>
        <v>80.069625761531853</v>
      </c>
    </row>
    <row r="32" spans="1:5" x14ac:dyDescent="0.3">
      <c r="A32" t="s">
        <v>122</v>
      </c>
      <c r="B32">
        <v>108.678</v>
      </c>
      <c r="C32">
        <v>110.506</v>
      </c>
      <c r="D32">
        <v>108.685</v>
      </c>
      <c r="E32" s="12">
        <f t="shared" si="1"/>
        <v>99.61706783369776</v>
      </c>
    </row>
    <row r="33" spans="1:5" x14ac:dyDescent="0.3">
      <c r="A33" t="s">
        <v>117</v>
      </c>
      <c r="B33">
        <v>113.01900000000001</v>
      </c>
      <c r="C33">
        <v>114.14700000000001</v>
      </c>
      <c r="D33">
        <v>114.012</v>
      </c>
      <c r="E33" s="12">
        <f t="shared" si="1"/>
        <v>11.96808510638343</v>
      </c>
    </row>
    <row r="34" spans="1:5" x14ac:dyDescent="0.3">
      <c r="A34" t="s">
        <v>88</v>
      </c>
      <c r="B34">
        <v>116.77200000000001</v>
      </c>
      <c r="C34">
        <v>117.85</v>
      </c>
      <c r="D34">
        <v>116.932</v>
      </c>
      <c r="E34" s="12">
        <f t="shared" si="1"/>
        <v>85.15769944341389</v>
      </c>
    </row>
    <row r="35" spans="1:5" x14ac:dyDescent="0.3">
      <c r="A35" t="s">
        <v>90</v>
      </c>
      <c r="B35">
        <v>51.286000000000001</v>
      </c>
      <c r="C35">
        <v>53.008000000000003</v>
      </c>
      <c r="D35">
        <v>51.829000000000001</v>
      </c>
      <c r="E35" s="12">
        <f t="shared" si="1"/>
        <v>68.466898954703908</v>
      </c>
    </row>
    <row r="36" spans="1:5" x14ac:dyDescent="0.3">
      <c r="A36" t="s">
        <v>118</v>
      </c>
      <c r="B36">
        <v>103.502</v>
      </c>
      <c r="C36">
        <v>104.157</v>
      </c>
      <c r="D36">
        <v>104.04</v>
      </c>
      <c r="E36" s="12">
        <f t="shared" si="1"/>
        <v>17.862595419845807</v>
      </c>
    </row>
    <row r="37" spans="1:5" x14ac:dyDescent="0.3">
      <c r="A37" t="s">
        <v>124</v>
      </c>
      <c r="B37">
        <v>85.784999999999997</v>
      </c>
      <c r="C37">
        <v>86.588999999999999</v>
      </c>
      <c r="D37">
        <v>86.015000000000001</v>
      </c>
      <c r="E37" s="12">
        <f t="shared" si="1"/>
        <v>71.393034825870231</v>
      </c>
    </row>
    <row r="38" spans="1:5" x14ac:dyDescent="0.3">
      <c r="A38" t="s">
        <v>123</v>
      </c>
      <c r="B38">
        <v>113.131</v>
      </c>
      <c r="C38">
        <v>114.142</v>
      </c>
      <c r="D38">
        <v>113.145</v>
      </c>
      <c r="E38" s="12">
        <f t="shared" si="1"/>
        <v>98.615232443126033</v>
      </c>
    </row>
    <row r="39" spans="1:5" x14ac:dyDescent="0.3">
      <c r="A39" t="s">
        <v>126</v>
      </c>
      <c r="B39">
        <v>117.17100000000001</v>
      </c>
      <c r="C39">
        <v>117.64400000000001</v>
      </c>
      <c r="D39">
        <v>117.569</v>
      </c>
      <c r="E39" s="12">
        <f t="shared" si="1"/>
        <v>15.85623678646998</v>
      </c>
    </row>
    <row r="40" spans="1:5" x14ac:dyDescent="0.3">
      <c r="A40" t="s">
        <v>125</v>
      </c>
      <c r="B40">
        <v>106.64</v>
      </c>
      <c r="C40">
        <v>108.006</v>
      </c>
      <c r="D40">
        <v>106.7</v>
      </c>
      <c r="E40" s="12">
        <f t="shared" si="1"/>
        <v>95.607613469985182</v>
      </c>
    </row>
    <row r="41" spans="1:5" x14ac:dyDescent="0.3">
      <c r="A41" t="s">
        <v>121</v>
      </c>
      <c r="B41">
        <v>111.6</v>
      </c>
      <c r="C41">
        <v>112.76300000000001</v>
      </c>
      <c r="D41">
        <v>112.151</v>
      </c>
      <c r="E41" s="12">
        <f t="shared" si="1"/>
        <v>52.622527944970173</v>
      </c>
    </row>
    <row r="42" spans="1:5" x14ac:dyDescent="0.3">
      <c r="A42" t="s">
        <v>87</v>
      </c>
      <c r="B42">
        <v>112.339</v>
      </c>
      <c r="C42">
        <v>113.767</v>
      </c>
      <c r="D42">
        <v>112.819</v>
      </c>
      <c r="E42" s="12">
        <f t="shared" ref="E42:E67" si="2">(1-(D42-B42)/(C42-B42))*100</f>
        <v>66.38655462184839</v>
      </c>
    </row>
    <row r="43" spans="1:5" x14ac:dyDescent="0.3">
      <c r="A43" s="19" t="s">
        <v>87</v>
      </c>
      <c r="B43">
        <v>50.567999999999998</v>
      </c>
      <c r="C43">
        <v>51.764000000000003</v>
      </c>
      <c r="D43">
        <v>50.902999999999999</v>
      </c>
      <c r="E43" s="12">
        <f t="shared" si="2"/>
        <v>71.989966555183997</v>
      </c>
    </row>
    <row r="44" spans="1:5" x14ac:dyDescent="0.3">
      <c r="A44" t="s">
        <v>76</v>
      </c>
      <c r="B44">
        <v>112.867</v>
      </c>
      <c r="C44">
        <v>116.339</v>
      </c>
      <c r="D44">
        <v>114.965</v>
      </c>
      <c r="E44" s="12">
        <f t="shared" si="2"/>
        <v>39.573732718893936</v>
      </c>
    </row>
    <row r="45" spans="1:5" x14ac:dyDescent="0.3">
      <c r="A45" t="s">
        <v>75</v>
      </c>
      <c r="B45">
        <v>112.176</v>
      </c>
      <c r="C45">
        <v>114.172</v>
      </c>
      <c r="D45">
        <v>112.9</v>
      </c>
      <c r="E45" s="12">
        <f t="shared" si="2"/>
        <v>63.727454909819372</v>
      </c>
    </row>
    <row r="46" spans="1:5" x14ac:dyDescent="0.3">
      <c r="A46" t="s">
        <v>77</v>
      </c>
      <c r="B46">
        <v>121.357</v>
      </c>
      <c r="C46">
        <v>123.327</v>
      </c>
      <c r="D46">
        <v>122.3</v>
      </c>
      <c r="E46" s="12">
        <f t="shared" si="2"/>
        <v>52.131979695431554</v>
      </c>
    </row>
    <row r="47" spans="1:5" x14ac:dyDescent="0.3">
      <c r="A47" t="s">
        <v>78</v>
      </c>
      <c r="B47">
        <v>115.316</v>
      </c>
      <c r="C47">
        <v>116.995</v>
      </c>
      <c r="D47">
        <v>115.584</v>
      </c>
      <c r="E47" s="12">
        <f t="shared" si="2"/>
        <v>84.03811792733768</v>
      </c>
    </row>
    <row r="48" spans="1:5" x14ac:dyDescent="0.3">
      <c r="A48" t="s">
        <v>81</v>
      </c>
      <c r="B48">
        <v>108.72</v>
      </c>
      <c r="C48">
        <v>110.63200000000001</v>
      </c>
      <c r="D48">
        <v>109.553</v>
      </c>
      <c r="E48" s="12">
        <f t="shared" si="2"/>
        <v>56.43305439330566</v>
      </c>
    </row>
    <row r="49" spans="1:6" x14ac:dyDescent="0.3">
      <c r="A49" t="s">
        <v>82</v>
      </c>
      <c r="B49">
        <v>113.17400000000001</v>
      </c>
      <c r="C49">
        <v>115.708</v>
      </c>
      <c r="D49">
        <v>113.502</v>
      </c>
      <c r="E49" s="12">
        <f t="shared" si="2"/>
        <v>87.056037884767562</v>
      </c>
    </row>
    <row r="50" spans="1:6" x14ac:dyDescent="0.3">
      <c r="A50" t="s">
        <v>80</v>
      </c>
      <c r="B50">
        <v>104.17700000000001</v>
      </c>
      <c r="C50">
        <v>105.84099999999999</v>
      </c>
      <c r="D50">
        <v>105.523</v>
      </c>
      <c r="E50" s="12">
        <f t="shared" si="2"/>
        <v>19.110576923076938</v>
      </c>
    </row>
    <row r="51" spans="1:6" x14ac:dyDescent="0.3">
      <c r="A51" t="s">
        <v>79</v>
      </c>
      <c r="B51">
        <v>111.639</v>
      </c>
      <c r="C51">
        <v>112.678</v>
      </c>
      <c r="D51">
        <v>111.75</v>
      </c>
      <c r="E51" s="12">
        <f t="shared" si="2"/>
        <v>89.316650625601142</v>
      </c>
    </row>
    <row r="52" spans="1:6" x14ac:dyDescent="0.3">
      <c r="A52" t="s">
        <v>85</v>
      </c>
      <c r="B52">
        <v>113.77</v>
      </c>
      <c r="C52">
        <v>116.255</v>
      </c>
      <c r="D52">
        <v>114.126</v>
      </c>
      <c r="E52" s="12">
        <f t="shared" si="2"/>
        <v>85.67404426559321</v>
      </c>
    </row>
    <row r="53" spans="1:6" x14ac:dyDescent="0.3">
      <c r="A53" t="s">
        <v>84</v>
      </c>
      <c r="B53">
        <v>106.021</v>
      </c>
      <c r="C53">
        <v>108.194</v>
      </c>
      <c r="D53">
        <v>106.44799999999999</v>
      </c>
      <c r="E53" s="12">
        <f t="shared" si="2"/>
        <v>80.349746893695723</v>
      </c>
    </row>
    <row r="54" spans="1:6" x14ac:dyDescent="0.3">
      <c r="A54" t="s">
        <v>73</v>
      </c>
      <c r="B54">
        <v>108.042</v>
      </c>
      <c r="C54">
        <v>110.482</v>
      </c>
      <c r="D54">
        <v>108.706</v>
      </c>
      <c r="E54" s="12">
        <f t="shared" si="2"/>
        <v>72.786885245901559</v>
      </c>
    </row>
    <row r="55" spans="1:6" x14ac:dyDescent="0.3">
      <c r="A55" t="s">
        <v>74</v>
      </c>
      <c r="B55">
        <v>107.005</v>
      </c>
      <c r="C55">
        <v>109.182</v>
      </c>
      <c r="D55">
        <v>107.187</v>
      </c>
      <c r="E55" s="12">
        <f t="shared" si="2"/>
        <v>91.639871382636585</v>
      </c>
    </row>
    <row r="56" spans="1:6" x14ac:dyDescent="0.3">
      <c r="A56" t="s">
        <v>83</v>
      </c>
      <c r="B56">
        <v>115.363</v>
      </c>
      <c r="C56">
        <v>116.864</v>
      </c>
      <c r="D56">
        <v>116.051</v>
      </c>
      <c r="E56" s="12">
        <f t="shared" si="2"/>
        <v>54.163890739506982</v>
      </c>
    </row>
    <row r="57" spans="1:6" x14ac:dyDescent="0.3">
      <c r="A57" t="s">
        <v>86</v>
      </c>
      <c r="B57">
        <v>106.283</v>
      </c>
      <c r="C57">
        <v>107.652</v>
      </c>
      <c r="D57">
        <v>106.336</v>
      </c>
      <c r="E57" s="12">
        <f t="shared" si="2"/>
        <v>96.128560993426063</v>
      </c>
    </row>
    <row r="58" spans="1:6" x14ac:dyDescent="0.3">
      <c r="A58" t="s">
        <v>129</v>
      </c>
      <c r="B58">
        <v>128.07599999999999</v>
      </c>
      <c r="C58">
        <v>129.62799999999999</v>
      </c>
      <c r="D58">
        <v>128.429</v>
      </c>
      <c r="E58" s="12">
        <f t="shared" si="2"/>
        <v>77.255154639174592</v>
      </c>
      <c r="F58" t="s">
        <v>138</v>
      </c>
    </row>
    <row r="59" spans="1:6" x14ac:dyDescent="0.3">
      <c r="A59" t="s">
        <v>129</v>
      </c>
      <c r="B59">
        <v>108.63800000000001</v>
      </c>
      <c r="C59">
        <v>109.423</v>
      </c>
      <c r="D59">
        <v>108.782</v>
      </c>
      <c r="E59" s="12">
        <f t="shared" si="2"/>
        <v>81.656050955415054</v>
      </c>
    </row>
    <row r="60" spans="1:6" x14ac:dyDescent="0.3">
      <c r="A60" t="s">
        <v>130</v>
      </c>
      <c r="B60">
        <v>107.62</v>
      </c>
      <c r="C60">
        <v>109.148</v>
      </c>
      <c r="D60">
        <v>107.664</v>
      </c>
      <c r="E60" s="12">
        <f t="shared" si="2"/>
        <v>97.120418848167716</v>
      </c>
    </row>
    <row r="61" spans="1:6" x14ac:dyDescent="0.3">
      <c r="A61" t="s">
        <v>131</v>
      </c>
      <c r="B61">
        <v>50.683</v>
      </c>
      <c r="C61">
        <v>51.643000000000001</v>
      </c>
      <c r="D61">
        <v>51.101999999999997</v>
      </c>
      <c r="E61" s="12">
        <f t="shared" si="2"/>
        <v>56.354166666667027</v>
      </c>
    </row>
    <row r="62" spans="1:6" x14ac:dyDescent="0.3">
      <c r="A62" t="s">
        <v>132</v>
      </c>
      <c r="B62">
        <v>83.311000000000007</v>
      </c>
      <c r="C62">
        <v>83.756</v>
      </c>
      <c r="D62">
        <v>83.356999999999999</v>
      </c>
      <c r="E62" s="12">
        <f t="shared" si="2"/>
        <v>89.662921348316189</v>
      </c>
    </row>
    <row r="63" spans="1:6" x14ac:dyDescent="0.3">
      <c r="A63" t="s">
        <v>133</v>
      </c>
      <c r="B63">
        <v>85.322999999999993</v>
      </c>
      <c r="C63">
        <v>86.498999999999995</v>
      </c>
      <c r="D63">
        <v>85.596999999999994</v>
      </c>
      <c r="E63" s="12">
        <f t="shared" si="2"/>
        <v>76.700680272108798</v>
      </c>
    </row>
    <row r="64" spans="1:6" x14ac:dyDescent="0.3">
      <c r="A64" t="s">
        <v>134</v>
      </c>
      <c r="B64">
        <v>82.08</v>
      </c>
      <c r="C64">
        <v>82.668999999999997</v>
      </c>
      <c r="D64">
        <v>82.591999999999999</v>
      </c>
      <c r="E64" s="12">
        <f t="shared" si="2"/>
        <v>13.073005093378331</v>
      </c>
    </row>
    <row r="65" spans="1:5" x14ac:dyDescent="0.3">
      <c r="A65" t="s">
        <v>135</v>
      </c>
      <c r="B65">
        <v>109.029</v>
      </c>
      <c r="C65">
        <v>109.89</v>
      </c>
      <c r="D65">
        <v>109.758</v>
      </c>
      <c r="E65" s="12">
        <f t="shared" si="2"/>
        <v>15.331010452962179</v>
      </c>
    </row>
    <row r="66" spans="1:5" x14ac:dyDescent="0.3">
      <c r="A66" t="s">
        <v>136</v>
      </c>
      <c r="B66">
        <v>50.755000000000003</v>
      </c>
      <c r="C66">
        <v>51.392000000000003</v>
      </c>
      <c r="D66">
        <v>50.837000000000003</v>
      </c>
      <c r="E66" s="12">
        <f t="shared" si="2"/>
        <v>87.127158555729878</v>
      </c>
    </row>
    <row r="67" spans="1:5" x14ac:dyDescent="0.3">
      <c r="A67" t="s">
        <v>137</v>
      </c>
      <c r="B67">
        <v>121.051</v>
      </c>
      <c r="C67">
        <v>122.562</v>
      </c>
      <c r="D67">
        <v>121.684</v>
      </c>
      <c r="E67" s="12">
        <f t="shared" si="2"/>
        <v>58.107213765718235</v>
      </c>
    </row>
  </sheetData>
  <sortState xmlns:xlrd2="http://schemas.microsoft.com/office/spreadsheetml/2017/richdata2" ref="A2:E57">
    <sortCondition ref="A2:A57"/>
  </sortState>
  <phoneticPr fontId="5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7F9-E976-484C-8691-F63A6C6E882C}">
  <dimension ref="A1:X82"/>
  <sheetViews>
    <sheetView zoomScaleNormal="100" workbookViewId="0">
      <pane ySplit="2" topLeftCell="A3" activePane="bottomLeft" state="frozen"/>
      <selection pane="bottomLeft" activeCell="Q13" sqref="Q13"/>
    </sheetView>
  </sheetViews>
  <sheetFormatPr defaultRowHeight="14.4" x14ac:dyDescent="0.3"/>
  <sheetData>
    <row r="1" spans="1:24" x14ac:dyDescent="0.3">
      <c r="B1" t="s">
        <v>99</v>
      </c>
      <c r="C1" t="s">
        <v>100</v>
      </c>
      <c r="D1" t="s">
        <v>99</v>
      </c>
      <c r="E1" t="s">
        <v>100</v>
      </c>
      <c r="F1" t="s">
        <v>99</v>
      </c>
      <c r="G1" t="s">
        <v>100</v>
      </c>
      <c r="H1" t="s">
        <v>99</v>
      </c>
      <c r="I1" t="s">
        <v>100</v>
      </c>
      <c r="J1" t="s">
        <v>99</v>
      </c>
      <c r="K1" t="s">
        <v>100</v>
      </c>
      <c r="L1" t="s">
        <v>99</v>
      </c>
      <c r="M1" t="s">
        <v>100</v>
      </c>
      <c r="N1" t="s">
        <v>99</v>
      </c>
      <c r="O1" t="s">
        <v>100</v>
      </c>
    </row>
    <row r="2" spans="1:24" x14ac:dyDescent="0.3">
      <c r="A2" t="s">
        <v>98</v>
      </c>
      <c r="B2" s="18">
        <v>10</v>
      </c>
      <c r="C2" s="18"/>
      <c r="D2" s="19">
        <v>20</v>
      </c>
      <c r="E2" s="19"/>
      <c r="F2" s="20">
        <v>40</v>
      </c>
      <c r="G2" s="20"/>
      <c r="H2" s="21">
        <v>60</v>
      </c>
      <c r="I2" s="21"/>
      <c r="J2" s="22">
        <v>100</v>
      </c>
      <c r="K2" s="22"/>
      <c r="L2" s="24">
        <v>200</v>
      </c>
      <c r="M2" s="24"/>
      <c r="N2" s="23">
        <v>300</v>
      </c>
      <c r="O2" s="23"/>
    </row>
    <row r="3" spans="1:24" x14ac:dyDescent="0.3">
      <c r="A3" t="s">
        <v>62</v>
      </c>
      <c r="B3">
        <v>1657.12</v>
      </c>
      <c r="C3">
        <v>1655.79</v>
      </c>
      <c r="D3">
        <v>1657.43</v>
      </c>
      <c r="E3">
        <v>1655.77</v>
      </c>
      <c r="F3">
        <v>1659.29</v>
      </c>
      <c r="G3">
        <v>1654.75</v>
      </c>
      <c r="H3">
        <v>1661.76</v>
      </c>
      <c r="I3">
        <v>1653.93</v>
      </c>
      <c r="J3">
        <v>1662.39</v>
      </c>
      <c r="K3">
        <v>1651</v>
      </c>
      <c r="L3">
        <v>1670.87</v>
      </c>
      <c r="M3">
        <v>1643.26</v>
      </c>
      <c r="N3">
        <v>1678.2</v>
      </c>
      <c r="O3">
        <v>1627.27</v>
      </c>
    </row>
    <row r="4" spans="1:24" x14ac:dyDescent="0.3">
      <c r="A4" t="s">
        <v>65</v>
      </c>
      <c r="B4">
        <v>1633.69</v>
      </c>
      <c r="C4">
        <v>1629.16</v>
      </c>
      <c r="D4">
        <v>1633.63</v>
      </c>
      <c r="E4">
        <v>1628.91</v>
      </c>
      <c r="F4">
        <v>1635.14</v>
      </c>
      <c r="G4">
        <v>1626.63</v>
      </c>
      <c r="H4">
        <v>1643.11</v>
      </c>
      <c r="I4">
        <v>1625.49</v>
      </c>
      <c r="J4">
        <v>1642.55</v>
      </c>
      <c r="K4">
        <v>1618.15</v>
      </c>
      <c r="L4">
        <v>1645.9</v>
      </c>
      <c r="M4">
        <v>1613.45</v>
      </c>
      <c r="N4">
        <v>1655.28</v>
      </c>
      <c r="O4">
        <v>1600.04</v>
      </c>
      <c r="R4" t="s">
        <v>103</v>
      </c>
    </row>
    <row r="5" spans="1:24" x14ac:dyDescent="0.3">
      <c r="A5" t="s">
        <v>64</v>
      </c>
      <c r="B5">
        <v>1605.47</v>
      </c>
      <c r="C5">
        <v>1604.74</v>
      </c>
      <c r="D5">
        <v>1607.69</v>
      </c>
      <c r="E5">
        <v>1603.62</v>
      </c>
      <c r="F5">
        <v>1610.55</v>
      </c>
      <c r="G5">
        <v>1603.03</v>
      </c>
      <c r="H5">
        <v>1612.86</v>
      </c>
      <c r="I5">
        <v>1599.44</v>
      </c>
      <c r="J5">
        <v>1615.6</v>
      </c>
      <c r="K5">
        <v>1593.24</v>
      </c>
      <c r="L5">
        <v>1624.29</v>
      </c>
      <c r="M5">
        <v>1583.44</v>
      </c>
      <c r="N5">
        <v>1639.3</v>
      </c>
      <c r="O5">
        <v>1572.34</v>
      </c>
    </row>
    <row r="6" spans="1:24" x14ac:dyDescent="0.3">
      <c r="A6" t="s">
        <v>63</v>
      </c>
      <c r="B6">
        <v>1596.69</v>
      </c>
      <c r="C6">
        <v>1594.13</v>
      </c>
      <c r="D6">
        <v>1598.55</v>
      </c>
      <c r="E6">
        <v>1593.38</v>
      </c>
      <c r="F6">
        <v>1603.38</v>
      </c>
      <c r="G6">
        <v>1592</v>
      </c>
      <c r="H6">
        <v>1603.94</v>
      </c>
      <c r="I6">
        <v>1589.65</v>
      </c>
      <c r="J6">
        <v>1607.85</v>
      </c>
      <c r="K6">
        <v>1584.71</v>
      </c>
      <c r="L6">
        <v>1624.43</v>
      </c>
      <c r="M6">
        <v>1583.28</v>
      </c>
      <c r="N6">
        <v>1639.01</v>
      </c>
      <c r="O6">
        <v>1572.63</v>
      </c>
    </row>
    <row r="7" spans="1:24" x14ac:dyDescent="0.3">
      <c r="A7" s="32" t="s">
        <v>67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1:24" x14ac:dyDescent="0.3">
      <c r="A8" s="32" t="s">
        <v>66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1:24" x14ac:dyDescent="0.3">
      <c r="A9" s="32" t="s">
        <v>89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24" x14ac:dyDescent="0.3">
      <c r="A10" s="32" t="s">
        <v>68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R10">
        <v>10</v>
      </c>
      <c r="S10">
        <v>20</v>
      </c>
      <c r="T10">
        <v>40</v>
      </c>
      <c r="U10">
        <v>60</v>
      </c>
      <c r="V10">
        <v>100</v>
      </c>
      <c r="W10">
        <v>200</v>
      </c>
      <c r="X10">
        <v>300</v>
      </c>
    </row>
    <row r="11" spans="1:24" x14ac:dyDescent="0.3">
      <c r="A11" s="32" t="s">
        <v>71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R11">
        <v>10</v>
      </c>
      <c r="S11">
        <v>20</v>
      </c>
      <c r="T11">
        <v>40</v>
      </c>
      <c r="U11">
        <v>60</v>
      </c>
      <c r="V11">
        <v>100</v>
      </c>
      <c r="W11">
        <v>200</v>
      </c>
      <c r="X11">
        <v>300</v>
      </c>
    </row>
    <row r="12" spans="1:24" x14ac:dyDescent="0.3">
      <c r="A12" t="s">
        <v>72</v>
      </c>
      <c r="B12">
        <v>1567.76</v>
      </c>
      <c r="C12">
        <v>1566.39</v>
      </c>
      <c r="D12">
        <v>1566.93</v>
      </c>
      <c r="E12">
        <v>1563.31</v>
      </c>
      <c r="F12">
        <v>1566.08</v>
      </c>
      <c r="G12">
        <v>1559.71</v>
      </c>
      <c r="H12">
        <v>1567.76</v>
      </c>
      <c r="I12">
        <v>1556.73</v>
      </c>
      <c r="J12">
        <v>1571.46</v>
      </c>
      <c r="K12">
        <v>1555.84</v>
      </c>
      <c r="L12">
        <v>1580.57</v>
      </c>
      <c r="M12">
        <v>1548.76</v>
      </c>
      <c r="N12">
        <v>1589.32</v>
      </c>
      <c r="O12">
        <v>1539.33</v>
      </c>
      <c r="R12">
        <v>10</v>
      </c>
      <c r="S12">
        <v>20</v>
      </c>
      <c r="T12">
        <v>40</v>
      </c>
      <c r="U12">
        <v>60</v>
      </c>
      <c r="V12">
        <v>100</v>
      </c>
      <c r="W12">
        <v>200</v>
      </c>
      <c r="X12">
        <v>300</v>
      </c>
    </row>
    <row r="13" spans="1:24" x14ac:dyDescent="0.3">
      <c r="A13" t="s">
        <v>70</v>
      </c>
      <c r="B13">
        <v>1573.16</v>
      </c>
      <c r="C13">
        <v>1571.43</v>
      </c>
      <c r="D13">
        <v>1574.02</v>
      </c>
      <c r="E13">
        <v>1570.97</v>
      </c>
      <c r="F13">
        <v>1576.69</v>
      </c>
      <c r="G13">
        <v>1568.59</v>
      </c>
      <c r="H13">
        <v>1578.89</v>
      </c>
      <c r="I13">
        <v>1566.89</v>
      </c>
      <c r="J13">
        <v>1581.49</v>
      </c>
      <c r="K13">
        <v>1563.17</v>
      </c>
      <c r="L13">
        <v>1591.75</v>
      </c>
      <c r="M13">
        <v>1557.19</v>
      </c>
      <c r="N13">
        <v>1604.62</v>
      </c>
      <c r="O13">
        <v>1550.67</v>
      </c>
      <c r="R13">
        <v>10</v>
      </c>
      <c r="S13">
        <v>20</v>
      </c>
      <c r="T13">
        <v>40</v>
      </c>
      <c r="U13">
        <v>60</v>
      </c>
      <c r="V13">
        <v>100</v>
      </c>
      <c r="W13">
        <v>200</v>
      </c>
      <c r="X13">
        <v>300</v>
      </c>
    </row>
    <row r="14" spans="1:24" x14ac:dyDescent="0.3">
      <c r="A14" t="s">
        <v>69</v>
      </c>
      <c r="B14">
        <v>1627.56</v>
      </c>
      <c r="C14">
        <v>1625.57</v>
      </c>
      <c r="D14">
        <v>1628.47</v>
      </c>
      <c r="E14">
        <v>1625.4</v>
      </c>
      <c r="F14">
        <v>1629.51</v>
      </c>
      <c r="G14">
        <v>1623.49</v>
      </c>
      <c r="H14">
        <v>1633.44</v>
      </c>
      <c r="I14">
        <v>1625.13</v>
      </c>
      <c r="J14">
        <v>1639.61</v>
      </c>
      <c r="K14">
        <v>1621.54</v>
      </c>
      <c r="L14">
        <v>1646.59</v>
      </c>
      <c r="M14">
        <v>1608.89</v>
      </c>
      <c r="N14">
        <v>1653.65</v>
      </c>
      <c r="O14">
        <v>1600.76</v>
      </c>
      <c r="R14">
        <v>10</v>
      </c>
      <c r="S14">
        <v>20</v>
      </c>
      <c r="T14">
        <v>40</v>
      </c>
      <c r="U14">
        <v>60</v>
      </c>
      <c r="V14">
        <v>100</v>
      </c>
      <c r="W14">
        <v>200</v>
      </c>
      <c r="X14">
        <v>300</v>
      </c>
    </row>
    <row r="15" spans="1:24" x14ac:dyDescent="0.3">
      <c r="R15">
        <v>10</v>
      </c>
      <c r="S15">
        <v>20</v>
      </c>
      <c r="T15">
        <v>40</v>
      </c>
      <c r="U15">
        <v>60</v>
      </c>
      <c r="V15">
        <v>100</v>
      </c>
      <c r="W15">
        <v>200</v>
      </c>
      <c r="X15">
        <v>300</v>
      </c>
    </row>
    <row r="16" spans="1:24" x14ac:dyDescent="0.3">
      <c r="A16" t="s">
        <v>104</v>
      </c>
      <c r="B16">
        <v>1605.47</v>
      </c>
      <c r="C16">
        <v>1604.74</v>
      </c>
      <c r="D16">
        <v>1607.69</v>
      </c>
      <c r="E16">
        <v>1603.62</v>
      </c>
      <c r="F16">
        <v>1610.55</v>
      </c>
      <c r="G16">
        <v>1603.03</v>
      </c>
      <c r="H16">
        <v>1612.86</v>
      </c>
      <c r="I16">
        <v>1599.44</v>
      </c>
      <c r="J16">
        <v>1615.6</v>
      </c>
      <c r="K16">
        <v>1593.24</v>
      </c>
      <c r="L16">
        <v>1624.29</v>
      </c>
      <c r="M16">
        <v>1583.44</v>
      </c>
      <c r="N16">
        <v>1639.3</v>
      </c>
      <c r="O16">
        <v>1572.34</v>
      </c>
      <c r="R16">
        <v>10</v>
      </c>
      <c r="S16">
        <v>20</v>
      </c>
      <c r="T16">
        <v>40</v>
      </c>
      <c r="U16">
        <v>60</v>
      </c>
      <c r="V16">
        <v>100</v>
      </c>
      <c r="W16">
        <v>200</v>
      </c>
      <c r="X16">
        <v>300</v>
      </c>
    </row>
    <row r="17" spans="1:24" x14ac:dyDescent="0.3">
      <c r="A17">
        <v>208.5</v>
      </c>
      <c r="B17">
        <v>1580.04</v>
      </c>
      <c r="C17">
        <v>1578.07</v>
      </c>
      <c r="D17">
        <v>1580.52</v>
      </c>
      <c r="E17">
        <v>1577.13</v>
      </c>
      <c r="F17">
        <v>1583.3</v>
      </c>
      <c r="G17">
        <v>1575.18</v>
      </c>
      <c r="H17">
        <v>1583.08</v>
      </c>
      <c r="I17">
        <v>1572.96</v>
      </c>
      <c r="J17">
        <v>1588.56</v>
      </c>
      <c r="K17">
        <v>1569.74</v>
      </c>
      <c r="L17">
        <v>1598.95</v>
      </c>
      <c r="M17">
        <v>1561.66</v>
      </c>
      <c r="N17">
        <v>1611.58</v>
      </c>
      <c r="O17">
        <v>1551.99</v>
      </c>
      <c r="R17">
        <v>10</v>
      </c>
      <c r="S17">
        <v>20</v>
      </c>
      <c r="T17">
        <v>40</v>
      </c>
      <c r="U17">
        <v>60</v>
      </c>
      <c r="V17">
        <v>100</v>
      </c>
      <c r="W17">
        <v>200</v>
      </c>
      <c r="X17">
        <v>300</v>
      </c>
    </row>
    <row r="18" spans="1:24" x14ac:dyDescent="0.3">
      <c r="A18">
        <v>209</v>
      </c>
      <c r="B18">
        <v>1627.68</v>
      </c>
      <c r="C18">
        <v>1625.57</v>
      </c>
      <c r="D18">
        <v>1628.5</v>
      </c>
      <c r="E18">
        <v>1625.35</v>
      </c>
      <c r="F18">
        <v>1629.35</v>
      </c>
      <c r="G18">
        <v>1623.49</v>
      </c>
      <c r="H18">
        <v>1633.4</v>
      </c>
      <c r="I18">
        <v>1624.85</v>
      </c>
      <c r="J18">
        <v>1638.94</v>
      </c>
      <c r="K18">
        <v>1618.03</v>
      </c>
      <c r="L18">
        <v>1646.63</v>
      </c>
      <c r="M18">
        <v>1608.85</v>
      </c>
      <c r="N18">
        <v>1654.41</v>
      </c>
      <c r="O18">
        <v>1596.51</v>
      </c>
      <c r="R18">
        <v>10</v>
      </c>
      <c r="S18">
        <v>20</v>
      </c>
      <c r="T18">
        <v>40</v>
      </c>
      <c r="U18">
        <v>60</v>
      </c>
      <c r="V18">
        <v>100</v>
      </c>
      <c r="W18">
        <v>200</v>
      </c>
      <c r="X18">
        <v>300</v>
      </c>
    </row>
    <row r="19" spans="1:24" x14ac:dyDescent="0.3">
      <c r="A19">
        <v>210</v>
      </c>
      <c r="B19">
        <v>1650.31</v>
      </c>
      <c r="C19">
        <v>1645.43</v>
      </c>
      <c r="D19">
        <v>1647.17</v>
      </c>
      <c r="E19">
        <v>1646.66</v>
      </c>
      <c r="F19">
        <v>1650.16</v>
      </c>
      <c r="G19">
        <v>1644.45</v>
      </c>
      <c r="H19">
        <v>1652.28</v>
      </c>
      <c r="I19">
        <v>1642.58</v>
      </c>
      <c r="J19">
        <v>1654.36</v>
      </c>
      <c r="K19">
        <v>1640.15</v>
      </c>
      <c r="L19">
        <v>1660.22</v>
      </c>
      <c r="M19">
        <v>1627.36</v>
      </c>
      <c r="N19">
        <v>1665.45</v>
      </c>
      <c r="O19">
        <v>1617.84</v>
      </c>
      <c r="R19">
        <v>10</v>
      </c>
      <c r="S19">
        <v>20</v>
      </c>
      <c r="T19">
        <v>40</v>
      </c>
      <c r="U19">
        <v>60</v>
      </c>
      <c r="V19">
        <v>100</v>
      </c>
      <c r="W19">
        <v>200</v>
      </c>
      <c r="X19">
        <v>300</v>
      </c>
    </row>
    <row r="20" spans="1:24" ht="15" thickBot="1" x14ac:dyDescent="0.35">
      <c r="A20" s="26">
        <v>211</v>
      </c>
      <c r="B20" s="26">
        <v>1654.08</v>
      </c>
      <c r="C20" s="26">
        <v>1651.92</v>
      </c>
      <c r="D20" s="26">
        <v>1654.16</v>
      </c>
      <c r="E20" s="26">
        <v>1651.24</v>
      </c>
      <c r="F20" s="26">
        <v>1655.96</v>
      </c>
      <c r="G20" s="26">
        <v>1650.4</v>
      </c>
      <c r="H20" s="26">
        <v>1656.02</v>
      </c>
      <c r="I20" s="26">
        <v>1647.28</v>
      </c>
      <c r="J20" s="26">
        <v>1658.52</v>
      </c>
      <c r="K20" s="26">
        <v>1649.4</v>
      </c>
      <c r="L20" s="26">
        <v>1663.9</v>
      </c>
      <c r="M20" s="26">
        <v>1639.56</v>
      </c>
      <c r="N20" s="26">
        <v>1674.59</v>
      </c>
      <c r="O20" s="26">
        <v>1625.35</v>
      </c>
      <c r="R20">
        <v>10</v>
      </c>
      <c r="S20">
        <v>20</v>
      </c>
      <c r="T20">
        <v>40</v>
      </c>
      <c r="U20">
        <v>60</v>
      </c>
      <c r="V20">
        <v>100</v>
      </c>
      <c r="W20">
        <v>200</v>
      </c>
      <c r="X20">
        <v>300</v>
      </c>
    </row>
    <row r="21" spans="1:24" x14ac:dyDescent="0.3">
      <c r="A21" t="s">
        <v>60</v>
      </c>
      <c r="B21">
        <v>1545.04</v>
      </c>
      <c r="C21">
        <v>1542.95</v>
      </c>
      <c r="D21">
        <v>1545.75</v>
      </c>
      <c r="E21">
        <v>1542.62</v>
      </c>
      <c r="F21">
        <v>1548.15</v>
      </c>
      <c r="G21">
        <v>1542.43</v>
      </c>
      <c r="H21">
        <v>1548.28</v>
      </c>
      <c r="I21">
        <v>1543.12</v>
      </c>
      <c r="J21">
        <v>1549.17</v>
      </c>
      <c r="K21">
        <v>1539.42</v>
      </c>
      <c r="L21">
        <v>1556.08</v>
      </c>
      <c r="M21">
        <v>1536.63</v>
      </c>
      <c r="N21">
        <v>1559.33</v>
      </c>
      <c r="O21">
        <v>1533.45</v>
      </c>
      <c r="R21">
        <v>10</v>
      </c>
      <c r="S21">
        <v>20</v>
      </c>
      <c r="T21">
        <v>40</v>
      </c>
      <c r="U21">
        <v>60</v>
      </c>
      <c r="V21">
        <v>100</v>
      </c>
      <c r="W21">
        <v>200</v>
      </c>
      <c r="X21">
        <v>300</v>
      </c>
    </row>
    <row r="22" spans="1:24" x14ac:dyDescent="0.3">
      <c r="A22" s="19" t="s">
        <v>50</v>
      </c>
      <c r="R22">
        <v>10</v>
      </c>
      <c r="S22">
        <v>20</v>
      </c>
      <c r="T22">
        <v>40</v>
      </c>
      <c r="U22">
        <v>60</v>
      </c>
      <c r="V22">
        <v>100</v>
      </c>
      <c r="W22">
        <v>200</v>
      </c>
      <c r="X22">
        <v>300</v>
      </c>
    </row>
    <row r="23" spans="1:24" x14ac:dyDescent="0.3">
      <c r="A23" s="25" t="s">
        <v>57</v>
      </c>
      <c r="R23">
        <v>10</v>
      </c>
      <c r="S23">
        <v>20</v>
      </c>
      <c r="T23">
        <v>40</v>
      </c>
      <c r="U23">
        <v>60</v>
      </c>
      <c r="V23">
        <v>100</v>
      </c>
      <c r="W23">
        <v>200</v>
      </c>
      <c r="X23">
        <v>300</v>
      </c>
    </row>
    <row r="24" spans="1:24" x14ac:dyDescent="0.3">
      <c r="A24" t="s">
        <v>49</v>
      </c>
      <c r="B24">
        <v>1541.7</v>
      </c>
      <c r="C24">
        <v>1540.79</v>
      </c>
      <c r="D24">
        <v>1542.43</v>
      </c>
      <c r="E24">
        <v>1540.41</v>
      </c>
      <c r="F24">
        <v>1542.76</v>
      </c>
      <c r="G24">
        <v>1539.5</v>
      </c>
      <c r="H24">
        <v>1543.12</v>
      </c>
      <c r="I24">
        <v>1539.85</v>
      </c>
      <c r="J24">
        <v>1545.4</v>
      </c>
      <c r="K24">
        <v>1538.88</v>
      </c>
      <c r="L24">
        <v>1551.99</v>
      </c>
      <c r="M24">
        <v>1536.4</v>
      </c>
      <c r="N24">
        <v>1558.4</v>
      </c>
      <c r="O24">
        <v>1529.42</v>
      </c>
      <c r="R24">
        <v>10</v>
      </c>
      <c r="S24">
        <v>20</v>
      </c>
      <c r="T24">
        <v>40</v>
      </c>
      <c r="U24">
        <v>60</v>
      </c>
      <c r="V24">
        <v>100</v>
      </c>
      <c r="W24">
        <v>200</v>
      </c>
      <c r="X24">
        <v>300</v>
      </c>
    </row>
    <row r="25" spans="1:24" x14ac:dyDescent="0.3">
      <c r="A25" t="s">
        <v>61</v>
      </c>
      <c r="B25">
        <v>1550.69</v>
      </c>
      <c r="C25">
        <v>1551.68</v>
      </c>
      <c r="D25">
        <v>1550.9</v>
      </c>
      <c r="E25">
        <v>1549.19</v>
      </c>
      <c r="F25">
        <v>1552.36</v>
      </c>
      <c r="G25">
        <v>1547.73</v>
      </c>
      <c r="H25">
        <v>1553.67</v>
      </c>
      <c r="I25">
        <v>1545.63</v>
      </c>
      <c r="J25">
        <v>1555.56</v>
      </c>
      <c r="K25">
        <v>1543.85</v>
      </c>
      <c r="L25">
        <v>1562.12</v>
      </c>
      <c r="M25">
        <v>1540.56</v>
      </c>
      <c r="N25">
        <v>1569.55</v>
      </c>
      <c r="O25">
        <v>1536.09</v>
      </c>
      <c r="R25">
        <v>10</v>
      </c>
      <c r="S25">
        <v>20</v>
      </c>
      <c r="T25">
        <v>40</v>
      </c>
      <c r="U25">
        <v>60</v>
      </c>
      <c r="V25">
        <v>100</v>
      </c>
      <c r="W25">
        <v>200</v>
      </c>
      <c r="X25">
        <v>300</v>
      </c>
    </row>
    <row r="26" spans="1:24" x14ac:dyDescent="0.3">
      <c r="A26" t="s">
        <v>56</v>
      </c>
      <c r="B26">
        <v>1558.88</v>
      </c>
      <c r="C26">
        <v>1557.73</v>
      </c>
      <c r="D26">
        <v>1559.01</v>
      </c>
      <c r="E26">
        <v>1557.36</v>
      </c>
      <c r="F26">
        <v>1561.38</v>
      </c>
      <c r="G26">
        <v>1557.08</v>
      </c>
      <c r="H26">
        <v>1562.76</v>
      </c>
      <c r="I26">
        <v>1557.25</v>
      </c>
      <c r="J26">
        <v>1563.68</v>
      </c>
      <c r="K26">
        <v>1554.99</v>
      </c>
      <c r="L26">
        <v>1570.99</v>
      </c>
      <c r="M26">
        <v>1548.42</v>
      </c>
      <c r="N26">
        <v>1580.65</v>
      </c>
      <c r="O26">
        <v>1542.62</v>
      </c>
      <c r="R26">
        <v>10</v>
      </c>
      <c r="S26">
        <v>20</v>
      </c>
      <c r="T26">
        <v>40</v>
      </c>
      <c r="U26">
        <v>60</v>
      </c>
      <c r="V26">
        <v>100</v>
      </c>
      <c r="W26">
        <v>200</v>
      </c>
      <c r="X26">
        <v>300</v>
      </c>
    </row>
    <row r="27" spans="1:24" x14ac:dyDescent="0.3">
      <c r="A27" t="s">
        <v>52</v>
      </c>
      <c r="B27">
        <v>1577.67</v>
      </c>
      <c r="C27">
        <v>1575.84</v>
      </c>
      <c r="D27">
        <v>1578.12</v>
      </c>
      <c r="E27">
        <v>1574.92</v>
      </c>
      <c r="F27">
        <v>1580.71</v>
      </c>
      <c r="G27">
        <v>1572.58</v>
      </c>
      <c r="H27">
        <v>1582.09</v>
      </c>
      <c r="I27">
        <v>1571.03</v>
      </c>
      <c r="J27">
        <v>1582.19</v>
      </c>
      <c r="K27">
        <v>1569.89</v>
      </c>
      <c r="L27">
        <v>1591.64</v>
      </c>
      <c r="M27">
        <v>1561.86</v>
      </c>
      <c r="N27">
        <v>1606.69</v>
      </c>
      <c r="O27">
        <v>1556.37</v>
      </c>
      <c r="R27">
        <v>10</v>
      </c>
      <c r="S27">
        <v>20</v>
      </c>
      <c r="T27">
        <v>40</v>
      </c>
      <c r="U27">
        <v>60</v>
      </c>
      <c r="V27">
        <v>100</v>
      </c>
      <c r="W27">
        <v>200</v>
      </c>
      <c r="X27">
        <v>300</v>
      </c>
    </row>
    <row r="28" spans="1:24" x14ac:dyDescent="0.3">
      <c r="A28" t="s">
        <v>53</v>
      </c>
      <c r="B28">
        <v>1645.61</v>
      </c>
      <c r="C28">
        <v>1645.46</v>
      </c>
      <c r="D28">
        <v>1645.25</v>
      </c>
      <c r="E28">
        <v>1644.82</v>
      </c>
      <c r="F28">
        <v>1644.04</v>
      </c>
      <c r="G28">
        <v>1640.49</v>
      </c>
      <c r="H28">
        <v>1645.65</v>
      </c>
      <c r="I28">
        <v>1638.59</v>
      </c>
      <c r="J28">
        <v>1648.66</v>
      </c>
      <c r="K28">
        <v>1637.56</v>
      </c>
      <c r="L28">
        <v>1658.53</v>
      </c>
      <c r="M28">
        <v>1632.63</v>
      </c>
      <c r="N28">
        <v>1669.14</v>
      </c>
      <c r="O28">
        <v>1623.81</v>
      </c>
      <c r="R28">
        <v>10</v>
      </c>
      <c r="S28">
        <v>20</v>
      </c>
      <c r="T28">
        <v>40</v>
      </c>
      <c r="U28">
        <v>60</v>
      </c>
      <c r="V28">
        <v>100</v>
      </c>
      <c r="W28">
        <v>200</v>
      </c>
      <c r="X28">
        <v>300</v>
      </c>
    </row>
    <row r="29" spans="1:24" x14ac:dyDescent="0.3">
      <c r="A29" s="19" t="s">
        <v>47</v>
      </c>
      <c r="R29">
        <v>10</v>
      </c>
      <c r="S29">
        <v>20</v>
      </c>
      <c r="T29">
        <v>40</v>
      </c>
      <c r="U29">
        <v>60</v>
      </c>
      <c r="V29">
        <v>100</v>
      </c>
      <c r="W29">
        <v>200</v>
      </c>
      <c r="X29">
        <v>300</v>
      </c>
    </row>
    <row r="30" spans="1:24" x14ac:dyDescent="0.3">
      <c r="A30" s="27" t="s">
        <v>55</v>
      </c>
      <c r="B30">
        <v>1654.82</v>
      </c>
      <c r="C30">
        <v>1653.95</v>
      </c>
      <c r="D30">
        <v>1656.34</v>
      </c>
      <c r="E30">
        <v>1654.23</v>
      </c>
      <c r="F30">
        <v>1584.77</v>
      </c>
    </row>
    <row r="31" spans="1:24" x14ac:dyDescent="0.3">
      <c r="A31" s="27" t="s">
        <v>59</v>
      </c>
      <c r="B31">
        <v>1649.47</v>
      </c>
      <c r="C31">
        <v>1648.13</v>
      </c>
      <c r="D31">
        <v>1651.27</v>
      </c>
      <c r="E31">
        <v>1649.73</v>
      </c>
      <c r="F31">
        <v>1653.34</v>
      </c>
      <c r="G31">
        <v>1645.38</v>
      </c>
      <c r="H31">
        <v>1654.19</v>
      </c>
      <c r="I31">
        <v>1643.85</v>
      </c>
      <c r="J31">
        <v>1658.08</v>
      </c>
      <c r="K31">
        <v>1641.38</v>
      </c>
      <c r="L31">
        <v>1665.12</v>
      </c>
      <c r="M31">
        <v>1637.65</v>
      </c>
    </row>
    <row r="32" spans="1:24" x14ac:dyDescent="0.3">
      <c r="A32" t="s">
        <v>48</v>
      </c>
      <c r="B32">
        <v>1641.57</v>
      </c>
      <c r="C32">
        <v>1641.16</v>
      </c>
      <c r="D32">
        <v>1642.47</v>
      </c>
      <c r="E32">
        <v>1640.45</v>
      </c>
      <c r="F32">
        <v>1644.35</v>
      </c>
      <c r="G32">
        <v>1640.47</v>
      </c>
      <c r="H32">
        <v>1646.1</v>
      </c>
      <c r="I32">
        <v>1638.82</v>
      </c>
      <c r="J32">
        <v>1648.91</v>
      </c>
      <c r="K32">
        <v>1637.63</v>
      </c>
      <c r="L32">
        <v>1658.99</v>
      </c>
      <c r="M32">
        <v>1633.01</v>
      </c>
      <c r="N32">
        <v>1665.79</v>
      </c>
      <c r="O32">
        <v>1623.67</v>
      </c>
    </row>
    <row r="33" spans="1:19" x14ac:dyDescent="0.3">
      <c r="A33" t="s">
        <v>51</v>
      </c>
      <c r="B33">
        <v>1538.56</v>
      </c>
      <c r="C33">
        <v>1537.76</v>
      </c>
      <c r="D33">
        <v>1539.34</v>
      </c>
      <c r="E33">
        <v>1536.76</v>
      </c>
      <c r="F33">
        <v>1539.56</v>
      </c>
      <c r="G33">
        <v>1536.26</v>
      </c>
      <c r="H33">
        <v>1539.99</v>
      </c>
      <c r="I33">
        <v>1535.63</v>
      </c>
      <c r="J33">
        <v>1540.88</v>
      </c>
      <c r="K33">
        <v>1534.97</v>
      </c>
      <c r="L33">
        <v>1547.05</v>
      </c>
      <c r="M33">
        <v>1530.06</v>
      </c>
      <c r="N33">
        <v>1551.39</v>
      </c>
      <c r="O33">
        <v>1525.91</v>
      </c>
    </row>
    <row r="34" spans="1:19" x14ac:dyDescent="0.3">
      <c r="A34" t="s">
        <v>58</v>
      </c>
      <c r="B34">
        <v>1542.43</v>
      </c>
      <c r="C34">
        <v>1541.54</v>
      </c>
      <c r="D34">
        <v>1542.77</v>
      </c>
      <c r="E34">
        <v>1543.19</v>
      </c>
      <c r="F34">
        <v>1543.93</v>
      </c>
      <c r="G34">
        <v>1542.43</v>
      </c>
      <c r="H34">
        <v>1545.31</v>
      </c>
      <c r="I34">
        <v>1541.01</v>
      </c>
      <c r="J34">
        <v>1547.41</v>
      </c>
      <c r="K34">
        <v>1539.33</v>
      </c>
      <c r="L34">
        <v>1553.73</v>
      </c>
      <c r="M34">
        <v>1535.44</v>
      </c>
      <c r="N34">
        <v>1557.27</v>
      </c>
      <c r="O34">
        <v>1531.26</v>
      </c>
    </row>
    <row r="35" spans="1:19" ht="15" thickBot="1" x14ac:dyDescent="0.35">
      <c r="A35" s="26" t="s">
        <v>54</v>
      </c>
      <c r="B35" s="26">
        <v>1587.98</v>
      </c>
      <c r="C35" s="26">
        <v>1586.18</v>
      </c>
      <c r="D35" s="26">
        <v>1587.25</v>
      </c>
      <c r="E35" s="26">
        <v>1584.69</v>
      </c>
      <c r="F35" s="26">
        <v>1587.41</v>
      </c>
      <c r="G35" s="26">
        <v>1581.19</v>
      </c>
      <c r="H35" s="26">
        <v>1590.51</v>
      </c>
      <c r="I35" s="26">
        <v>1580.32</v>
      </c>
      <c r="J35" s="26">
        <v>1594.68</v>
      </c>
      <c r="K35" s="26">
        <v>1577.27</v>
      </c>
      <c r="L35" s="26">
        <v>1603.65</v>
      </c>
      <c r="M35" s="26">
        <v>1570.93</v>
      </c>
      <c r="N35" s="26">
        <v>1613.09</v>
      </c>
      <c r="O35" s="26">
        <v>1564.37</v>
      </c>
    </row>
    <row r="36" spans="1:19" x14ac:dyDescent="0.3">
      <c r="A36" t="s">
        <v>88</v>
      </c>
      <c r="B36">
        <v>1613.48</v>
      </c>
      <c r="C36">
        <v>1612.89</v>
      </c>
      <c r="D36">
        <v>1613.71</v>
      </c>
      <c r="E36">
        <v>1612.38</v>
      </c>
      <c r="F36">
        <v>1615.63</v>
      </c>
      <c r="G36">
        <v>1611.55</v>
      </c>
      <c r="H36">
        <v>1616.12</v>
      </c>
      <c r="I36">
        <v>1610.21</v>
      </c>
      <c r="J36">
        <v>1618</v>
      </c>
      <c r="K36">
        <v>1608.35</v>
      </c>
      <c r="L36">
        <v>1623.08</v>
      </c>
      <c r="M36">
        <v>1604.45</v>
      </c>
      <c r="N36">
        <v>1629.02</v>
      </c>
      <c r="O36">
        <v>1599.84</v>
      </c>
      <c r="R36" t="s">
        <v>105</v>
      </c>
      <c r="S36" t="s">
        <v>106</v>
      </c>
    </row>
    <row r="37" spans="1:19" x14ac:dyDescent="0.3">
      <c r="A37" t="s">
        <v>90</v>
      </c>
      <c r="B37">
        <v>1601.39</v>
      </c>
      <c r="C37">
        <v>1601.34</v>
      </c>
      <c r="D37">
        <v>1601.69</v>
      </c>
      <c r="E37">
        <v>1600</v>
      </c>
      <c r="F37">
        <v>1603.63</v>
      </c>
      <c r="G37">
        <v>1599.83</v>
      </c>
      <c r="H37">
        <v>1604.22</v>
      </c>
      <c r="I37">
        <v>1599.41</v>
      </c>
      <c r="J37">
        <v>1606.43</v>
      </c>
      <c r="K37">
        <v>1598.55</v>
      </c>
      <c r="L37">
        <v>1611.43</v>
      </c>
      <c r="M37">
        <v>1595.54</v>
      </c>
      <c r="N37">
        <v>1615.79</v>
      </c>
      <c r="O37">
        <v>1593.31</v>
      </c>
      <c r="R37" t="s">
        <v>107</v>
      </c>
      <c r="S37" t="s">
        <v>108</v>
      </c>
    </row>
    <row r="38" spans="1:19" x14ac:dyDescent="0.3">
      <c r="A38" s="19" t="s">
        <v>87</v>
      </c>
      <c r="R38" t="s">
        <v>109</v>
      </c>
      <c r="S38" t="s">
        <v>110</v>
      </c>
    </row>
    <row r="39" spans="1:19" ht="15" thickBot="1" x14ac:dyDescent="0.35">
      <c r="A39" s="28" t="s">
        <v>87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R39" t="s">
        <v>114</v>
      </c>
      <c r="S39" t="s">
        <v>115</v>
      </c>
    </row>
    <row r="40" spans="1:19" x14ac:dyDescent="0.3">
      <c r="A40" t="s">
        <v>76</v>
      </c>
      <c r="B40">
        <v>1499.54</v>
      </c>
      <c r="C40">
        <v>1497.07</v>
      </c>
      <c r="D40">
        <v>1496.85</v>
      </c>
      <c r="E40">
        <v>1496.33</v>
      </c>
      <c r="F40">
        <v>1497.21</v>
      </c>
      <c r="G40">
        <v>1492.9</v>
      </c>
      <c r="H40">
        <v>1501.22</v>
      </c>
      <c r="I40">
        <v>1485.88</v>
      </c>
      <c r="J40">
        <v>1504.38</v>
      </c>
      <c r="K40">
        <v>1485.25</v>
      </c>
      <c r="L40">
        <v>1521.17</v>
      </c>
      <c r="M40">
        <v>1473.92</v>
      </c>
      <c r="N40">
        <v>1528.67</v>
      </c>
      <c r="O40">
        <v>1463.36</v>
      </c>
    </row>
    <row r="41" spans="1:19" x14ac:dyDescent="0.3">
      <c r="A41" t="s">
        <v>75</v>
      </c>
      <c r="B41">
        <v>1561.69</v>
      </c>
      <c r="C41">
        <v>1559.2</v>
      </c>
      <c r="D41">
        <v>1562.43</v>
      </c>
      <c r="E41">
        <v>1558.92</v>
      </c>
      <c r="F41">
        <v>1562.19</v>
      </c>
      <c r="G41">
        <v>1557.78</v>
      </c>
      <c r="H41">
        <v>1562.59</v>
      </c>
      <c r="I41">
        <v>1556.53</v>
      </c>
      <c r="J41">
        <v>1564.21</v>
      </c>
      <c r="K41">
        <v>1554.29</v>
      </c>
      <c r="L41">
        <v>1568.5</v>
      </c>
      <c r="M41">
        <v>1547.98</v>
      </c>
      <c r="N41">
        <v>1574.27</v>
      </c>
      <c r="O41">
        <v>1541.24</v>
      </c>
    </row>
    <row r="42" spans="1:19" x14ac:dyDescent="0.3">
      <c r="A42" t="s">
        <v>77</v>
      </c>
      <c r="B42">
        <v>1574.82</v>
      </c>
      <c r="C42">
        <v>1573.74</v>
      </c>
      <c r="D42">
        <v>1575.43</v>
      </c>
      <c r="E42">
        <v>1572.88</v>
      </c>
      <c r="F42">
        <v>1574.66</v>
      </c>
      <c r="G42">
        <v>1571.49</v>
      </c>
      <c r="H42">
        <v>1575.89</v>
      </c>
      <c r="I42">
        <v>1569.78</v>
      </c>
      <c r="J42">
        <v>1577.98</v>
      </c>
      <c r="K42">
        <v>1568.38</v>
      </c>
      <c r="L42">
        <v>1582.86</v>
      </c>
      <c r="M42">
        <v>1563.14</v>
      </c>
      <c r="N42">
        <v>1586.78</v>
      </c>
      <c r="O42">
        <v>1558.01</v>
      </c>
    </row>
    <row r="43" spans="1:19" x14ac:dyDescent="0.3">
      <c r="A43" t="s">
        <v>78</v>
      </c>
      <c r="B43">
        <v>1589.51</v>
      </c>
      <c r="C43">
        <v>1588.59</v>
      </c>
      <c r="D43">
        <v>1586.96</v>
      </c>
      <c r="E43">
        <v>1586.56</v>
      </c>
      <c r="F43">
        <v>1586.97</v>
      </c>
      <c r="G43">
        <v>1585.72</v>
      </c>
      <c r="H43">
        <v>1587.19</v>
      </c>
      <c r="I43">
        <v>1584.07</v>
      </c>
      <c r="J43">
        <v>1589.04</v>
      </c>
      <c r="K43">
        <v>1581.48</v>
      </c>
      <c r="L43">
        <v>1592.84</v>
      </c>
      <c r="M43">
        <v>1576.09</v>
      </c>
      <c r="N43">
        <v>1596.24</v>
      </c>
      <c r="O43">
        <v>1571.77</v>
      </c>
    </row>
    <row r="44" spans="1:19" x14ac:dyDescent="0.3">
      <c r="A44" t="s">
        <v>81</v>
      </c>
      <c r="B44">
        <v>1601.19</v>
      </c>
      <c r="C44">
        <v>1600.28</v>
      </c>
      <c r="D44">
        <v>1601.39</v>
      </c>
      <c r="E44">
        <v>1599.84</v>
      </c>
      <c r="F44">
        <v>1602.38</v>
      </c>
      <c r="G44">
        <v>1599.32</v>
      </c>
      <c r="H44">
        <v>1603.62</v>
      </c>
      <c r="I44">
        <v>1597.79</v>
      </c>
      <c r="J44">
        <v>1605.39</v>
      </c>
      <c r="K44">
        <v>1596.14</v>
      </c>
      <c r="L44">
        <v>1610.9</v>
      </c>
      <c r="M44">
        <v>1592.94</v>
      </c>
      <c r="N44">
        <v>1617.09</v>
      </c>
      <c r="O44">
        <v>1589.2</v>
      </c>
    </row>
    <row r="45" spans="1:19" x14ac:dyDescent="0.3">
      <c r="A45" t="s">
        <v>82</v>
      </c>
      <c r="B45">
        <v>1626.01</v>
      </c>
      <c r="C45">
        <v>1624.58</v>
      </c>
      <c r="D45">
        <v>1625.77</v>
      </c>
      <c r="E45">
        <v>1623.4</v>
      </c>
      <c r="F45">
        <v>1626.41</v>
      </c>
      <c r="G45">
        <v>1622.42</v>
      </c>
      <c r="H45">
        <v>1626.61</v>
      </c>
      <c r="I45">
        <v>1620.83</v>
      </c>
      <c r="J45">
        <v>1627.45</v>
      </c>
      <c r="K45">
        <v>1618.9</v>
      </c>
      <c r="L45">
        <v>1633.3</v>
      </c>
      <c r="M45">
        <v>1613.38</v>
      </c>
      <c r="N45">
        <v>1636.66</v>
      </c>
      <c r="O45">
        <v>1607.79</v>
      </c>
    </row>
    <row r="46" spans="1:19" x14ac:dyDescent="0.3">
      <c r="A46" t="s">
        <v>80</v>
      </c>
      <c r="B46">
        <v>1635.22</v>
      </c>
      <c r="C46">
        <v>1634.45</v>
      </c>
      <c r="D46">
        <v>1635.32</v>
      </c>
      <c r="E46">
        <v>1634.29</v>
      </c>
      <c r="F46">
        <v>1635.47</v>
      </c>
      <c r="G46">
        <v>1634.17</v>
      </c>
      <c r="H46">
        <v>1637.38</v>
      </c>
      <c r="I46">
        <v>1632.87</v>
      </c>
      <c r="J46">
        <v>1637.84</v>
      </c>
      <c r="K46">
        <v>1631.3</v>
      </c>
      <c r="L46">
        <v>1641.33</v>
      </c>
      <c r="M46">
        <v>1626.46</v>
      </c>
      <c r="N46">
        <v>1645.95</v>
      </c>
      <c r="O46">
        <v>1622.09</v>
      </c>
    </row>
    <row r="47" spans="1:19" ht="15" thickBot="1" x14ac:dyDescent="0.35">
      <c r="A47" s="29" t="s">
        <v>79</v>
      </c>
      <c r="B47" s="26">
        <v>1643.73</v>
      </c>
      <c r="C47" s="26">
        <v>1642.7</v>
      </c>
      <c r="D47" s="26">
        <v>1643.86</v>
      </c>
      <c r="E47" s="26">
        <v>1641.95</v>
      </c>
      <c r="F47" s="26">
        <v>1645.32</v>
      </c>
      <c r="G47" s="26">
        <v>1641.84</v>
      </c>
      <c r="H47" s="26">
        <v>1645.82</v>
      </c>
      <c r="I47" s="26">
        <v>1640.89</v>
      </c>
      <c r="J47" s="26"/>
      <c r="K47" s="26">
        <v>1639.4</v>
      </c>
      <c r="L47" s="26"/>
      <c r="M47" s="26">
        <v>1636.46</v>
      </c>
      <c r="N47" s="26"/>
      <c r="O47" s="26">
        <v>1632.37</v>
      </c>
    </row>
    <row r="48" spans="1:19" x14ac:dyDescent="0.3">
      <c r="A48" t="s">
        <v>85</v>
      </c>
      <c r="B48">
        <v>1473.12</v>
      </c>
      <c r="C48">
        <v>1472.9</v>
      </c>
      <c r="D48">
        <v>1476.23</v>
      </c>
      <c r="E48">
        <v>1472.95</v>
      </c>
      <c r="F48">
        <v>1478.01</v>
      </c>
      <c r="G48">
        <v>1475.6</v>
      </c>
      <c r="H48">
        <v>1478.58</v>
      </c>
      <c r="I48">
        <v>1473.36</v>
      </c>
      <c r="J48">
        <v>1480.01</v>
      </c>
      <c r="K48">
        <v>1473.82</v>
      </c>
      <c r="L48">
        <v>1489.7</v>
      </c>
      <c r="M48">
        <v>1465.04</v>
      </c>
      <c r="N48">
        <v>1506.54</v>
      </c>
      <c r="O48">
        <v>1458.96</v>
      </c>
    </row>
    <row r="49" spans="1:17" x14ac:dyDescent="0.3">
      <c r="A49" t="s">
        <v>127</v>
      </c>
      <c r="B49">
        <v>1455.48</v>
      </c>
      <c r="C49">
        <v>1451.25</v>
      </c>
      <c r="D49">
        <v>1453.98</v>
      </c>
      <c r="E49">
        <v>1451.1</v>
      </c>
      <c r="F49">
        <v>1454.33</v>
      </c>
      <c r="G49">
        <v>1450.02</v>
      </c>
      <c r="H49">
        <v>1455.91</v>
      </c>
      <c r="I49">
        <v>1448.79</v>
      </c>
      <c r="J49">
        <v>1455.91</v>
      </c>
      <c r="K49">
        <v>1448.53</v>
      </c>
      <c r="L49">
        <v>1464.33</v>
      </c>
      <c r="M49">
        <v>1445.69</v>
      </c>
      <c r="N49">
        <v>1472.78</v>
      </c>
      <c r="O49">
        <v>1437.04</v>
      </c>
    </row>
    <row r="50" spans="1:17" x14ac:dyDescent="0.3">
      <c r="A50" t="s">
        <v>73</v>
      </c>
      <c r="B50">
        <v>1437.39</v>
      </c>
      <c r="C50">
        <v>1437.1</v>
      </c>
      <c r="D50">
        <v>1438.24</v>
      </c>
      <c r="E50">
        <v>1436.61</v>
      </c>
      <c r="F50">
        <v>1437.83</v>
      </c>
      <c r="G50">
        <v>1435.65</v>
      </c>
      <c r="H50">
        <v>1439.34</v>
      </c>
      <c r="I50">
        <v>1435.04</v>
      </c>
      <c r="J50">
        <v>1439.72</v>
      </c>
      <c r="K50">
        <v>1434.3</v>
      </c>
      <c r="L50">
        <v>1444.91</v>
      </c>
      <c r="M50">
        <v>1432.36</v>
      </c>
      <c r="N50">
        <v>1449.02</v>
      </c>
      <c r="O50">
        <v>1429.72</v>
      </c>
      <c r="Q50" s="30"/>
    </row>
    <row r="51" spans="1:17" x14ac:dyDescent="0.3">
      <c r="A51" t="s">
        <v>128</v>
      </c>
      <c r="B51">
        <v>1427.32</v>
      </c>
      <c r="C51">
        <v>1426.73</v>
      </c>
      <c r="D51">
        <v>1426.86</v>
      </c>
      <c r="E51">
        <v>1426.21</v>
      </c>
      <c r="F51">
        <v>1427.88</v>
      </c>
      <c r="G51">
        <v>1426.99</v>
      </c>
      <c r="H51">
        <v>1428.64</v>
      </c>
      <c r="I51">
        <v>1425.36</v>
      </c>
      <c r="J51">
        <v>1428.65</v>
      </c>
      <c r="K51">
        <v>1425.29</v>
      </c>
      <c r="L51">
        <v>1430.62</v>
      </c>
      <c r="M51">
        <v>1423.38</v>
      </c>
      <c r="N51">
        <v>1435.15</v>
      </c>
      <c r="O51">
        <v>1416.84</v>
      </c>
      <c r="Q51" s="30"/>
    </row>
    <row r="52" spans="1:17" x14ac:dyDescent="0.3">
      <c r="A52" t="s">
        <v>83</v>
      </c>
      <c r="B52">
        <v>1610.51</v>
      </c>
      <c r="C52">
        <v>1609.81</v>
      </c>
      <c r="D52">
        <v>1611.28</v>
      </c>
      <c r="E52">
        <v>1609.52</v>
      </c>
      <c r="F52">
        <v>1611.93</v>
      </c>
      <c r="G52">
        <v>1608.64</v>
      </c>
      <c r="H52">
        <v>1612.37</v>
      </c>
      <c r="I52">
        <v>1607.81</v>
      </c>
      <c r="J52">
        <v>1613.64</v>
      </c>
      <c r="K52">
        <v>1606.39</v>
      </c>
      <c r="L52">
        <v>1616.47</v>
      </c>
      <c r="M52">
        <v>1603.79</v>
      </c>
      <c r="N52">
        <v>1619.24</v>
      </c>
      <c r="O52">
        <v>1599.89</v>
      </c>
    </row>
    <row r="53" spans="1:17" ht="15" thickBot="1" x14ac:dyDescent="0.35">
      <c r="A53" s="26" t="s">
        <v>86</v>
      </c>
      <c r="B53" s="26">
        <v>1548.66</v>
      </c>
      <c r="C53" s="26">
        <v>1547.2</v>
      </c>
      <c r="D53" s="26">
        <v>1548.65</v>
      </c>
      <c r="E53" s="26">
        <v>1544.45</v>
      </c>
      <c r="F53" s="26">
        <v>1552.21</v>
      </c>
      <c r="G53" s="26">
        <v>1544.19</v>
      </c>
      <c r="H53" s="26">
        <v>1554.51</v>
      </c>
      <c r="I53" s="26">
        <v>1542.44</v>
      </c>
      <c r="J53" s="26">
        <v>1555.52</v>
      </c>
      <c r="K53" s="26">
        <v>1538.55</v>
      </c>
      <c r="L53" s="26">
        <v>1563.29</v>
      </c>
      <c r="M53" s="26">
        <v>1533.03</v>
      </c>
      <c r="N53" s="26">
        <v>1567.05</v>
      </c>
      <c r="O53" s="26">
        <v>1512.56</v>
      </c>
    </row>
    <row r="54" spans="1:17" x14ac:dyDescent="0.3">
      <c r="A54" s="31" t="s">
        <v>7</v>
      </c>
      <c r="B54">
        <v>1593.77</v>
      </c>
      <c r="C54">
        <v>1592.79</v>
      </c>
      <c r="D54">
        <v>1594.6</v>
      </c>
      <c r="E54">
        <v>1592.64</v>
      </c>
      <c r="F54">
        <v>1595.34</v>
      </c>
      <c r="G54">
        <v>1591.35</v>
      </c>
      <c r="H54">
        <v>1597.99</v>
      </c>
      <c r="I54">
        <v>1588.86</v>
      </c>
      <c r="J54">
        <v>1602.04</v>
      </c>
      <c r="K54">
        <v>1589.36</v>
      </c>
      <c r="L54">
        <v>1612.01</v>
      </c>
      <c r="M54">
        <v>1577.06</v>
      </c>
      <c r="N54">
        <v>1626.18</v>
      </c>
      <c r="O54">
        <v>1570.72</v>
      </c>
    </row>
    <row r="55" spans="1:17" x14ac:dyDescent="0.3">
      <c r="A55" t="s">
        <v>4</v>
      </c>
      <c r="B55">
        <v>1587.46</v>
      </c>
      <c r="C55">
        <v>1587.38</v>
      </c>
      <c r="D55">
        <v>1589.27</v>
      </c>
      <c r="E55">
        <v>1587.55</v>
      </c>
      <c r="F55">
        <v>1591.79</v>
      </c>
      <c r="G55">
        <v>1593.24</v>
      </c>
      <c r="H55">
        <v>1593.47</v>
      </c>
      <c r="I55">
        <v>1581.93</v>
      </c>
      <c r="J55">
        <v>1595.32</v>
      </c>
      <c r="K55">
        <v>1579.82</v>
      </c>
      <c r="L55">
        <v>1605.84</v>
      </c>
      <c r="M55">
        <v>1571.86</v>
      </c>
      <c r="N55">
        <v>1615.09</v>
      </c>
      <c r="O55">
        <v>1566.32</v>
      </c>
    </row>
    <row r="56" spans="1:17" x14ac:dyDescent="0.3">
      <c r="A56" t="s">
        <v>8</v>
      </c>
      <c r="B56">
        <v>1647.82</v>
      </c>
      <c r="C56">
        <v>1647.13</v>
      </c>
      <c r="D56">
        <v>1649.53</v>
      </c>
      <c r="E56">
        <v>1647.01</v>
      </c>
      <c r="F56">
        <v>1651.03</v>
      </c>
      <c r="G56">
        <v>1644.09</v>
      </c>
      <c r="H56">
        <v>1652.26</v>
      </c>
      <c r="I56">
        <v>1645.49</v>
      </c>
      <c r="J56">
        <v>1655.76</v>
      </c>
      <c r="K56">
        <v>1638.96</v>
      </c>
      <c r="L56">
        <v>1660.6</v>
      </c>
      <c r="M56">
        <v>1628.53</v>
      </c>
      <c r="N56">
        <v>1667.33</v>
      </c>
      <c r="O56">
        <v>1619.89</v>
      </c>
    </row>
    <row r="57" spans="1:17" x14ac:dyDescent="0.3">
      <c r="A57" t="s">
        <v>1</v>
      </c>
      <c r="B57">
        <v>1404.64</v>
      </c>
      <c r="C57">
        <v>1400.74</v>
      </c>
      <c r="D57">
        <v>1402.89</v>
      </c>
      <c r="E57">
        <v>1401.41</v>
      </c>
      <c r="F57">
        <v>1404.36</v>
      </c>
      <c r="G57">
        <v>1399.8</v>
      </c>
      <c r="H57">
        <v>1407.33</v>
      </c>
      <c r="I57">
        <v>1398.98</v>
      </c>
      <c r="J57">
        <v>1411.85</v>
      </c>
      <c r="K57">
        <v>1399.17</v>
      </c>
      <c r="L57">
        <v>1430.51</v>
      </c>
      <c r="M57">
        <v>1393.12</v>
      </c>
      <c r="N57">
        <v>1444</v>
      </c>
      <c r="O57">
        <v>1390.47</v>
      </c>
    </row>
    <row r="58" spans="1:17" x14ac:dyDescent="0.3">
      <c r="A58" t="s">
        <v>2</v>
      </c>
      <c r="B58">
        <v>1448.98</v>
      </c>
      <c r="C58">
        <v>1445.49</v>
      </c>
      <c r="D58">
        <v>1448.95</v>
      </c>
      <c r="E58">
        <v>1444.97</v>
      </c>
      <c r="F58">
        <v>1451.35</v>
      </c>
      <c r="G58">
        <v>1442.77</v>
      </c>
      <c r="H58">
        <v>1453.09</v>
      </c>
      <c r="I58">
        <v>1440.79</v>
      </c>
      <c r="J58">
        <v>1463.33</v>
      </c>
      <c r="K58">
        <v>1437.66</v>
      </c>
      <c r="L58">
        <v>1477.95</v>
      </c>
      <c r="M58">
        <v>1429.15</v>
      </c>
      <c r="N58">
        <v>1490.4</v>
      </c>
      <c r="O58">
        <v>1409.17</v>
      </c>
    </row>
    <row r="59" spans="1:17" x14ac:dyDescent="0.3">
      <c r="A59" t="s">
        <v>12</v>
      </c>
      <c r="B59">
        <v>1463.19</v>
      </c>
      <c r="C59">
        <v>1459.84</v>
      </c>
      <c r="D59">
        <v>1465.43</v>
      </c>
      <c r="E59">
        <v>1456.95</v>
      </c>
      <c r="F59">
        <v>1469.53</v>
      </c>
      <c r="G59">
        <v>1456.35</v>
      </c>
      <c r="H59">
        <v>1472.42</v>
      </c>
      <c r="I59">
        <v>1452.51</v>
      </c>
      <c r="J59">
        <v>1478.37</v>
      </c>
      <c r="K59">
        <v>1449.21</v>
      </c>
      <c r="L59">
        <v>1492.85</v>
      </c>
      <c r="M59">
        <v>1437.59</v>
      </c>
      <c r="N59">
        <v>1507.49</v>
      </c>
      <c r="O59">
        <v>1427.7</v>
      </c>
    </row>
    <row r="60" spans="1:17" x14ac:dyDescent="0.3">
      <c r="A60" t="s">
        <v>13</v>
      </c>
      <c r="B60">
        <v>1558.12</v>
      </c>
      <c r="C60">
        <v>1557.57</v>
      </c>
      <c r="D60">
        <v>1558.54</v>
      </c>
      <c r="E60">
        <v>1557.07</v>
      </c>
      <c r="F60">
        <v>1558.49</v>
      </c>
      <c r="G60">
        <v>1555.36</v>
      </c>
      <c r="H60">
        <v>1559.71</v>
      </c>
      <c r="I60">
        <v>1555.15</v>
      </c>
      <c r="J60">
        <v>1560.57</v>
      </c>
      <c r="K60">
        <v>1554.02</v>
      </c>
      <c r="L60">
        <v>1563.62</v>
      </c>
      <c r="M60">
        <v>1557.98</v>
      </c>
      <c r="N60">
        <v>1567.11</v>
      </c>
      <c r="O60">
        <v>1554.25</v>
      </c>
    </row>
    <row r="61" spans="1:17" x14ac:dyDescent="0.3">
      <c r="A61" t="s">
        <v>3</v>
      </c>
      <c r="B61">
        <v>1574.53</v>
      </c>
      <c r="C61">
        <v>1574.18</v>
      </c>
      <c r="D61">
        <v>1575.58</v>
      </c>
      <c r="E61">
        <v>1572.88</v>
      </c>
      <c r="F61">
        <v>1575.99</v>
      </c>
      <c r="G61">
        <v>1572.65</v>
      </c>
      <c r="H61">
        <v>1576.56</v>
      </c>
      <c r="I61">
        <v>1571.03</v>
      </c>
      <c r="J61">
        <v>1575.67</v>
      </c>
      <c r="K61">
        <v>1569.17</v>
      </c>
      <c r="L61">
        <v>1577.94</v>
      </c>
      <c r="M61">
        <v>1567.42</v>
      </c>
      <c r="N61">
        <v>1581.36</v>
      </c>
      <c r="O61">
        <v>1565.08</v>
      </c>
    </row>
    <row r="62" spans="1:17" x14ac:dyDescent="0.3">
      <c r="A62" s="27" t="s">
        <v>6</v>
      </c>
      <c r="B62">
        <v>1416.14</v>
      </c>
      <c r="C62">
        <v>1415.04</v>
      </c>
      <c r="D62">
        <v>1416.45</v>
      </c>
      <c r="E62">
        <v>1413.58</v>
      </c>
      <c r="F62">
        <v>1416.67</v>
      </c>
      <c r="G62">
        <v>1413.42</v>
      </c>
      <c r="H62">
        <v>1418.56</v>
      </c>
      <c r="I62">
        <v>1412.45</v>
      </c>
      <c r="J62">
        <v>1419.6</v>
      </c>
      <c r="K62">
        <v>1410</v>
      </c>
    </row>
    <row r="63" spans="1:17" x14ac:dyDescent="0.3">
      <c r="A63" t="s">
        <v>5</v>
      </c>
      <c r="B63">
        <v>1490.67</v>
      </c>
      <c r="C63">
        <v>1488.4</v>
      </c>
      <c r="D63">
        <v>1493.11</v>
      </c>
      <c r="E63">
        <v>1488.08</v>
      </c>
      <c r="F63">
        <v>1495.07</v>
      </c>
      <c r="G63">
        <v>1484.65</v>
      </c>
      <c r="H63">
        <v>1498.14</v>
      </c>
      <c r="I63">
        <v>1482.75</v>
      </c>
      <c r="J63">
        <v>1505.36</v>
      </c>
      <c r="K63">
        <v>1480.43</v>
      </c>
      <c r="L63">
        <v>1516.41</v>
      </c>
      <c r="M63">
        <v>1472.73</v>
      </c>
      <c r="N63">
        <v>1526.18</v>
      </c>
      <c r="O63">
        <v>1473.5</v>
      </c>
    </row>
    <row r="64" spans="1:17" x14ac:dyDescent="0.3">
      <c r="A64" t="s">
        <v>18</v>
      </c>
      <c r="B64">
        <v>1521.31</v>
      </c>
      <c r="C64">
        <v>1519.86</v>
      </c>
      <c r="D64">
        <v>1521.66</v>
      </c>
      <c r="E64">
        <v>1519.19</v>
      </c>
      <c r="F64">
        <v>1521.06</v>
      </c>
      <c r="G64">
        <v>1515.55</v>
      </c>
      <c r="H64">
        <v>1524.89</v>
      </c>
      <c r="I64">
        <v>1514.35</v>
      </c>
      <c r="J64">
        <v>1526.64</v>
      </c>
      <c r="K64">
        <v>1510.89</v>
      </c>
      <c r="L64">
        <v>1543.28</v>
      </c>
      <c r="M64">
        <v>1495.08</v>
      </c>
      <c r="N64">
        <v>1553.57</v>
      </c>
      <c r="O64">
        <v>1480.96</v>
      </c>
    </row>
    <row r="65" spans="1:15" x14ac:dyDescent="0.3">
      <c r="A65" t="s">
        <v>17</v>
      </c>
      <c r="B65">
        <v>1527.18</v>
      </c>
      <c r="C65">
        <v>1526.26</v>
      </c>
      <c r="D65">
        <v>1526.69</v>
      </c>
      <c r="E65">
        <v>1523.29</v>
      </c>
      <c r="F65">
        <v>1527.48</v>
      </c>
      <c r="G65">
        <v>1522.29</v>
      </c>
      <c r="H65">
        <v>1530.13</v>
      </c>
      <c r="I65">
        <v>1520.31</v>
      </c>
      <c r="J65">
        <v>1533.69</v>
      </c>
      <c r="K65">
        <v>1515.32</v>
      </c>
      <c r="L65">
        <v>1542.55</v>
      </c>
      <c r="M65">
        <v>1497.93</v>
      </c>
      <c r="N65">
        <v>1551.72</v>
      </c>
      <c r="O65">
        <v>1485.09</v>
      </c>
    </row>
    <row r="66" spans="1:15" x14ac:dyDescent="0.3">
      <c r="A66" t="s">
        <v>14</v>
      </c>
      <c r="B66">
        <v>1574.52</v>
      </c>
      <c r="C66">
        <v>1574.57</v>
      </c>
      <c r="D66">
        <v>1574.98</v>
      </c>
      <c r="E66">
        <v>1574.41</v>
      </c>
      <c r="F66">
        <v>1575.2</v>
      </c>
      <c r="G66">
        <v>1572.24</v>
      </c>
      <c r="H66">
        <v>1576.48</v>
      </c>
      <c r="I66">
        <v>1572</v>
      </c>
      <c r="J66">
        <v>1577.94</v>
      </c>
      <c r="K66">
        <v>1570.26</v>
      </c>
      <c r="L66">
        <v>1581.12</v>
      </c>
      <c r="M66">
        <v>1567.2</v>
      </c>
      <c r="N66">
        <v>1586.05</v>
      </c>
      <c r="O66">
        <v>1563.73</v>
      </c>
    </row>
    <row r="67" spans="1:15" x14ac:dyDescent="0.3">
      <c r="A67" t="s">
        <v>15</v>
      </c>
      <c r="B67">
        <v>1582.84</v>
      </c>
      <c r="C67">
        <v>1582.53</v>
      </c>
      <c r="D67">
        <v>1584.39</v>
      </c>
      <c r="E67">
        <v>1582.07</v>
      </c>
      <c r="F67">
        <v>1584.54</v>
      </c>
      <c r="G67">
        <v>1581.13</v>
      </c>
      <c r="H67">
        <v>1585.38</v>
      </c>
      <c r="I67">
        <v>1580.47</v>
      </c>
      <c r="J67">
        <v>1586.13</v>
      </c>
      <c r="K67">
        <v>1579.19</v>
      </c>
      <c r="L67">
        <v>1589.55</v>
      </c>
      <c r="M67">
        <v>1576.05</v>
      </c>
      <c r="N67">
        <v>1593.17</v>
      </c>
      <c r="O67">
        <v>1570.87</v>
      </c>
    </row>
    <row r="68" spans="1:15" x14ac:dyDescent="0.3">
      <c r="A68" t="s">
        <v>16</v>
      </c>
    </row>
    <row r="69" spans="1:15" x14ac:dyDescent="0.3">
      <c r="A69" t="s">
        <v>9</v>
      </c>
      <c r="B69">
        <v>1551.88</v>
      </c>
      <c r="C69">
        <v>1551.99</v>
      </c>
      <c r="D69">
        <v>1549.75</v>
      </c>
      <c r="E69">
        <v>1547.29</v>
      </c>
      <c r="F69">
        <v>1549</v>
      </c>
      <c r="G69">
        <v>1542.91</v>
      </c>
      <c r="H69">
        <v>1549.91</v>
      </c>
      <c r="I69">
        <v>1539.92</v>
      </c>
      <c r="J69">
        <v>1551.89</v>
      </c>
      <c r="K69">
        <v>1527.09</v>
      </c>
      <c r="L69">
        <v>1558.47</v>
      </c>
      <c r="M69">
        <v>1527.15</v>
      </c>
      <c r="N69">
        <v>1563.01</v>
      </c>
      <c r="O69">
        <v>1514.67</v>
      </c>
    </row>
    <row r="70" spans="1:15" x14ac:dyDescent="0.3">
      <c r="A70" t="s">
        <v>10</v>
      </c>
      <c r="B70">
        <v>1566.35</v>
      </c>
      <c r="C70">
        <v>1564.53</v>
      </c>
      <c r="D70">
        <v>1566.67</v>
      </c>
      <c r="E70">
        <v>1564.17</v>
      </c>
      <c r="F70">
        <v>1566.73</v>
      </c>
      <c r="G70">
        <v>1563.45</v>
      </c>
      <c r="H70">
        <v>1568.29</v>
      </c>
      <c r="I70">
        <v>1562.64</v>
      </c>
      <c r="J70">
        <v>1570.27</v>
      </c>
      <c r="K70">
        <v>1561.38</v>
      </c>
      <c r="L70">
        <v>1574.84</v>
      </c>
      <c r="M70">
        <v>1555.66</v>
      </c>
      <c r="N70">
        <v>1580.2</v>
      </c>
      <c r="O70">
        <v>1549.42</v>
      </c>
    </row>
    <row r="71" spans="1:15" ht="15" thickBot="1" x14ac:dyDescent="0.35">
      <c r="A71" s="26" t="s">
        <v>11</v>
      </c>
      <c r="B71" s="26">
        <v>1583.2</v>
      </c>
      <c r="C71" s="26">
        <v>1581.84</v>
      </c>
      <c r="D71" s="26">
        <v>1583.82</v>
      </c>
      <c r="E71" s="26">
        <v>1581.66</v>
      </c>
      <c r="F71" s="26">
        <v>1584.69</v>
      </c>
      <c r="G71" s="26">
        <v>1581.16</v>
      </c>
      <c r="H71" s="26">
        <v>1585.46</v>
      </c>
      <c r="I71" s="26">
        <v>1579.93</v>
      </c>
      <c r="J71" s="26">
        <v>1586.72</v>
      </c>
      <c r="K71" s="26">
        <v>1577.39</v>
      </c>
      <c r="L71" s="26">
        <v>1590.57</v>
      </c>
      <c r="M71" s="26">
        <v>1573.27</v>
      </c>
      <c r="N71" s="26">
        <v>1593.89</v>
      </c>
      <c r="O71" s="26">
        <v>1566.93</v>
      </c>
    </row>
    <row r="72" spans="1:15" x14ac:dyDescent="0.3">
      <c r="A72" t="s">
        <v>120</v>
      </c>
      <c r="B72">
        <v>1580.04</v>
      </c>
      <c r="C72">
        <v>1578.07</v>
      </c>
      <c r="D72">
        <v>1580.52</v>
      </c>
      <c r="E72">
        <v>1577.13</v>
      </c>
      <c r="F72">
        <v>1583.3</v>
      </c>
      <c r="G72">
        <v>1575.18</v>
      </c>
      <c r="H72">
        <v>1583.08</v>
      </c>
      <c r="I72">
        <v>1572.96</v>
      </c>
      <c r="J72">
        <v>1588.56</v>
      </c>
      <c r="K72">
        <v>1569.74</v>
      </c>
      <c r="L72">
        <v>1598.95</v>
      </c>
      <c r="M72">
        <v>1561.66</v>
      </c>
      <c r="N72">
        <v>1611.58</v>
      </c>
      <c r="O72">
        <v>1551.99</v>
      </c>
    </row>
    <row r="73" spans="1:15" x14ac:dyDescent="0.3">
      <c r="A73" s="25" t="s">
        <v>119</v>
      </c>
    </row>
    <row r="74" spans="1:15" x14ac:dyDescent="0.3">
      <c r="A74" s="25" t="s">
        <v>116</v>
      </c>
    </row>
    <row r="75" spans="1:15" x14ac:dyDescent="0.3">
      <c r="A75" s="27" t="s">
        <v>122</v>
      </c>
      <c r="B75">
        <v>1635.38</v>
      </c>
      <c r="C75">
        <v>1634.66</v>
      </c>
      <c r="D75">
        <v>1635.91</v>
      </c>
      <c r="E75">
        <v>1633.57</v>
      </c>
      <c r="F75">
        <v>1636.99</v>
      </c>
      <c r="G75">
        <v>1632.69</v>
      </c>
    </row>
    <row r="76" spans="1:15" x14ac:dyDescent="0.3">
      <c r="A76" s="27" t="s">
        <v>117</v>
      </c>
      <c r="B76">
        <v>1624.62</v>
      </c>
      <c r="C76">
        <v>1623.56</v>
      </c>
      <c r="D76">
        <v>1624.99</v>
      </c>
      <c r="E76">
        <v>1622.58</v>
      </c>
      <c r="F76">
        <v>1626.48</v>
      </c>
      <c r="G76">
        <v>1621.89</v>
      </c>
      <c r="H76">
        <v>1627.52</v>
      </c>
      <c r="I76">
        <v>1620.61</v>
      </c>
      <c r="J76">
        <v>1629.5</v>
      </c>
      <c r="K76">
        <v>1618.55</v>
      </c>
      <c r="L76">
        <v>1635.12</v>
      </c>
      <c r="M76">
        <v>1613.55</v>
      </c>
      <c r="O76">
        <v>1609.33</v>
      </c>
    </row>
    <row r="77" spans="1:15" x14ac:dyDescent="0.3">
      <c r="A77" t="s">
        <v>118</v>
      </c>
      <c r="B77">
        <v>1592.57</v>
      </c>
      <c r="C77">
        <v>1592.15</v>
      </c>
      <c r="D77">
        <v>1592.36</v>
      </c>
      <c r="E77">
        <v>1591.52</v>
      </c>
      <c r="F77">
        <v>1592.95</v>
      </c>
      <c r="G77">
        <v>1590.78</v>
      </c>
      <c r="H77">
        <v>1593.18</v>
      </c>
      <c r="I77">
        <v>1589.8</v>
      </c>
      <c r="J77">
        <v>1593.75</v>
      </c>
      <c r="K77">
        <v>1587.94</v>
      </c>
      <c r="L77">
        <v>1595.65</v>
      </c>
      <c r="M77">
        <v>1585.16</v>
      </c>
      <c r="N77">
        <v>1599.52</v>
      </c>
      <c r="O77">
        <v>1582.24</v>
      </c>
    </row>
    <row r="78" spans="1:15" x14ac:dyDescent="0.3">
      <c r="A78" t="s">
        <v>124</v>
      </c>
      <c r="B78">
        <v>1577.15</v>
      </c>
      <c r="C78">
        <v>1576.39</v>
      </c>
      <c r="D78">
        <v>1577.28</v>
      </c>
      <c r="E78">
        <v>1576.69</v>
      </c>
      <c r="F78">
        <v>1577.12</v>
      </c>
      <c r="G78">
        <v>1576.76</v>
      </c>
      <c r="H78">
        <v>1577.93</v>
      </c>
      <c r="I78">
        <v>1575.83</v>
      </c>
      <c r="J78">
        <v>1579.21</v>
      </c>
      <c r="K78">
        <v>1573.44</v>
      </c>
      <c r="L78">
        <v>1582.3</v>
      </c>
      <c r="M78">
        <v>1570.08</v>
      </c>
      <c r="N78">
        <v>1584.58</v>
      </c>
      <c r="O78">
        <v>1567.75</v>
      </c>
    </row>
    <row r="79" spans="1:15" x14ac:dyDescent="0.3">
      <c r="A79" t="s">
        <v>123</v>
      </c>
      <c r="B79">
        <v>1550.97</v>
      </c>
      <c r="C79">
        <v>1549.54</v>
      </c>
      <c r="D79">
        <v>1550.25</v>
      </c>
      <c r="E79">
        <v>1548.76</v>
      </c>
      <c r="F79">
        <v>1550.21</v>
      </c>
      <c r="G79">
        <v>1547.46</v>
      </c>
      <c r="H79">
        <v>1551.22</v>
      </c>
      <c r="I79">
        <v>1547.68</v>
      </c>
      <c r="J79">
        <v>1552.99</v>
      </c>
      <c r="K79">
        <v>1546.08</v>
      </c>
      <c r="L79">
        <v>1556.93</v>
      </c>
      <c r="M79">
        <v>1536.21</v>
      </c>
      <c r="N79">
        <v>1559.58</v>
      </c>
      <c r="O79">
        <v>1526.22</v>
      </c>
    </row>
    <row r="80" spans="1:15" x14ac:dyDescent="0.3">
      <c r="A80" t="s">
        <v>126</v>
      </c>
      <c r="B80">
        <v>1402.85</v>
      </c>
      <c r="C80">
        <v>1401.36</v>
      </c>
      <c r="D80">
        <v>1402.91</v>
      </c>
      <c r="E80">
        <v>1401.56</v>
      </c>
      <c r="F80">
        <v>1406.28</v>
      </c>
      <c r="G80">
        <v>1401.6</v>
      </c>
      <c r="H80">
        <v>1408.44</v>
      </c>
      <c r="I80">
        <v>1399.83</v>
      </c>
      <c r="J80">
        <v>1412.04</v>
      </c>
      <c r="K80">
        <v>1397.34</v>
      </c>
      <c r="L80">
        <v>1424.93</v>
      </c>
      <c r="M80">
        <v>1391.31</v>
      </c>
      <c r="N80">
        <v>1440.18</v>
      </c>
      <c r="O80">
        <v>1390.25</v>
      </c>
    </row>
    <row r="81" spans="1:15" x14ac:dyDescent="0.3">
      <c r="A81" t="s">
        <v>125</v>
      </c>
      <c r="B81">
        <v>1434.59</v>
      </c>
      <c r="C81">
        <v>1434.54</v>
      </c>
      <c r="D81">
        <v>1436.32</v>
      </c>
      <c r="E81">
        <v>1433.52</v>
      </c>
      <c r="F81">
        <v>1438.83</v>
      </c>
      <c r="G81">
        <v>1431.25</v>
      </c>
      <c r="H81">
        <v>1440.31</v>
      </c>
      <c r="I81">
        <v>1429.45</v>
      </c>
      <c r="J81">
        <v>1444.8</v>
      </c>
      <c r="K81">
        <v>1424.09</v>
      </c>
      <c r="L81">
        <v>1455.89</v>
      </c>
      <c r="M81">
        <v>1406.15</v>
      </c>
      <c r="N81">
        <v>1476.17</v>
      </c>
      <c r="O81">
        <v>1399.41</v>
      </c>
    </row>
    <row r="82" spans="1:15" x14ac:dyDescent="0.3">
      <c r="A82" t="s">
        <v>121</v>
      </c>
      <c r="B82">
        <v>1537.57</v>
      </c>
      <c r="C82">
        <v>1536.54</v>
      </c>
      <c r="D82">
        <v>1539.56</v>
      </c>
      <c r="E82">
        <v>1535.35</v>
      </c>
      <c r="F82">
        <v>1541.01</v>
      </c>
      <c r="G82">
        <v>1533.8</v>
      </c>
      <c r="H82">
        <v>1543.16</v>
      </c>
      <c r="I82">
        <v>1532.22</v>
      </c>
      <c r="J82">
        <v>1546.01</v>
      </c>
      <c r="K82">
        <v>1527.97</v>
      </c>
      <c r="L82">
        <v>1549.64</v>
      </c>
      <c r="M82">
        <v>1519.05</v>
      </c>
      <c r="N82">
        <v>1553.46</v>
      </c>
      <c r="O82">
        <v>1509.12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final_data (1st campaign)</vt:lpstr>
      <vt:lpstr>final_data (2nd campaign)</vt:lpstr>
      <vt:lpstr>All_data</vt:lpstr>
      <vt:lpstr>lith_data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Anderson, Samuel R</cp:lastModifiedBy>
  <dcterms:created xsi:type="dcterms:W3CDTF">2019-02-14T21:19:17Z</dcterms:created>
  <dcterms:modified xsi:type="dcterms:W3CDTF">2023-09-20T09:58:52Z</dcterms:modified>
</cp:coreProperties>
</file>