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3D099C70-528B-4AAB-88D7-D34515E973FC}" xr6:coauthVersionLast="47" xr6:coauthVersionMax="47" xr10:uidLastSave="{00000000-0000-0000-0000-000000000000}"/>
  <bookViews>
    <workbookView xWindow="-25095" yWindow="2520" windowWidth="23040" windowHeight="12120" firstSheet="3" activeTab="3" xr2:uid="{C765C3C3-176F-4CBA-B164-38106416435E}"/>
  </bookViews>
  <sheets>
    <sheet name="Curvature" sheetId="12" r:id="rId1"/>
    <sheet name="curveVSdistance" sheetId="52" r:id="rId2"/>
    <sheet name="Slope" sheetId="10" r:id="rId3"/>
    <sheet name="Outcrop" sheetId="11" r:id="rId4"/>
    <sheet name="hillslope_morph" sheetId="5" r:id="rId5"/>
    <sheet name="correlation_coeff's" sheetId="51" r:id="rId6"/>
    <sheet name="channel_morph" sheetId="6" r:id="rId7"/>
    <sheet name="figs" sheetId="50" r:id="rId8"/>
    <sheet name="Shallow Stats" sheetId="48" r:id="rId9"/>
    <sheet name="D50-ksn" sheetId="16" r:id="rId10"/>
    <sheet name="combo lc3shallow 1 and 2" sheetId="17" r:id="rId11"/>
    <sheet name="diff lc3shallow 1 n 2" sheetId="18" r:id="rId12"/>
    <sheet name="cum_freq_b" sheetId="26" r:id="rId13"/>
    <sheet name="cum_freq_a" sheetId="49" r:id="rId14"/>
    <sheet name="lc1.shallow1" sheetId="13" r:id="rId15"/>
    <sheet name="LC1.Shallow2" sheetId="27" r:id="rId16"/>
    <sheet name="LC3.shallow1" sheetId="38" r:id="rId17"/>
    <sheet name="LC3.shallow2" sheetId="44" r:id="rId18"/>
    <sheet name="Lc3 shallow 2 plus shallow 1" sheetId="45" r:id="rId19"/>
    <sheet name="break!!!!" sheetId="9" state="hidden" r:id="rId20"/>
    <sheet name="a axis" sheetId="2" state="hidden" r:id="rId21"/>
    <sheet name="b axis" sheetId="3" state="hidden" r:id="rId22"/>
    <sheet name="c axis" sheetId="4" state="hidden" r:id="rId23"/>
    <sheet name="channel_sed" sheetId="7" state="hidden" r:id="rId24"/>
    <sheet name="vol" sheetId="1" state="hidden" r:id="rId25"/>
    <sheet name="boulders" sheetId="8" state="hidden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6" l="1"/>
  <c r="C7" i="6"/>
  <c r="L7" i="6"/>
  <c r="N7" i="6"/>
  <c r="P7" i="6"/>
  <c r="Q7" i="6"/>
  <c r="R7" i="6"/>
  <c r="B8" i="6"/>
  <c r="C8" i="6"/>
  <c r="L8" i="6"/>
  <c r="N8" i="6"/>
  <c r="P8" i="6"/>
  <c r="Q8" i="6"/>
  <c r="R8" i="6"/>
  <c r="L343" i="10" l="1"/>
  <c r="M343" i="10" s="1"/>
  <c r="L341" i="10"/>
  <c r="M341" i="10" s="1"/>
  <c r="L343" i="12"/>
  <c r="M343" i="12" s="1"/>
  <c r="L341" i="12"/>
  <c r="L347" i="12"/>
  <c r="M347" i="12" s="1"/>
  <c r="K341" i="12"/>
  <c r="L347" i="10"/>
  <c r="M347" i="10" s="1"/>
  <c r="K341" i="10"/>
  <c r="L335" i="12"/>
  <c r="L333" i="12"/>
  <c r="L335" i="10"/>
  <c r="L333" i="10"/>
  <c r="L339" i="10"/>
  <c r="M339" i="10" s="1"/>
  <c r="K333" i="10"/>
  <c r="L339" i="12"/>
  <c r="M339" i="12" s="1"/>
  <c r="K333" i="12"/>
  <c r="M333" i="12" s="1"/>
  <c r="L327" i="10"/>
  <c r="M327" i="10" s="1"/>
  <c r="L327" i="12"/>
  <c r="L331" i="10"/>
  <c r="K327" i="10"/>
  <c r="L331" i="12"/>
  <c r="K327" i="12"/>
  <c r="L321" i="10"/>
  <c r="M321" i="10" s="1"/>
  <c r="L319" i="10"/>
  <c r="M319" i="10" s="1"/>
  <c r="L321" i="12"/>
  <c r="M321" i="12" s="1"/>
  <c r="L319" i="12"/>
  <c r="L325" i="10"/>
  <c r="M325" i="10" s="1"/>
  <c r="K319" i="10"/>
  <c r="L325" i="12"/>
  <c r="K319" i="12"/>
  <c r="L313" i="10"/>
  <c r="M313" i="10" s="1"/>
  <c r="L311" i="10"/>
  <c r="M311" i="10" s="1"/>
  <c r="L309" i="10"/>
  <c r="L313" i="12"/>
  <c r="M313" i="12" s="1"/>
  <c r="L311" i="12"/>
  <c r="L309" i="12"/>
  <c r="L317" i="12"/>
  <c r="M317" i="12" s="1"/>
  <c r="K309" i="12"/>
  <c r="M309" i="12" s="1"/>
  <c r="L317" i="10"/>
  <c r="M317" i="10" s="1"/>
  <c r="K309" i="10"/>
  <c r="L303" i="12"/>
  <c r="M303" i="12" s="1"/>
  <c r="L301" i="12"/>
  <c r="L299" i="12"/>
  <c r="M299" i="12" s="1"/>
  <c r="L303" i="10"/>
  <c r="M303" i="10" s="1"/>
  <c r="L301" i="10"/>
  <c r="M301" i="10" s="1"/>
  <c r="L299" i="10"/>
  <c r="M299" i="10" s="1"/>
  <c r="L307" i="12"/>
  <c r="K299" i="12"/>
  <c r="L307" i="10"/>
  <c r="K299" i="10"/>
  <c r="M300" i="10"/>
  <c r="M302" i="10"/>
  <c r="M304" i="10"/>
  <c r="M305" i="10"/>
  <c r="M306" i="10"/>
  <c r="M307" i="10"/>
  <c r="M308" i="10"/>
  <c r="M309" i="10"/>
  <c r="M310" i="10"/>
  <c r="M312" i="10"/>
  <c r="M314" i="10"/>
  <c r="M315" i="10"/>
  <c r="M316" i="10"/>
  <c r="M318" i="10"/>
  <c r="M320" i="10"/>
  <c r="M322" i="10"/>
  <c r="M323" i="10"/>
  <c r="M324" i="10"/>
  <c r="M326" i="10"/>
  <c r="M328" i="10"/>
  <c r="M329" i="10"/>
  <c r="M330" i="10"/>
  <c r="M331" i="10"/>
  <c r="M332" i="10"/>
  <c r="M333" i="10"/>
  <c r="M334" i="10"/>
  <c r="M335" i="10"/>
  <c r="M336" i="10"/>
  <c r="M337" i="10"/>
  <c r="M338" i="10"/>
  <c r="M340" i="10"/>
  <c r="M342" i="10"/>
  <c r="M344" i="10"/>
  <c r="M345" i="10"/>
  <c r="M346" i="10"/>
  <c r="M348" i="10"/>
  <c r="M272" i="12"/>
  <c r="M274" i="12"/>
  <c r="M276" i="12"/>
  <c r="M278" i="12"/>
  <c r="M280" i="12"/>
  <c r="M281" i="12"/>
  <c r="M282" i="12"/>
  <c r="M284" i="12"/>
  <c r="M286" i="12"/>
  <c r="M288" i="12"/>
  <c r="M290" i="12"/>
  <c r="M292" i="12"/>
  <c r="M294" i="12"/>
  <c r="M295" i="12"/>
  <c r="M296" i="12"/>
  <c r="M298" i="12"/>
  <c r="M300" i="12"/>
  <c r="M301" i="12"/>
  <c r="M302" i="12"/>
  <c r="M304" i="12"/>
  <c r="M305" i="12"/>
  <c r="M306" i="12"/>
  <c r="M307" i="12"/>
  <c r="M308" i="12"/>
  <c r="M310" i="12"/>
  <c r="M311" i="12"/>
  <c r="M312" i="12"/>
  <c r="M314" i="12"/>
  <c r="M315" i="12"/>
  <c r="M316" i="12"/>
  <c r="M318" i="12"/>
  <c r="M319" i="12"/>
  <c r="M320" i="12"/>
  <c r="M322" i="12"/>
  <c r="M323" i="12"/>
  <c r="M324" i="12"/>
  <c r="M325" i="12"/>
  <c r="M326" i="12"/>
  <c r="M328" i="12"/>
  <c r="M329" i="12"/>
  <c r="M330" i="12"/>
  <c r="M331" i="12"/>
  <c r="M332" i="12"/>
  <c r="M334" i="12"/>
  <c r="M335" i="12"/>
  <c r="M336" i="12"/>
  <c r="M337" i="12"/>
  <c r="M338" i="12"/>
  <c r="M340" i="12"/>
  <c r="M341" i="12"/>
  <c r="M342" i="12"/>
  <c r="M344" i="12"/>
  <c r="M345" i="12"/>
  <c r="M346" i="12"/>
  <c r="M348" i="12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85" i="10"/>
  <c r="L293" i="10"/>
  <c r="L291" i="10"/>
  <c r="L289" i="10"/>
  <c r="L287" i="10"/>
  <c r="L285" i="10"/>
  <c r="L293" i="12"/>
  <c r="M293" i="12" s="1"/>
  <c r="L291" i="12"/>
  <c r="M291" i="12" s="1"/>
  <c r="L289" i="12"/>
  <c r="M289" i="12" s="1"/>
  <c r="L287" i="12"/>
  <c r="M287" i="12" s="1"/>
  <c r="L285" i="12"/>
  <c r="M285" i="12" s="1"/>
  <c r="L297" i="12"/>
  <c r="M297" i="12" s="1"/>
  <c r="K285" i="12"/>
  <c r="L279" i="12"/>
  <c r="M279" i="12" s="1"/>
  <c r="L277" i="12"/>
  <c r="M277" i="12" s="1"/>
  <c r="L275" i="12"/>
  <c r="M275" i="12" s="1"/>
  <c r="L273" i="12"/>
  <c r="M273" i="12" s="1"/>
  <c r="L271" i="12"/>
  <c r="M271" i="12" s="1"/>
  <c r="L269" i="12"/>
  <c r="M269" i="12" s="1"/>
  <c r="L297" i="10"/>
  <c r="K285" i="10"/>
  <c r="L279" i="10"/>
  <c r="L277" i="10"/>
  <c r="L275" i="10"/>
  <c r="L273" i="10"/>
  <c r="L271" i="10"/>
  <c r="L269" i="10"/>
  <c r="L283" i="10"/>
  <c r="K269" i="10"/>
  <c r="L283" i="12"/>
  <c r="M283" i="12" s="1"/>
  <c r="K269" i="12"/>
  <c r="M256" i="12"/>
  <c r="M258" i="12"/>
  <c r="M260" i="12"/>
  <c r="M262" i="12"/>
  <c r="M264" i="12"/>
  <c r="M265" i="12"/>
  <c r="M266" i="12"/>
  <c r="M268" i="12"/>
  <c r="M254" i="12"/>
  <c r="M265" i="10"/>
  <c r="M266" i="10"/>
  <c r="M268" i="10"/>
  <c r="L263" i="10"/>
  <c r="M263" i="10" s="1"/>
  <c r="L261" i="10"/>
  <c r="M261" i="10" s="1"/>
  <c r="L259" i="10"/>
  <c r="M259" i="10" s="1"/>
  <c r="L257" i="10"/>
  <c r="M257" i="10" s="1"/>
  <c r="L255" i="10"/>
  <c r="M255" i="10" s="1"/>
  <c r="L253" i="10"/>
  <c r="L263" i="12"/>
  <c r="M263" i="12" s="1"/>
  <c r="L261" i="12"/>
  <c r="M261" i="12" s="1"/>
  <c r="L259" i="12"/>
  <c r="M259" i="12" s="1"/>
  <c r="L257" i="12"/>
  <c r="M257" i="12" s="1"/>
  <c r="L255" i="12"/>
  <c r="M255" i="12" s="1"/>
  <c r="L253" i="12"/>
  <c r="L267" i="10"/>
  <c r="M267" i="10" s="1"/>
  <c r="K253" i="10"/>
  <c r="L267" i="12"/>
  <c r="M267" i="12" s="1"/>
  <c r="K253" i="12"/>
  <c r="K249" i="12"/>
  <c r="M249" i="12" s="1"/>
  <c r="L251" i="12"/>
  <c r="M251" i="12" s="1"/>
  <c r="L251" i="10"/>
  <c r="M251" i="10" s="1"/>
  <c r="L243" i="12"/>
  <c r="L247" i="12"/>
  <c r="M247" i="12" s="1"/>
  <c r="K243" i="12"/>
  <c r="M245" i="12"/>
  <c r="M246" i="12"/>
  <c r="M248" i="12"/>
  <c r="M236" i="12"/>
  <c r="M238" i="12"/>
  <c r="M239" i="12"/>
  <c r="M240" i="12"/>
  <c r="M242" i="12"/>
  <c r="M244" i="12"/>
  <c r="M250" i="12"/>
  <c r="M252" i="12"/>
  <c r="M270" i="12"/>
  <c r="L237" i="12"/>
  <c r="M237" i="12" s="1"/>
  <c r="L235" i="12"/>
  <c r="M235" i="12" s="1"/>
  <c r="L233" i="12"/>
  <c r="M233" i="12" s="1"/>
  <c r="L241" i="12"/>
  <c r="M241" i="12" s="1"/>
  <c r="L227" i="12"/>
  <c r="M227" i="12" s="1"/>
  <c r="L225" i="12"/>
  <c r="M225" i="12" s="1"/>
  <c r="L223" i="12"/>
  <c r="M223" i="12" s="1"/>
  <c r="L221" i="12"/>
  <c r="M221" i="12" s="1"/>
  <c r="L219" i="12"/>
  <c r="M219" i="12" s="1"/>
  <c r="L217" i="12"/>
  <c r="M217" i="12" s="1"/>
  <c r="L215" i="12"/>
  <c r="L231" i="12"/>
  <c r="M231" i="12" s="1"/>
  <c r="K215" i="12"/>
  <c r="L209" i="12"/>
  <c r="M209" i="12" s="1"/>
  <c r="L207" i="12"/>
  <c r="M207" i="12" s="1"/>
  <c r="L205" i="12"/>
  <c r="M205" i="12" s="1"/>
  <c r="L203" i="12"/>
  <c r="M203" i="12" s="1"/>
  <c r="L201" i="12"/>
  <c r="M201" i="12" s="1"/>
  <c r="L199" i="12"/>
  <c r="M199" i="12" s="1"/>
  <c r="L197" i="12"/>
  <c r="M197" i="12" s="1"/>
  <c r="L195" i="12"/>
  <c r="M195" i="12" s="1"/>
  <c r="L193" i="12"/>
  <c r="M193" i="12" s="1"/>
  <c r="L191" i="12"/>
  <c r="M191" i="12" s="1"/>
  <c r="L189" i="12"/>
  <c r="M189" i="12" s="1"/>
  <c r="L187" i="12"/>
  <c r="L213" i="12"/>
  <c r="M213" i="12" s="1"/>
  <c r="K187" i="12"/>
  <c r="K186" i="12"/>
  <c r="L186" i="12"/>
  <c r="M184" i="12"/>
  <c r="L180" i="12"/>
  <c r="M180" i="12" s="1"/>
  <c r="L178" i="12"/>
  <c r="M178" i="12" s="1"/>
  <c r="L176" i="12"/>
  <c r="M176" i="12" s="1"/>
  <c r="L174" i="12"/>
  <c r="M174" i="12" s="1"/>
  <c r="L172" i="12"/>
  <c r="M172" i="12" s="1"/>
  <c r="L170" i="12"/>
  <c r="M170" i="12" s="1"/>
  <c r="L168" i="12"/>
  <c r="M168" i="12" s="1"/>
  <c r="L166" i="12"/>
  <c r="M166" i="12" s="1"/>
  <c r="L164" i="12"/>
  <c r="K164" i="12"/>
  <c r="L142" i="12"/>
  <c r="L144" i="12"/>
  <c r="M144" i="12" s="1"/>
  <c r="L146" i="12"/>
  <c r="M146" i="12" s="1"/>
  <c r="L148" i="12"/>
  <c r="M148" i="12" s="1"/>
  <c r="L150" i="12"/>
  <c r="M150" i="12" s="1"/>
  <c r="L152" i="12"/>
  <c r="M152" i="12" s="1"/>
  <c r="L154" i="12"/>
  <c r="M154" i="12" s="1"/>
  <c r="L156" i="12"/>
  <c r="M156" i="12" s="1"/>
  <c r="L158" i="12"/>
  <c r="M158" i="12" s="1"/>
  <c r="L162" i="12"/>
  <c r="M162" i="12" s="1"/>
  <c r="K142" i="12"/>
  <c r="L134" i="12"/>
  <c r="M134" i="12" s="1"/>
  <c r="L132" i="12"/>
  <c r="M132" i="12" s="1"/>
  <c r="L130" i="12"/>
  <c r="M130" i="12" s="1"/>
  <c r="L128" i="12"/>
  <c r="M128" i="12" s="1"/>
  <c r="L126" i="12"/>
  <c r="M126" i="12" s="1"/>
  <c r="L124" i="12"/>
  <c r="M124" i="12" s="1"/>
  <c r="L122" i="12"/>
  <c r="M122" i="12" s="1"/>
  <c r="L120" i="12"/>
  <c r="M120" i="12" s="1"/>
  <c r="L118" i="12"/>
  <c r="L136" i="12"/>
  <c r="M136" i="12" s="1"/>
  <c r="L140" i="12"/>
  <c r="M140" i="12" s="1"/>
  <c r="K118" i="12"/>
  <c r="M94" i="12"/>
  <c r="M95" i="12"/>
  <c r="M96" i="12"/>
  <c r="M97" i="12"/>
  <c r="M113" i="12"/>
  <c r="M114" i="12"/>
  <c r="M115" i="12"/>
  <c r="M116" i="12"/>
  <c r="M138" i="12"/>
  <c r="M139" i="12"/>
  <c r="M141" i="12"/>
  <c r="M160" i="12"/>
  <c r="M161" i="12"/>
  <c r="M163" i="12"/>
  <c r="M165" i="12"/>
  <c r="M167" i="12"/>
  <c r="M169" i="12"/>
  <c r="M171" i="12"/>
  <c r="M173" i="12"/>
  <c r="M175" i="12"/>
  <c r="M177" i="12"/>
  <c r="M179" i="12"/>
  <c r="M181" i="12"/>
  <c r="M182" i="12"/>
  <c r="M183" i="12"/>
  <c r="M185" i="12"/>
  <c r="M188" i="12"/>
  <c r="M190" i="12"/>
  <c r="M192" i="12"/>
  <c r="M194" i="12"/>
  <c r="M196" i="12"/>
  <c r="M198" i="12"/>
  <c r="M200" i="12"/>
  <c r="M202" i="12"/>
  <c r="M204" i="12"/>
  <c r="M206" i="12"/>
  <c r="M208" i="12"/>
  <c r="M210" i="12"/>
  <c r="M211" i="12"/>
  <c r="M212" i="12"/>
  <c r="M214" i="12"/>
  <c r="M216" i="12"/>
  <c r="M218" i="12"/>
  <c r="M220" i="12"/>
  <c r="M222" i="12"/>
  <c r="M224" i="12"/>
  <c r="M226" i="12"/>
  <c r="M228" i="12"/>
  <c r="M229" i="12"/>
  <c r="M230" i="12"/>
  <c r="M232" i="12"/>
  <c r="M234" i="12"/>
  <c r="L105" i="12"/>
  <c r="M105" i="12" s="1"/>
  <c r="L103" i="12"/>
  <c r="M103" i="12" s="1"/>
  <c r="L101" i="12"/>
  <c r="M101" i="12" s="1"/>
  <c r="L99" i="12"/>
  <c r="L107" i="12"/>
  <c r="M107" i="12" s="1"/>
  <c r="L111" i="12"/>
  <c r="M111" i="12" s="1"/>
  <c r="L109" i="12"/>
  <c r="M109" i="12" s="1"/>
  <c r="L117" i="12"/>
  <c r="M117" i="12" s="1"/>
  <c r="K99" i="12"/>
  <c r="K98" i="12"/>
  <c r="L98" i="12"/>
  <c r="L92" i="12"/>
  <c r="M92" i="12" s="1"/>
  <c r="L90" i="12"/>
  <c r="M90" i="12" s="1"/>
  <c r="L88" i="12"/>
  <c r="M88" i="12" s="1"/>
  <c r="L86" i="12"/>
  <c r="L247" i="10"/>
  <c r="M247" i="10" s="1"/>
  <c r="L243" i="10"/>
  <c r="L241" i="10"/>
  <c r="M241" i="10" s="1"/>
  <c r="L237" i="10"/>
  <c r="M237" i="10" s="1"/>
  <c r="L235" i="10"/>
  <c r="M235" i="10" s="1"/>
  <c r="L233" i="10"/>
  <c r="M113" i="10"/>
  <c r="M114" i="10"/>
  <c r="M115" i="10"/>
  <c r="M138" i="10"/>
  <c r="M139" i="10"/>
  <c r="M140" i="10"/>
  <c r="M160" i="10"/>
  <c r="M161" i="10"/>
  <c r="M163" i="10"/>
  <c r="M182" i="10"/>
  <c r="M183" i="10"/>
  <c r="M184" i="10"/>
  <c r="M185" i="10"/>
  <c r="M211" i="10"/>
  <c r="M212" i="10"/>
  <c r="M214" i="10"/>
  <c r="M229" i="10"/>
  <c r="M230" i="10"/>
  <c r="M232" i="10"/>
  <c r="M239" i="10"/>
  <c r="M240" i="10"/>
  <c r="M242" i="10"/>
  <c r="M245" i="10"/>
  <c r="M246" i="10"/>
  <c r="M248" i="10"/>
  <c r="M250" i="10"/>
  <c r="M252" i="10"/>
  <c r="M89" i="10"/>
  <c r="M96" i="10"/>
  <c r="L231" i="10"/>
  <c r="M231" i="10" s="1"/>
  <c r="L227" i="10"/>
  <c r="M227" i="10" s="1"/>
  <c r="L225" i="10"/>
  <c r="M225" i="10" s="1"/>
  <c r="L223" i="10"/>
  <c r="M223" i="10" s="1"/>
  <c r="L221" i="10"/>
  <c r="M221" i="10" s="1"/>
  <c r="L219" i="10"/>
  <c r="M219" i="10" s="1"/>
  <c r="L217" i="10"/>
  <c r="M217" i="10" s="1"/>
  <c r="L215" i="10"/>
  <c r="L213" i="10"/>
  <c r="M213" i="10" s="1"/>
  <c r="L209" i="10"/>
  <c r="M209" i="10" s="1"/>
  <c r="L207" i="10"/>
  <c r="M207" i="10" s="1"/>
  <c r="L205" i="10"/>
  <c r="M205" i="10" s="1"/>
  <c r="L203" i="10"/>
  <c r="M203" i="10" s="1"/>
  <c r="L201" i="10"/>
  <c r="M201" i="10" s="1"/>
  <c r="L199" i="10"/>
  <c r="M199" i="10" s="1"/>
  <c r="L197" i="10"/>
  <c r="M197" i="10" s="1"/>
  <c r="L195" i="10"/>
  <c r="M195" i="10" s="1"/>
  <c r="L193" i="10"/>
  <c r="M193" i="10" s="1"/>
  <c r="L191" i="10"/>
  <c r="M191" i="10" s="1"/>
  <c r="L189" i="10"/>
  <c r="M189" i="10" s="1"/>
  <c r="L187" i="10"/>
  <c r="K186" i="10"/>
  <c r="M186" i="10" s="1"/>
  <c r="L180" i="10"/>
  <c r="M180" i="10" s="1"/>
  <c r="L178" i="10"/>
  <c r="M178" i="10" s="1"/>
  <c r="L176" i="10"/>
  <c r="M176" i="10" s="1"/>
  <c r="L174" i="10"/>
  <c r="M174" i="10" s="1"/>
  <c r="L172" i="10"/>
  <c r="M172" i="10" s="1"/>
  <c r="L170" i="10"/>
  <c r="M170" i="10" s="1"/>
  <c r="L168" i="10"/>
  <c r="M168" i="10" s="1"/>
  <c r="L166" i="10"/>
  <c r="M166" i="10" s="1"/>
  <c r="L164" i="10"/>
  <c r="L162" i="10"/>
  <c r="M162" i="10" s="1"/>
  <c r="L158" i="10"/>
  <c r="M158" i="10" s="1"/>
  <c r="L156" i="10"/>
  <c r="M156" i="10" s="1"/>
  <c r="L154" i="10"/>
  <c r="M154" i="10" s="1"/>
  <c r="L152" i="10"/>
  <c r="M152" i="10" s="1"/>
  <c r="L150" i="10"/>
  <c r="M150" i="10" s="1"/>
  <c r="L148" i="10"/>
  <c r="M148" i="10" s="1"/>
  <c r="L146" i="10"/>
  <c r="M146" i="10" s="1"/>
  <c r="L144" i="10"/>
  <c r="M144" i="10" s="1"/>
  <c r="L142" i="10"/>
  <c r="K117" i="10"/>
  <c r="L134" i="10"/>
  <c r="M134" i="10" s="1"/>
  <c r="L136" i="10"/>
  <c r="M136" i="10" s="1"/>
  <c r="L132" i="10"/>
  <c r="M132" i="10" s="1"/>
  <c r="L130" i="10"/>
  <c r="M130" i="10" s="1"/>
  <c r="L128" i="10"/>
  <c r="M128" i="10" s="1"/>
  <c r="L126" i="10"/>
  <c r="M126" i="10" s="1"/>
  <c r="L124" i="10"/>
  <c r="M124" i="10" s="1"/>
  <c r="L122" i="10"/>
  <c r="M122" i="10" s="1"/>
  <c r="L120" i="10"/>
  <c r="M120" i="10" s="1"/>
  <c r="L118" i="10"/>
  <c r="L111" i="10"/>
  <c r="M111" i="10" s="1"/>
  <c r="L109" i="10"/>
  <c r="M109" i="10" s="1"/>
  <c r="L107" i="10"/>
  <c r="M107" i="10" s="1"/>
  <c r="L105" i="10"/>
  <c r="M105" i="10" s="1"/>
  <c r="L103" i="10"/>
  <c r="M103" i="10" s="1"/>
  <c r="L101" i="10"/>
  <c r="M101" i="10" s="1"/>
  <c r="L99" i="10"/>
  <c r="L94" i="10"/>
  <c r="M94" i="10" s="1"/>
  <c r="L92" i="10"/>
  <c r="M92" i="10" s="1"/>
  <c r="L90" i="10"/>
  <c r="M90" i="10" s="1"/>
  <c r="L88" i="10"/>
  <c r="M88" i="10" s="1"/>
  <c r="L86" i="10"/>
  <c r="K249" i="10"/>
  <c r="M249" i="10" s="1"/>
  <c r="K243" i="10"/>
  <c r="K233" i="10"/>
  <c r="M233" i="10" s="1"/>
  <c r="K215" i="10"/>
  <c r="K187" i="10"/>
  <c r="K164" i="10"/>
  <c r="K142" i="10"/>
  <c r="K86" i="12"/>
  <c r="L119" i="12"/>
  <c r="M119" i="12" s="1"/>
  <c r="D7" i="51"/>
  <c r="E63" i="51"/>
  <c r="D63" i="51"/>
  <c r="E49" i="51"/>
  <c r="D49" i="51"/>
  <c r="E41" i="51"/>
  <c r="D41" i="51"/>
  <c r="E34" i="51"/>
  <c r="D34" i="51"/>
  <c r="E19" i="51"/>
  <c r="D19" i="51"/>
  <c r="E7" i="51"/>
  <c r="M327" i="12" l="1"/>
  <c r="M253" i="12"/>
  <c r="M253" i="10"/>
  <c r="M142" i="10"/>
  <c r="M164" i="10"/>
  <c r="M187" i="10"/>
  <c r="M215" i="10"/>
  <c r="M243" i="10"/>
  <c r="M243" i="12"/>
  <c r="M186" i="12"/>
  <c r="M215" i="12"/>
  <c r="M99" i="12"/>
  <c r="M86" i="12"/>
  <c r="M98" i="12"/>
  <c r="M164" i="12"/>
  <c r="M187" i="12"/>
  <c r="M118" i="12"/>
  <c r="M142" i="12"/>
  <c r="M82" i="10"/>
  <c r="L80" i="10"/>
  <c r="L84" i="12"/>
  <c r="M82" i="12"/>
  <c r="K84" i="12"/>
  <c r="K80" i="12"/>
  <c r="M80" i="12" s="1"/>
  <c r="L344" i="10"/>
  <c r="L342" i="10"/>
  <c r="L336" i="10"/>
  <c r="L334" i="10"/>
  <c r="L322" i="10"/>
  <c r="L320" i="10"/>
  <c r="L312" i="10"/>
  <c r="L314" i="10"/>
  <c r="L310" i="10"/>
  <c r="L302" i="10"/>
  <c r="L304" i="10"/>
  <c r="L300" i="10"/>
  <c r="M282" i="10"/>
  <c r="M284" i="10"/>
  <c r="L288" i="10"/>
  <c r="L290" i="10"/>
  <c r="L292" i="10"/>
  <c r="L294" i="10"/>
  <c r="L286" i="10"/>
  <c r="M286" i="10" s="1"/>
  <c r="L272" i="10"/>
  <c r="M272" i="10" s="1"/>
  <c r="L274" i="10"/>
  <c r="M274" i="10" s="1"/>
  <c r="L276" i="10"/>
  <c r="M276" i="10" s="1"/>
  <c r="L278" i="10"/>
  <c r="M278" i="10" s="1"/>
  <c r="L280" i="10"/>
  <c r="M280" i="10" s="1"/>
  <c r="L270" i="10"/>
  <c r="M270" i="10" s="1"/>
  <c r="L256" i="10"/>
  <c r="M256" i="10" s="1"/>
  <c r="L258" i="10"/>
  <c r="M258" i="10" s="1"/>
  <c r="L260" i="10"/>
  <c r="M260" i="10" s="1"/>
  <c r="L262" i="10"/>
  <c r="M262" i="10" s="1"/>
  <c r="L264" i="10"/>
  <c r="M264" i="10" s="1"/>
  <c r="L254" i="10"/>
  <c r="M254" i="10" s="1"/>
  <c r="L244" i="10"/>
  <c r="M244" i="10" s="1"/>
  <c r="L236" i="10"/>
  <c r="M236" i="10" s="1"/>
  <c r="L238" i="10"/>
  <c r="M238" i="10" s="1"/>
  <c r="L234" i="10"/>
  <c r="M234" i="10" s="1"/>
  <c r="L218" i="10"/>
  <c r="M218" i="10" s="1"/>
  <c r="L220" i="10"/>
  <c r="M220" i="10" s="1"/>
  <c r="L222" i="10"/>
  <c r="M222" i="10" s="1"/>
  <c r="L224" i="10"/>
  <c r="M224" i="10" s="1"/>
  <c r="L226" i="10"/>
  <c r="M226" i="10" s="1"/>
  <c r="L228" i="10"/>
  <c r="M228" i="10" s="1"/>
  <c r="L216" i="10"/>
  <c r="M216" i="10" s="1"/>
  <c r="L190" i="10"/>
  <c r="M190" i="10" s="1"/>
  <c r="L192" i="10"/>
  <c r="M192" i="10" s="1"/>
  <c r="L194" i="10"/>
  <c r="M194" i="10" s="1"/>
  <c r="L196" i="10"/>
  <c r="M196" i="10" s="1"/>
  <c r="L198" i="10"/>
  <c r="M198" i="10" s="1"/>
  <c r="L200" i="10"/>
  <c r="M200" i="10" s="1"/>
  <c r="L202" i="10"/>
  <c r="M202" i="10" s="1"/>
  <c r="L204" i="10"/>
  <c r="M204" i="10" s="1"/>
  <c r="L206" i="10"/>
  <c r="M206" i="10" s="1"/>
  <c r="L208" i="10"/>
  <c r="M208" i="10" s="1"/>
  <c r="L210" i="10"/>
  <c r="M210" i="10" s="1"/>
  <c r="L188" i="10"/>
  <c r="M188" i="10" s="1"/>
  <c r="L167" i="10"/>
  <c r="M167" i="10" s="1"/>
  <c r="L169" i="10"/>
  <c r="M169" i="10" s="1"/>
  <c r="L171" i="10"/>
  <c r="M171" i="10" s="1"/>
  <c r="L173" i="10"/>
  <c r="M173" i="10" s="1"/>
  <c r="L175" i="10"/>
  <c r="M175" i="10" s="1"/>
  <c r="L177" i="10"/>
  <c r="M177" i="10" s="1"/>
  <c r="L179" i="10"/>
  <c r="M179" i="10" s="1"/>
  <c r="L181" i="10"/>
  <c r="M181" i="10" s="1"/>
  <c r="L165" i="10"/>
  <c r="M165" i="10" s="1"/>
  <c r="L145" i="12"/>
  <c r="M145" i="12" s="1"/>
  <c r="L147" i="12"/>
  <c r="M147" i="12" s="1"/>
  <c r="L149" i="12"/>
  <c r="M149" i="12" s="1"/>
  <c r="L151" i="12"/>
  <c r="M151" i="12" s="1"/>
  <c r="L153" i="12"/>
  <c r="M153" i="12" s="1"/>
  <c r="L155" i="12"/>
  <c r="M155" i="12" s="1"/>
  <c r="L157" i="12"/>
  <c r="M157" i="12" s="1"/>
  <c r="L159" i="12"/>
  <c r="M159" i="12" s="1"/>
  <c r="L143" i="12"/>
  <c r="M143" i="12" s="1"/>
  <c r="M83" i="12"/>
  <c r="M85" i="12"/>
  <c r="L145" i="10"/>
  <c r="M145" i="10" s="1"/>
  <c r="L147" i="10"/>
  <c r="M147" i="10" s="1"/>
  <c r="L149" i="10"/>
  <c r="M149" i="10" s="1"/>
  <c r="L151" i="10"/>
  <c r="M151" i="10" s="1"/>
  <c r="L153" i="10"/>
  <c r="M153" i="10" s="1"/>
  <c r="L155" i="10"/>
  <c r="M155" i="10" s="1"/>
  <c r="L157" i="10"/>
  <c r="M157" i="10" s="1"/>
  <c r="L159" i="10"/>
  <c r="M159" i="10" s="1"/>
  <c r="L143" i="10"/>
  <c r="M143" i="10" s="1"/>
  <c r="L50" i="10"/>
  <c r="L49" i="10"/>
  <c r="M51" i="10"/>
  <c r="M52" i="10"/>
  <c r="M53" i="10"/>
  <c r="M54" i="10"/>
  <c r="M83" i="10"/>
  <c r="M51" i="12"/>
  <c r="M52" i="12"/>
  <c r="M53" i="12"/>
  <c r="M54" i="12"/>
  <c r="L50" i="12"/>
  <c r="L49" i="12"/>
  <c r="M49" i="12" s="1"/>
  <c r="K50" i="12"/>
  <c r="L81" i="12"/>
  <c r="M81" i="12" s="1"/>
  <c r="L89" i="12"/>
  <c r="M89" i="12" s="1"/>
  <c r="L91" i="12"/>
  <c r="M91" i="12" s="1"/>
  <c r="L93" i="12"/>
  <c r="M93" i="12" s="1"/>
  <c r="L87" i="12"/>
  <c r="M87" i="12" s="1"/>
  <c r="L133" i="12"/>
  <c r="M133" i="12" s="1"/>
  <c r="L135" i="12"/>
  <c r="M135" i="12" s="1"/>
  <c r="L137" i="12"/>
  <c r="M137" i="12" s="1"/>
  <c r="L121" i="12"/>
  <c r="M121" i="12" s="1"/>
  <c r="L123" i="12"/>
  <c r="M123" i="12" s="1"/>
  <c r="L125" i="12"/>
  <c r="M125" i="12" s="1"/>
  <c r="L127" i="12"/>
  <c r="M127" i="12" s="1"/>
  <c r="L129" i="12"/>
  <c r="M129" i="12" s="1"/>
  <c r="L131" i="12"/>
  <c r="M131" i="12" s="1"/>
  <c r="L102" i="12"/>
  <c r="M102" i="12" s="1"/>
  <c r="L104" i="12"/>
  <c r="M104" i="12" s="1"/>
  <c r="L106" i="12"/>
  <c r="M106" i="12" s="1"/>
  <c r="L108" i="12"/>
  <c r="M108" i="12" s="1"/>
  <c r="L110" i="12"/>
  <c r="M110" i="12" s="1"/>
  <c r="L112" i="12"/>
  <c r="M112" i="12" s="1"/>
  <c r="L100" i="12"/>
  <c r="M100" i="12" s="1"/>
  <c r="L141" i="10"/>
  <c r="M141" i="10" s="1"/>
  <c r="L116" i="10"/>
  <c r="M116" i="10" s="1"/>
  <c r="L97" i="10"/>
  <c r="L85" i="10"/>
  <c r="M85" i="10" s="1"/>
  <c r="K119" i="10"/>
  <c r="K118" i="10" s="1"/>
  <c r="M118" i="10" s="1"/>
  <c r="K100" i="10"/>
  <c r="K99" i="10" s="1"/>
  <c r="M99" i="10" s="1"/>
  <c r="K87" i="10"/>
  <c r="K81" i="10"/>
  <c r="M81" i="10" s="1"/>
  <c r="L135" i="10"/>
  <c r="M135" i="10" s="1"/>
  <c r="L137" i="10"/>
  <c r="M137" i="10" s="1"/>
  <c r="L133" i="10"/>
  <c r="M133" i="10" s="1"/>
  <c r="L121" i="10"/>
  <c r="M121" i="10" s="1"/>
  <c r="L123" i="10"/>
  <c r="M123" i="10" s="1"/>
  <c r="L125" i="10"/>
  <c r="M125" i="10" s="1"/>
  <c r="L127" i="10"/>
  <c r="M127" i="10" s="1"/>
  <c r="L129" i="10"/>
  <c r="M129" i="10" s="1"/>
  <c r="L131" i="10"/>
  <c r="M131" i="10" s="1"/>
  <c r="L119" i="10"/>
  <c r="L102" i="10"/>
  <c r="M102" i="10" s="1"/>
  <c r="L104" i="10"/>
  <c r="M104" i="10" s="1"/>
  <c r="L106" i="10"/>
  <c r="M106" i="10" s="1"/>
  <c r="L108" i="10"/>
  <c r="M108" i="10" s="1"/>
  <c r="L110" i="10"/>
  <c r="M110" i="10" s="1"/>
  <c r="L112" i="10"/>
  <c r="M112" i="10" s="1"/>
  <c r="L100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K58" i="12"/>
  <c r="K93" i="10"/>
  <c r="M93" i="10" s="1"/>
  <c r="K95" i="10"/>
  <c r="M95" i="10" s="1"/>
  <c r="K97" i="10"/>
  <c r="K91" i="10"/>
  <c r="M91" i="10" s="1"/>
  <c r="AR8" i="5"/>
  <c r="Q2" i="6"/>
  <c r="Q3" i="6"/>
  <c r="Q4" i="6"/>
  <c r="Q5" i="6"/>
  <c r="Q6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L37" i="12"/>
  <c r="L38" i="12"/>
  <c r="L39" i="12"/>
  <c r="L40" i="12"/>
  <c r="L35" i="12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I75" i="12"/>
  <c r="L74" i="12" s="1"/>
  <c r="I74" i="12"/>
  <c r="L73" i="12" s="1"/>
  <c r="I73" i="12"/>
  <c r="L72" i="12" s="1"/>
  <c r="I72" i="12"/>
  <c r="L71" i="12" s="1"/>
  <c r="I71" i="12"/>
  <c r="L70" i="12" s="1"/>
  <c r="I70" i="12"/>
  <c r="L69" i="12" s="1"/>
  <c r="I69" i="12"/>
  <c r="M119" i="10" l="1"/>
  <c r="L98" i="10"/>
  <c r="M98" i="10" s="1"/>
  <c r="M97" i="10"/>
  <c r="M100" i="10"/>
  <c r="L117" i="10"/>
  <c r="M117" i="10" s="1"/>
  <c r="M87" i="10"/>
  <c r="K86" i="10"/>
  <c r="M86" i="10" s="1"/>
  <c r="M84" i="12"/>
  <c r="M49" i="10"/>
  <c r="L84" i="10"/>
  <c r="M84" i="10" s="1"/>
  <c r="K80" i="10"/>
  <c r="M80" i="10" s="1"/>
  <c r="M74" i="12"/>
  <c r="O69" i="5" s="1"/>
  <c r="M35" i="12"/>
  <c r="O35" i="5" s="1"/>
  <c r="M75" i="12"/>
  <c r="O70" i="5" s="1"/>
  <c r="M69" i="12"/>
  <c r="O64" i="5" s="1"/>
  <c r="K50" i="10"/>
  <c r="M50" i="10" s="1"/>
  <c r="M57" i="12"/>
  <c r="M36" i="12"/>
  <c r="O36" i="5" s="1"/>
  <c r="M50" i="12"/>
  <c r="M70" i="12"/>
  <c r="O65" i="5" s="1"/>
  <c r="M72" i="12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S9" i="12"/>
  <c r="U9" i="12" s="1"/>
  <c r="O7" i="6" s="1"/>
  <c r="S10" i="12"/>
  <c r="U10" i="12" s="1"/>
  <c r="O8" i="6" s="1"/>
  <c r="S3" i="12"/>
  <c r="R4" i="12"/>
  <c r="M3" i="6" s="1"/>
  <c r="R5" i="12"/>
  <c r="M4" i="6" s="1"/>
  <c r="R6" i="12"/>
  <c r="M5" i="6" s="1"/>
  <c r="R7" i="12"/>
  <c r="M6" i="6" s="1"/>
  <c r="R8" i="12"/>
  <c r="R9" i="12"/>
  <c r="M7" i="6" s="1"/>
  <c r="R10" i="12"/>
  <c r="M8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V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8" i="6" s="1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L5" i="6"/>
  <c r="L6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U8" i="10" l="1"/>
  <c r="J38" i="12"/>
  <c r="N38" i="5" s="1"/>
  <c r="J10" i="12"/>
  <c r="N10" i="5" s="1"/>
  <c r="J31" i="12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7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N48" i="10"/>
  <c r="P48" i="10" s="1"/>
  <c r="K64" i="10"/>
  <c r="N64" i="10"/>
  <c r="P64" i="10" s="1"/>
  <c r="K79" i="10"/>
  <c r="N79" i="10"/>
  <c r="P79" i="10" s="1"/>
  <c r="K19" i="10"/>
  <c r="N19" i="10"/>
  <c r="P19" i="10" s="1"/>
  <c r="L15" i="10"/>
  <c r="O15" i="10"/>
  <c r="L46" i="10"/>
  <c r="O46" i="10"/>
  <c r="K47" i="10"/>
  <c r="N47" i="10"/>
  <c r="P47" i="10" s="1"/>
  <c r="K41" i="10"/>
  <c r="N41" i="10"/>
  <c r="P41" i="10" s="1"/>
  <c r="L65" i="10"/>
  <c r="O65" i="10"/>
  <c r="L57" i="10"/>
  <c r="O57" i="10"/>
  <c r="K63" i="10"/>
  <c r="N63" i="10"/>
  <c r="K78" i="10"/>
  <c r="N78" i="10"/>
  <c r="P78" i="10" s="1"/>
  <c r="L16" i="10"/>
  <c r="O16" i="10"/>
  <c r="L31" i="10"/>
  <c r="O31" i="10"/>
  <c r="L45" i="10"/>
  <c r="O45" i="10"/>
  <c r="K40" i="10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O35" i="10"/>
  <c r="P35" i="10" s="1"/>
  <c r="J76" i="10"/>
  <c r="J71" i="5" s="1"/>
  <c r="L4" i="10"/>
  <c r="O4" i="10"/>
  <c r="P4" i="10" s="1"/>
  <c r="K18" i="10"/>
  <c r="N18" i="10"/>
  <c r="P18" i="10" s="1"/>
  <c r="L29" i="10"/>
  <c r="O29" i="10"/>
  <c r="L21" i="10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O20" i="10"/>
  <c r="P20" i="10" s="1"/>
  <c r="K28" i="10"/>
  <c r="N28" i="10"/>
  <c r="L43" i="10"/>
  <c r="O43" i="10"/>
  <c r="P43" i="10" s="1"/>
  <c r="K38" i="10"/>
  <c r="N38" i="10"/>
  <c r="L62" i="10"/>
  <c r="O62" i="10"/>
  <c r="K68" i="10"/>
  <c r="N68" i="10"/>
  <c r="P68" i="10" s="1"/>
  <c r="K60" i="10"/>
  <c r="N60" i="10"/>
  <c r="L70" i="10"/>
  <c r="O70" i="10"/>
  <c r="P70" i="10" s="1"/>
  <c r="K75" i="10"/>
  <c r="N75" i="10"/>
  <c r="K7" i="10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O42" i="10"/>
  <c r="P42" i="10" s="1"/>
  <c r="L61" i="10"/>
  <c r="O61" i="10"/>
  <c r="K67" i="10"/>
  <c r="N67" i="10"/>
  <c r="P67" i="10" s="1"/>
  <c r="K59" i="10"/>
  <c r="N59" i="10"/>
  <c r="L77" i="10"/>
  <c r="O77" i="10"/>
  <c r="L69" i="10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M6" i="10" s="1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N34" i="10"/>
  <c r="P34" i="10" s="1"/>
  <c r="K26" i="10"/>
  <c r="N26" i="10"/>
  <c r="K44" i="10"/>
  <c r="N44" i="10"/>
  <c r="L39" i="10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V8" i="5"/>
  <c r="AV9" i="5"/>
  <c r="L8" i="10"/>
  <c r="AV33" i="5"/>
  <c r="L32" i="10"/>
  <c r="AV25" i="5"/>
  <c r="L24" i="10"/>
  <c r="AV38" i="5"/>
  <c r="L37" i="10"/>
  <c r="AV62" i="5"/>
  <c r="L66" i="10"/>
  <c r="AV54" i="5"/>
  <c r="L58" i="10"/>
  <c r="AV70" i="5"/>
  <c r="L74" i="10"/>
  <c r="AV10" i="5"/>
  <c r="L9" i="10"/>
  <c r="M9" i="10" s="1"/>
  <c r="AV37" i="5"/>
  <c r="L36" i="10"/>
  <c r="M36" i="10" s="1"/>
  <c r="AV69" i="5"/>
  <c r="L73" i="10"/>
  <c r="AV15" i="5"/>
  <c r="L14" i="10"/>
  <c r="AV60" i="5"/>
  <c r="L64" i="10"/>
  <c r="AV52" i="5"/>
  <c r="L56" i="10"/>
  <c r="M56" i="10" s="1"/>
  <c r="AV68" i="5"/>
  <c r="L72" i="10"/>
  <c r="AV14" i="5"/>
  <c r="L13" i="10"/>
  <c r="AV26" i="5"/>
  <c r="L25" i="10"/>
  <c r="AV3" i="5"/>
  <c r="L3" i="10"/>
  <c r="M3" i="10" s="1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8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M10" i="10" l="1"/>
  <c r="K10" i="5" s="1"/>
  <c r="M61" i="10"/>
  <c r="K56" i="5" s="1"/>
  <c r="M57" i="10"/>
  <c r="K52" i="5" s="1"/>
  <c r="M66" i="10"/>
  <c r="K61" i="5" s="1"/>
  <c r="M11" i="10"/>
  <c r="K11" i="5" s="1"/>
  <c r="M23" i="10"/>
  <c r="K23" i="5" s="1"/>
  <c r="M5" i="10"/>
  <c r="K5" i="5" s="1"/>
  <c r="M13" i="10"/>
  <c r="K13" i="5" s="1"/>
  <c r="M24" i="10"/>
  <c r="K24" i="5" s="1"/>
  <c r="M76" i="10"/>
  <c r="K71" i="5" s="1"/>
  <c r="M71" i="10"/>
  <c r="K66" i="5" s="1"/>
  <c r="M44" i="10"/>
  <c r="K44" i="5" s="1"/>
  <c r="M32" i="10"/>
  <c r="K32" i="5" s="1"/>
  <c r="M77" i="10"/>
  <c r="K72" i="5" s="1"/>
  <c r="M15" i="10"/>
  <c r="K15" i="5" s="1"/>
  <c r="M60" i="10"/>
  <c r="K55" i="5" s="1"/>
  <c r="M25" i="10"/>
  <c r="K25" i="5" s="1"/>
  <c r="M31" i="10"/>
  <c r="K31" i="5" s="1"/>
  <c r="M38" i="10"/>
  <c r="K38" i="5" s="1"/>
  <c r="M19" i="10"/>
  <c r="K19" i="5" s="1"/>
  <c r="M14" i="10"/>
  <c r="K14" i="5" s="1"/>
  <c r="M39" i="10"/>
  <c r="K39" i="5" s="1"/>
  <c r="M18" i="10"/>
  <c r="K18" i="5" s="1"/>
  <c r="M20" i="10"/>
  <c r="K20" i="5" s="1"/>
  <c r="M45" i="10"/>
  <c r="K45" i="5" s="1"/>
  <c r="M65" i="10"/>
  <c r="K60" i="5" s="1"/>
  <c r="M79" i="10"/>
  <c r="K74" i="5" s="1"/>
  <c r="M75" i="10"/>
  <c r="K70" i="5" s="1"/>
  <c r="M73" i="10"/>
  <c r="K68" i="5" s="1"/>
  <c r="M37" i="10"/>
  <c r="K37" i="5" s="1"/>
  <c r="M42" i="10"/>
  <c r="K42" i="5" s="1"/>
  <c r="M4" i="10"/>
  <c r="K4" i="5" s="1"/>
  <c r="M40" i="10"/>
  <c r="K40" i="5" s="1"/>
  <c r="M68" i="10"/>
  <c r="K63" i="5" s="1"/>
  <c r="M41" i="10"/>
  <c r="K41" i="5" s="1"/>
  <c r="M69" i="10"/>
  <c r="K64" i="5" s="1"/>
  <c r="M62" i="10"/>
  <c r="K57" i="5" s="1"/>
  <c r="M12" i="10"/>
  <c r="K12" i="5" s="1"/>
  <c r="M35" i="10"/>
  <c r="K35" i="5" s="1"/>
  <c r="M17" i="10"/>
  <c r="K17" i="5" s="1"/>
  <c r="M16" i="10"/>
  <c r="K16" i="5" s="1"/>
  <c r="M47" i="10"/>
  <c r="K47" i="5" s="1"/>
  <c r="M48" i="10"/>
  <c r="K48" i="5" s="1"/>
  <c r="M59" i="10"/>
  <c r="K54" i="5" s="1"/>
  <c r="M72" i="10"/>
  <c r="K67" i="5" s="1"/>
  <c r="M34" i="10"/>
  <c r="K34" i="5" s="1"/>
  <c r="M7" i="10"/>
  <c r="K7" i="5" s="1"/>
  <c r="M30" i="10"/>
  <c r="K30" i="5" s="1"/>
  <c r="M46" i="10"/>
  <c r="K46" i="5" s="1"/>
  <c r="M74" i="10"/>
  <c r="K69" i="5" s="1"/>
  <c r="M8" i="10"/>
  <c r="K8" i="5" s="1"/>
  <c r="M26" i="10"/>
  <c r="K26" i="5" s="1"/>
  <c r="M27" i="10"/>
  <c r="K27" i="5" s="1"/>
  <c r="M55" i="10"/>
  <c r="K50" i="5" s="1"/>
  <c r="M21" i="10"/>
  <c r="K21" i="5" s="1"/>
  <c r="M70" i="10"/>
  <c r="K65" i="5" s="1"/>
  <c r="M28" i="10"/>
  <c r="K28" i="5" s="1"/>
  <c r="M33" i="10"/>
  <c r="K33" i="5" s="1"/>
  <c r="M43" i="10"/>
  <c r="K43" i="5" s="1"/>
  <c r="M64" i="10"/>
  <c r="K59" i="5" s="1"/>
  <c r="M58" i="10"/>
  <c r="K53" i="5" s="1"/>
  <c r="M22" i="10"/>
  <c r="K22" i="5" s="1"/>
  <c r="M67" i="10"/>
  <c r="K62" i="5" s="1"/>
  <c r="M63" i="10"/>
  <c r="K58" i="5" s="1"/>
  <c r="M29" i="10"/>
  <c r="K29" i="5" s="1"/>
  <c r="M78" i="10"/>
  <c r="K73" i="5" s="1"/>
  <c r="P39" i="10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P11" i="10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P65" i="10"/>
  <c r="P76" i="10"/>
  <c r="P16" i="10"/>
  <c r="P29" i="10"/>
  <c r="P10" i="10"/>
  <c r="P23" i="10"/>
  <c r="P38" i="10"/>
  <c r="P28" i="10"/>
  <c r="P27" i="10"/>
  <c r="P12" i="10"/>
  <c r="P17" i="10"/>
  <c r="P77" i="10"/>
  <c r="P15" i="10"/>
  <c r="P75" i="10"/>
  <c r="P30" i="10"/>
  <c r="P61" i="10"/>
  <c r="P44" i="10"/>
  <c r="P45" i="10"/>
  <c r="P59" i="10"/>
  <c r="P60" i="10"/>
  <c r="P5" i="10"/>
  <c r="P22" i="10"/>
  <c r="P63" i="10"/>
  <c r="P31" i="10"/>
  <c r="P46" i="10"/>
  <c r="P26" i="10"/>
  <c r="P71" i="10"/>
  <c r="K6" i="5"/>
  <c r="K51" i="5"/>
  <c r="K36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<sst xmlns="http://schemas.openxmlformats.org/spreadsheetml/2006/main" count="1769" uniqueCount="575">
  <si>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</si>
  <si>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</si>
  <si>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</si>
  <si>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</si>
  <si>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</si>
  <si>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</si>
  <si>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</si>
  <si>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</si>
  <si>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</si>
  <si>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</si>
  <si>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</si>
  <si>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</si>
  <si>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</si>
  <si>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</si>
  <si>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</si>
  <si>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</si>
  <si>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</si>
  <si>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</si>
  <si>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</si>
  <si>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</si>
  <si>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</si>
  <si>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</si>
  <si>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</si>
  <si>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</si>
  <si>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</si>
  <si>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</si>
  <si>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</si>
  <si>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</si>
  <si>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</si>
  <si>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</si>
  <si>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</si>
  <si>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</si>
  <si>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</si>
  <si>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</si>
  <si>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</si>
  <si>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</si>
  <si>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</si>
  <si>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</si>
  <si>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</si>
  <si>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</si>
  <si>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</si>
  <si>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</si>
  <si>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</si>
  <si>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</si>
  <si>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</si>
  <si>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</si>
  <si>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</si>
  <si>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</si>
  <si>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</si>
  <si>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</si>
  <si>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</si>
  <si>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</si>
  <si>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</si>
  <si>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</si>
  <si>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</si>
  <si>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</si>
  <si>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</si>
  <si>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</si>
  <si>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</si>
  <si>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</si>
  <si>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</si>
  <si>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</si>
  <si>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</si>
  <si>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</si>
  <si>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</si>
  <si>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</si>
  <si>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</si>
  <si>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</si>
  <si>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</si>
  <si>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</si>
  <si>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</si>
  <si>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</si>
  <si>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</si>
  <si>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</si>
  <si>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</si>
  <si>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</si>
  <si>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</si>
  <si>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</si>
  <si>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</si>
  <si>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</si>
  <si>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</si>
  <si>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</si>
  <si>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</si>
  <si>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</si>
  <si>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</si>
  <si>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</si>
  <si>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</si>
  <si>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</si>
  <si>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</si>
  <si>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</si>
  <si>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</si>
  <si>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</si>
  <si>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</si>
  <si>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</si>
  <si>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</si>
  <si>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</si>
  <si>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</si>
  <si>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</si>
  <si>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</si>
  <si>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</si>
  <si>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</si>
  <si>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</si>
  <si>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</si>
  <si>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</si>
  <si>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</si>
  <si>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</si>
  <si>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</si>
  <si>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</si>
  <si>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</si>
  <si>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</si>
  <si>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</si>
  <si>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</si>
  <si>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</si>
  <si>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</si>
  <si>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</si>
  <si>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</si>
  <si>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</si>
  <si>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</si>
  <si>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</si>
  <si>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</si>
  <si>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</si>
  <si>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</si>
  <si>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</si>
  <si>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</si>
  <si>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</si>
  <si>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</si>
  <si>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</si>
  <si>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</si>
  <si>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</si>
  <si>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</si>
  <si>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</si>
  <si>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</si>
  <si>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</si>
  <si>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</si>
  <si>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</si>
  <si>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</si>
  <si>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</si>
  <si>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</si>
  <si>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</si>
  <si>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</si>
  <si>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</si>
  <si>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</si>
  <si>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</si>
  <si>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</si>
  <si>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</si>
  <si>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</si>
  <si>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</si>
  <si>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</si>
  <si>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</si>
  <si>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</si>
  <si>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</si>
  <si>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</si>
  <si>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</si>
  <si>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</si>
  <si>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</si>
  <si>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</si>
  <si>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</si>
  <si>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</si>
  <si>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</si>
  <si>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</si>
  <si>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</si>
  <si>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</si>
  <si>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</si>
  <si>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</si>
  <si>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</si>
  <si>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</si>
  <si>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</si>
  <si>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</si>
  <si>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</si>
  <si>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</si>
  <si>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</si>
  <si>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</si>
  <si>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</si>
  <si>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</si>
  <si>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</si>
  <si>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</si>
  <si>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</si>
  <si>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</si>
  <si>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</si>
  <si>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</si>
  <si>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</si>
  <si>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</si>
  <si>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</si>
  <si>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</si>
  <si>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</si>
  <si>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</si>
  <si>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</si>
  <si>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</si>
  <si>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</si>
  <si>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</si>
  <si>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</si>
  <si>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</si>
  <si>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</si>
  <si>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</si>
  <si>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</si>
  <si>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</si>
  <si>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</si>
  <si>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</si>
  <si>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</si>
  <si>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</si>
  <si>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</si>
  <si>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</si>
  <si>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</si>
  <si>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</si>
  <si>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</si>
  <si>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</si>
  <si>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</si>
  <si>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</si>
  <si>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</si>
  <si>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</si>
  <si>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</si>
  <si>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</si>
  <si>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</si>
  <si>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</si>
  <si>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</si>
  <si>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</si>
  <si>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</si>
  <si>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</si>
  <si>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</si>
  <si>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</si>
  <si>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</si>
  <si>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</si>
  <si>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</si>
  <si>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</si>
  <si>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</si>
  <si>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</si>
  <si>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</si>
  <si>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</si>
  <si>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</si>
  <si>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</si>
  <si>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</si>
  <si>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</si>
  <si>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</si>
  <si>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</si>
  <si>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</si>
  <si>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</si>
  <si>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</si>
  <si>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</si>
  <si>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</si>
  <si>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</si>
  <si>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</si>
  <si>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</si>
  <si>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</si>
  <si>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</si>
  <si>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</si>
  <si>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</si>
  <si>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</si>
  <si>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</si>
  <si>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</si>
  <si>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</si>
  <si>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</si>
  <si>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</si>
  <si>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</si>
  <si>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</si>
  <si>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</si>
  <si>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</si>
  <si>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</si>
  <si>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</si>
  <si>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</si>
  <si>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</si>
  <si>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</si>
  <si>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</si>
  <si>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</si>
  <si>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</si>
  <si>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</si>
  <si>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</si>
  <si>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</si>
  <si>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</si>
  <si>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</si>
  <si>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</si>
  <si>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</si>
  <si>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</si>
  <si>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</si>
  <si>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</si>
  <si>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</si>
  <si>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</si>
  <si>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</si>
  <si>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</si>
  <si>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</si>
  <si>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</si>
  <si>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</si>
  <si>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</si>
  <si>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</si>
  <si>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</si>
  <si>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</si>
  <si>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</si>
  <si>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</si>
  <si>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</si>
  <si>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</si>
  <si>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</si>
  <si>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</si>
  <si>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</si>
  <si>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</si>
  <si>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</si>
  <si>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</si>
  <si>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</si>
  <si>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</si>
  <si>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</si>
  <si>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</si>
  <si>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</si>
  <si>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</si>
  <si>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</si>
  <si>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</si>
  <si>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</si>
  <si>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</si>
  <si>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</si>
  <si>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</si>
  <si>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</si>
  <si>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</si>
  <si>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</si>
  <si>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</si>
  <si>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</si>
  <si>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</si>
  <si>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</si>
  <si>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</si>
  <si>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</si>
  <si>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</si>
  <si>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</si>
  <si>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</si>
  <si>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</si>
  <si>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</si>
  <si>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</si>
  <si>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</si>
  <si>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</si>
  <si>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</si>
  <si>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</si>
  <si>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</si>
  <si>
    <t>lc3.15_40m</t>
  </si>
  <si>
    <t>lc3.15_80m</t>
  </si>
  <si>
    <t>lc3.15_120m</t>
  </si>
  <si>
    <t>lc3.15_160m</t>
  </si>
  <si>
    <t>lc3.15_200m</t>
  </si>
  <si>
    <t>lc3.15_240m</t>
  </si>
  <si>
    <t>lc3.15_280m</t>
  </si>
  <si>
    <t>lc3.15_320m</t>
  </si>
  <si>
    <t>lc3.15_360m</t>
  </si>
  <si>
    <t>lc3.15_400m</t>
  </si>
  <si>
    <t>lc3.15_440m</t>
  </si>
  <si>
    <t>lc3.16_40m</t>
  </si>
  <si>
    <t>lc3.16_80m</t>
  </si>
  <si>
    <t>lc3.16_120m</t>
  </si>
  <si>
    <t>lc3.16_160m</t>
  </si>
  <si>
    <t>lc3.16_200m</t>
  </si>
  <si>
    <t>lc3.16_240m</t>
  </si>
  <si>
    <t>lc3.16_280m</t>
  </si>
  <si>
    <t>lc3.16_320m</t>
  </si>
  <si>
    <t>lc3.16_360m</t>
  </si>
  <si>
    <t>lc3.16_400m</t>
  </si>
  <si>
    <t>lc3.16_440m</t>
  </si>
  <si>
    <t>lc3.17_40m</t>
  </si>
  <si>
    <t>lc3.17_80m</t>
  </si>
  <si>
    <t>lc3.17_120m</t>
  </si>
  <si>
    <t>lc3.17_160m</t>
  </si>
  <si>
    <t>lc3.17_200m</t>
  </si>
  <si>
    <t>lc3.17_240m</t>
  </si>
  <si>
    <t>lc3.17_280m</t>
  </si>
  <si>
    <t>lc3.17_320m</t>
  </si>
  <si>
    <t>lc3.17_360m</t>
  </si>
  <si>
    <t>lc3.17_400m</t>
  </si>
  <si>
    <t>lc3.17_440m</t>
  </si>
  <si>
    <t>lc3.17_480m</t>
  </si>
  <si>
    <t>lc3.17_520m</t>
  </si>
  <si>
    <t>lc3.17_560m</t>
  </si>
  <si>
    <t>lc3.18_40m</t>
  </si>
  <si>
    <t>lc3.18_120m</t>
  </si>
  <si>
    <t>lc3.18_80m</t>
  </si>
  <si>
    <t>lc3.18_160m</t>
  </si>
  <si>
    <t>lc3.18_200m</t>
  </si>
  <si>
    <t>lc3.18_240m</t>
  </si>
  <si>
    <t>lc3.18_280m</t>
  </si>
  <si>
    <t>lc3.18_320m</t>
  </si>
  <si>
    <t>lc3.18_360m</t>
  </si>
  <si>
    <t>lc3.19_40m</t>
  </si>
  <si>
    <t>lc3.19_80m</t>
  </si>
  <si>
    <t>lc3.19_120m</t>
  </si>
  <si>
    <t>lc3.19_160m</t>
  </si>
  <si>
    <t>lc3.19_200m</t>
  </si>
  <si>
    <t>lc3.20_40m</t>
  </si>
  <si>
    <t>lc3.20_80m</t>
  </si>
  <si>
    <t>lc3.20_120m</t>
  </si>
  <si>
    <t>lc1.11_40m</t>
  </si>
  <si>
    <t>lc1.11_80m</t>
  </si>
  <si>
    <t>lc1.12_40m</t>
  </si>
  <si>
    <t>lc1.12_80m</t>
  </si>
  <si>
    <t>lc1.12_120m</t>
  </si>
  <si>
    <t>lc1.12_160m</t>
  </si>
  <si>
    <t>lc1.12_200m</t>
  </si>
  <si>
    <t>lc1.12_240m</t>
  </si>
  <si>
    <t>lc1.12_280m</t>
  </si>
  <si>
    <t>lc1.12_320m</t>
  </si>
  <si>
    <t>lc1.13_40m</t>
  </si>
  <si>
    <t>lc1.13_80m</t>
  </si>
  <si>
    <t>lc1.13_120m</t>
  </si>
  <si>
    <t>lc1.13_160m</t>
  </si>
  <si>
    <t>lc1.13_200m</t>
  </si>
  <si>
    <t>lc1.13_240m</t>
  </si>
  <si>
    <t>lc1.13_280m</t>
  </si>
  <si>
    <t>lc1.13_320m</t>
  </si>
  <si>
    <t>lc1.14_40m</t>
  </si>
  <si>
    <t>lc1.14_80m</t>
  </si>
  <si>
    <t>lc1.14_120m</t>
  </si>
  <si>
    <t>lc1.14_160m</t>
  </si>
  <si>
    <t>lc1.14_200m</t>
  </si>
  <si>
    <t>lc1.14_240m</t>
  </si>
  <si>
    <t>lc1.15_40m</t>
  </si>
  <si>
    <t>lc1.15_80m</t>
  </si>
  <si>
    <t>lc1.15_120m</t>
  </si>
  <si>
    <t>lc1.15_160m</t>
  </si>
  <si>
    <t>lc1.15_200m</t>
  </si>
  <si>
    <t>lc1.16_40m</t>
  </si>
  <si>
    <t>lc1.16_80m</t>
  </si>
  <si>
    <t>lc1.16_120m</t>
  </si>
  <si>
    <t>lc1.16_160m</t>
  </si>
  <si>
    <t>lc1.16_200m</t>
  </si>
  <si>
    <t>lc1.17_40m</t>
  </si>
  <si>
    <t>lc1.17_120m</t>
  </si>
  <si>
    <t>lc1.17_160m</t>
  </si>
  <si>
    <t>lc1.17_80m</t>
  </si>
  <si>
    <t>lc1.18_40m</t>
  </si>
  <si>
    <t>lc1.18_80m</t>
  </si>
  <si>
    <t>lc1.18_120m</t>
  </si>
  <si>
    <t>lc1.19_40m</t>
  </si>
  <si>
    <t>lc1.19_80m</t>
  </si>
  <si>
    <t>lc1.19_120m</t>
  </si>
  <si>
    <t>lc1.19_160m</t>
  </si>
  <si>
    <t>lc1.20_40m</t>
  </si>
  <si>
    <t>lc1.20_80m</t>
  </si>
  <si>
    <t>lc1.20_120m</t>
  </si>
  <si>
    <t>lc1.20_160m</t>
  </si>
  <si>
    <t>lc1.14_280m</t>
  </si>
  <si>
    <t>LC1.20</t>
  </si>
  <si>
    <t>LC3.20</t>
  </si>
  <si>
    <t>Distance from Channel (m)</t>
  </si>
  <si>
    <t>Lc3.11_20m</t>
  </si>
  <si>
    <t>Lc3.11_60m</t>
  </si>
  <si>
    <t>Lc3.11_100m</t>
  </si>
  <si>
    <t>Correlation</t>
  </si>
  <si>
    <t>Covariance</t>
  </si>
  <si>
    <t>Lc3.12_20m</t>
  </si>
  <si>
    <t>Lc3.12_60m</t>
  </si>
  <si>
    <t>Lc3.12_100m</t>
  </si>
  <si>
    <t>Lc3.12_140m</t>
  </si>
  <si>
    <t>Lc3.12_180m</t>
  </si>
  <si>
    <t>Lc3.12_220m</t>
  </si>
  <si>
    <t>Lc3.13_20m</t>
  </si>
  <si>
    <t>Lc3.13_60m</t>
  </si>
  <si>
    <t>Lc3.13_100m</t>
  </si>
  <si>
    <t>Lc3.13_140m</t>
  </si>
  <si>
    <t>Lc3.13_180m</t>
  </si>
  <si>
    <t>Lc3.13_220m</t>
  </si>
  <si>
    <t>Lc3.13_260m</t>
  </si>
  <si>
    <t>Lc3.13_300m</t>
  </si>
  <si>
    <t>Lc3.13_340m</t>
  </si>
  <si>
    <t>Lc3.14_20m</t>
  </si>
  <si>
    <t>Lc3.14_60m</t>
  </si>
  <si>
    <t>Lc3.14_100m</t>
  </si>
  <si>
    <t>Lc3.14_140m</t>
  </si>
  <si>
    <t>Lc3.14_180m</t>
  </si>
  <si>
    <t>Lc3.14_220m</t>
  </si>
  <si>
    <t>Lc3.14_260m</t>
  </si>
  <si>
    <t>Lc3.14_300m</t>
  </si>
  <si>
    <t>Lc3.14_340m</t>
  </si>
  <si>
    <t>Lc3.14_380m</t>
  </si>
  <si>
    <t>Lc3.14_420m</t>
  </si>
  <si>
    <t>Lc3.14_460m</t>
  </si>
  <si>
    <t>Lc3.15_20m</t>
  </si>
  <si>
    <t>Lc3.15_60m</t>
  </si>
  <si>
    <t>Lc3.15_100m</t>
  </si>
  <si>
    <t>Lc3.15_140m</t>
  </si>
  <si>
    <t>Lc3.15_180m</t>
  </si>
  <si>
    <t>Lc3.15_220m</t>
  </si>
  <si>
    <t>Lc3.15_260m</t>
  </si>
  <si>
    <t>Lc3.15_300m</t>
  </si>
  <si>
    <t>Lc3.15_340m</t>
  </si>
  <si>
    <t>Lc3.15_380m</t>
  </si>
  <si>
    <t>Lc3.15_420m</t>
  </si>
  <si>
    <t>Lc3.16_20m</t>
  </si>
  <si>
    <t>Lc3.16_60m</t>
  </si>
  <si>
    <t>Lc3.16_100m</t>
  </si>
  <si>
    <t>Lc3.16_140m</t>
  </si>
  <si>
    <t>Lc3.16_180m</t>
  </si>
  <si>
    <t>Lc3.16_220m</t>
  </si>
  <si>
    <t>Lc3.16_260m</t>
  </si>
  <si>
    <t>Lc3.16_300m</t>
  </si>
  <si>
    <t>Lc3.16_340m</t>
  </si>
  <si>
    <t>Lc3.16_380m</t>
  </si>
  <si>
    <t>Lc3.16_420m</t>
  </si>
  <si>
    <t>Lc3.17_20m</t>
  </si>
  <si>
    <t>Lc3.17_60m</t>
  </si>
  <si>
    <t>Lc3.17_100m</t>
  </si>
  <si>
    <t>Lc3.17_140m</t>
  </si>
  <si>
    <t>Lc3.17_180m</t>
  </si>
  <si>
    <t>Lc3.17_220m</t>
  </si>
  <si>
    <t>Lc3.17_260m</t>
  </si>
  <si>
    <t>Lc3.17_300m</t>
  </si>
  <si>
    <t>Lc3.17_340m</t>
  </si>
  <si>
    <t>Lc3.17_380m</t>
  </si>
  <si>
    <t>Lc3.17_420m</t>
  </si>
  <si>
    <t>Lc3.17_460m</t>
  </si>
  <si>
    <t>Lc3.17_500m</t>
  </si>
  <si>
    <t>Lc3.17_540m</t>
  </si>
  <si>
    <t>Lc3.18_20m</t>
  </si>
  <si>
    <t>Lc3.18_60m</t>
  </si>
  <si>
    <t>Lc3.18_100m</t>
  </si>
  <si>
    <t>Lc3.18_140m</t>
  </si>
  <si>
    <t>Lc3.18_180m</t>
  </si>
  <si>
    <t>Lc3.18_220m</t>
  </si>
  <si>
    <t>Lc3.18_260m</t>
  </si>
  <si>
    <t>Lc3.18_300m</t>
  </si>
  <si>
    <t>Lc3.18_340m</t>
  </si>
  <si>
    <t>Lc3.19_60m</t>
  </si>
  <si>
    <t>lc3.19_20m</t>
  </si>
  <si>
    <t>lc3.19_100m</t>
  </si>
  <si>
    <t>lc3.19_140m</t>
  </si>
  <si>
    <t>lc3.19_180m</t>
  </si>
  <si>
    <t>Lc3.20_20m</t>
  </si>
  <si>
    <t>Lc3.20_60m</t>
  </si>
  <si>
    <t>Lc3.20_100m</t>
  </si>
  <si>
    <t>Lc1.11_20m</t>
  </si>
  <si>
    <t>Lc1.11_60m</t>
  </si>
  <si>
    <t>lc1.11_60m</t>
  </si>
  <si>
    <t>lc1.11_20m</t>
  </si>
  <si>
    <t>lc3.12_260m</t>
  </si>
  <si>
    <t>lc3.13_380m</t>
  </si>
  <si>
    <t>lc3.16_460m</t>
  </si>
  <si>
    <t>Lc3.12_260m</t>
  </si>
  <si>
    <t>lc1.22_20m</t>
  </si>
  <si>
    <t>lc1.22_60m</t>
  </si>
  <si>
    <t>lc1.22_100m</t>
  </si>
  <si>
    <t>lc1.22_140m</t>
  </si>
  <si>
    <t>lc1.22_180m</t>
  </si>
  <si>
    <t>lc1.22_220m</t>
  </si>
  <si>
    <t>lc1.22_260m</t>
  </si>
  <si>
    <t>lc1.22_300m</t>
  </si>
  <si>
    <t>lc1.13_20m</t>
  </si>
  <si>
    <t>lc1.13_60m</t>
  </si>
  <si>
    <t>lc1.13_100m</t>
  </si>
  <si>
    <t>lc1.13_140m</t>
  </si>
  <si>
    <t>lc1.13_180m</t>
  </si>
  <si>
    <t>lc1.13_220m</t>
  </si>
  <si>
    <t>lc1.13_260m</t>
  </si>
  <si>
    <t>lc1.13_300m</t>
  </si>
  <si>
    <t>lc1.14_20m</t>
  </si>
  <si>
    <t>lc1.14_60m</t>
  </si>
  <si>
    <t>lc1.14_100m</t>
  </si>
  <si>
    <t>lc1.14_140m</t>
  </si>
  <si>
    <t>lc1.14_180m</t>
  </si>
  <si>
    <t>lc1.14_220m</t>
  </si>
  <si>
    <t>lc1.14_260m</t>
  </si>
  <si>
    <t>lc1.15_20m</t>
  </si>
  <si>
    <t>lc1.15_60m</t>
  </si>
  <si>
    <t>lc1.15_100m</t>
  </si>
  <si>
    <t>lc1.15_140m</t>
  </si>
  <si>
    <t>lc1.15_180m</t>
  </si>
  <si>
    <t>lc1.16_20m</t>
  </si>
  <si>
    <t>lc1.16_60m</t>
  </si>
  <si>
    <t>lc1.16_100m</t>
  </si>
  <si>
    <t>lc1.16_180m</t>
  </si>
  <si>
    <t>lc1.16_140m</t>
  </si>
  <si>
    <t>lc1.17_20m</t>
  </si>
  <si>
    <t>lc1.17_60m</t>
  </si>
  <si>
    <t>lc1.17_100m</t>
  </si>
  <si>
    <t>lc1.17_140m</t>
  </si>
  <si>
    <t>lc1.18_20m</t>
  </si>
  <si>
    <t>lc1.18_60m</t>
  </si>
  <si>
    <t>lc1.18_100m</t>
  </si>
  <si>
    <t>lc1.19_20m</t>
  </si>
  <si>
    <t>lc1.19_60m</t>
  </si>
  <si>
    <t>lc1.19_100m</t>
  </si>
  <si>
    <t>lc1.19_140m</t>
  </si>
  <si>
    <t>lc1.20_20m</t>
  </si>
  <si>
    <t>lc1.20_60m</t>
  </si>
  <si>
    <t>lc1.20_100m</t>
  </si>
  <si>
    <t>lc1.20_140m</t>
  </si>
  <si>
    <t>Distance Downstream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</si>
</sst>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Curvature!$M$80:$M$85</c:f>
              <c:numCache>
                <c:formatCode>General</c:formatCode>
                <c:ptCount val="6"/>
                <c:pt idx="0">
                  <c:v>0.13037500000000002</c:v>
                </c:pt>
                <c:pt idx="1">
                  <c:v>0.34887500000000005</c:v>
                </c:pt>
                <c:pt idx="2">
                  <c:v>-0.14024999999999999</c:v>
                </c:pt>
                <c:pt idx="3">
                  <c:v>0.10562499999999994</c:v>
                </c:pt>
                <c:pt idx="4">
                  <c:v>0.21112499999999995</c:v>
                </c:pt>
                <c:pt idx="5">
                  <c:v>-7.375000000000043E-3</c:v>
                </c:pt>
              </c:numCache>
            </c:numRef>
          </c:xVal>
          <c:yVal>
            <c:numRef>
              <c:f>Curvature!$N$80:$N$85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4-44ED-A577-D32F10883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752816"/>
        <c:axId val="903729920"/>
      </c:scatterChart>
      <c:valAx>
        <c:axId val="90275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29920"/>
        <c:crosses val="autoZero"/>
        <c:crossBetween val="midCat"/>
      </c:valAx>
      <c:valAx>
        <c:axId val="9037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5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808836395450569E-2"/>
                  <c:y val="0.24397578385286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curveVSdistance!$B$233:$B$242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curveVSdistance!$C$233:$C$242</c:f>
              <c:numCache>
                <c:formatCode>General</c:formatCode>
                <c:ptCount val="10"/>
                <c:pt idx="0">
                  <c:v>-6.2875000000000014E-2</c:v>
                </c:pt>
                <c:pt idx="1">
                  <c:v>-3.7375000000000026E-2</c:v>
                </c:pt>
                <c:pt idx="2">
                  <c:v>-0.22375000000000003</c:v>
                </c:pt>
                <c:pt idx="3">
                  <c:v>-0.28275</c:v>
                </c:pt>
                <c:pt idx="4">
                  <c:v>-0.14025000000000001</c:v>
                </c:pt>
                <c:pt idx="5">
                  <c:v>-0.185</c:v>
                </c:pt>
                <c:pt idx="6">
                  <c:v>9.8750000000000331E-3</c:v>
                </c:pt>
                <c:pt idx="7">
                  <c:v>1.8374999999999985E-2</c:v>
                </c:pt>
                <c:pt idx="8">
                  <c:v>-7.5499999999999984E-2</c:v>
                </c:pt>
                <c:pt idx="9">
                  <c:v>-5.6250000000000001E-2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A-4F21-8F8D-4D4E5CFA6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91408"/>
        <c:axId val="940480224"/>
      </c:scatterChart>
      <c:valAx>
        <c:axId val="93919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80224"/>
        <c:crosses val="autoZero"/>
        <c:crossBetween val="midCat"/>
      </c:valAx>
      <c:valAx>
        <c:axId val="9404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563451443569554"/>
                  <c:y val="1.22419015195584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curveVSdistance!$B$243:$B$248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curveVSdistance!$C$243:$C$248</c:f>
              <c:numCache>
                <c:formatCode>General</c:formatCode>
                <c:ptCount val="6"/>
                <c:pt idx="0">
                  <c:v>-7.4750000000000011E-2</c:v>
                </c:pt>
                <c:pt idx="1">
                  <c:v>-0.10975000000000001</c:v>
                </c:pt>
                <c:pt idx="2">
                  <c:v>-0.170125</c:v>
                </c:pt>
                <c:pt idx="3">
                  <c:v>-0.31287500000000001</c:v>
                </c:pt>
                <c:pt idx="4">
                  <c:v>-0.20624999999999999</c:v>
                </c:pt>
                <c:pt idx="5">
                  <c:v>-0.17124999999999999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2-490E-8A77-FCB3EEC2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86768"/>
        <c:axId val="934543968"/>
      </c:scatterChart>
      <c:valAx>
        <c:axId val="93918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43968"/>
        <c:crosses val="autoZero"/>
        <c:crossBetween val="midCat"/>
      </c:valAx>
      <c:valAx>
        <c:axId val="9345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8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57545931758533"/>
                  <c:y val="-0.26078862624431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curveVSdistance!$B$249:$B$252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curveVSdistance!$C$249:$C$252</c:f>
              <c:numCache>
                <c:formatCode>General</c:formatCode>
                <c:ptCount val="4"/>
                <c:pt idx="0">
                  <c:v>6.5375000000000003E-2</c:v>
                </c:pt>
                <c:pt idx="1">
                  <c:v>6.8250000000000005E-2</c:v>
                </c:pt>
                <c:pt idx="2">
                  <c:v>-2.6750000000000006E-2</c:v>
                </c:pt>
                <c:pt idx="3">
                  <c:v>1.1999999999999966E-2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8-4F63-9865-7165F2A38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200224"/>
        <c:axId val="940478784"/>
      </c:scatterChart>
      <c:valAx>
        <c:axId val="9392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78784"/>
        <c:crosses val="autoZero"/>
        <c:crossBetween val="midCat"/>
      </c:valAx>
      <c:valAx>
        <c:axId val="9404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60586176727909E-2"/>
                  <c:y val="-0.47711405022977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curveVSdistance!$B$253:$B$268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</c:numCache>
            </c:numRef>
          </c:xVal>
          <c:yVal>
            <c:numRef>
              <c:f>curveVSdistance!$C$253:$C$268</c:f>
              <c:numCache>
                <c:formatCode>General</c:formatCode>
                <c:ptCount val="16"/>
                <c:pt idx="0">
                  <c:v>3.4624999999999996E-2</c:v>
                </c:pt>
                <c:pt idx="1">
                  <c:v>0.123</c:v>
                </c:pt>
                <c:pt idx="2">
                  <c:v>-2.4249999999999973E-2</c:v>
                </c:pt>
                <c:pt idx="3">
                  <c:v>-0.10275000000000004</c:v>
                </c:pt>
                <c:pt idx="4">
                  <c:v>-5.4499999999999993E-2</c:v>
                </c:pt>
                <c:pt idx="5">
                  <c:v>-0.199375</c:v>
                </c:pt>
                <c:pt idx="6">
                  <c:v>-3.9625000000000021E-2</c:v>
                </c:pt>
                <c:pt idx="7">
                  <c:v>-9.7499999999999705E-3</c:v>
                </c:pt>
                <c:pt idx="8">
                  <c:v>-0.11237499999999997</c:v>
                </c:pt>
                <c:pt idx="9">
                  <c:v>-0.141875</c:v>
                </c:pt>
                <c:pt idx="10">
                  <c:v>-0.11074999999999999</c:v>
                </c:pt>
                <c:pt idx="11">
                  <c:v>-0.18375000000000002</c:v>
                </c:pt>
                <c:pt idx="12">
                  <c:v>-0.15775</c:v>
                </c:pt>
                <c:pt idx="13">
                  <c:v>-6.3500000000000001E-2</c:v>
                </c:pt>
                <c:pt idx="14">
                  <c:v>-0.11650000000000001</c:v>
                </c:pt>
                <c:pt idx="15">
                  <c:v>-7.2125000000000009E-2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D-4D4B-A187-8C1A430B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47760"/>
        <c:axId val="936359232"/>
      </c:scatterChart>
      <c:valAx>
        <c:axId val="10021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59232"/>
        <c:crosses val="autoZero"/>
        <c:crossBetween val="midCat"/>
      </c:valAx>
      <c:valAx>
        <c:axId val="9363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4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318678915135606"/>
                  <c:y val="9.616997984011620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curveVSdistance!$B$269:$B$284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</c:numCache>
            </c:numRef>
          </c:xVal>
          <c:yVal>
            <c:numRef>
              <c:f>curveVSdistance!$C$269:$C$284</c:f>
              <c:numCache>
                <c:formatCode>General</c:formatCode>
                <c:ptCount val="16"/>
                <c:pt idx="0">
                  <c:v>0.12312500000000001</c:v>
                </c:pt>
                <c:pt idx="1">
                  <c:v>0.36687500000000001</c:v>
                </c:pt>
                <c:pt idx="2">
                  <c:v>6.2875000000000014E-2</c:v>
                </c:pt>
                <c:pt idx="3">
                  <c:v>1.1375000000000001E-2</c:v>
                </c:pt>
                <c:pt idx="4">
                  <c:v>0.15587499999999999</c:v>
                </c:pt>
                <c:pt idx="5">
                  <c:v>-0.14650000000000002</c:v>
                </c:pt>
                <c:pt idx="6">
                  <c:v>-3.1749999999999987E-2</c:v>
                </c:pt>
                <c:pt idx="7">
                  <c:v>-0.13987499999999997</c:v>
                </c:pt>
                <c:pt idx="8">
                  <c:v>-0.26087499999999997</c:v>
                </c:pt>
                <c:pt idx="9">
                  <c:v>-0.15924999999999997</c:v>
                </c:pt>
                <c:pt idx="10">
                  <c:v>-0.20125000000000001</c:v>
                </c:pt>
                <c:pt idx="11">
                  <c:v>-0.16887500000000003</c:v>
                </c:pt>
                <c:pt idx="12">
                  <c:v>-0.12637500000000002</c:v>
                </c:pt>
                <c:pt idx="13">
                  <c:v>-0.14687500000000001</c:v>
                </c:pt>
                <c:pt idx="14">
                  <c:v>-7.5874999999999998E-2</c:v>
                </c:pt>
                <c:pt idx="15">
                  <c:v>-3.9E-2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5-4CF8-9455-4DF0E6E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32656"/>
        <c:axId val="902714576"/>
      </c:scatterChart>
      <c:valAx>
        <c:axId val="9969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14576"/>
        <c:crosses val="autoZero"/>
        <c:crossBetween val="midCat"/>
      </c:valAx>
      <c:valAx>
        <c:axId val="9027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6452318460192"/>
                  <c:y val="-6.93406984585828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curveVSdistance!$B$285:$B$298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</c:numCache>
            </c:numRef>
          </c:xVal>
          <c:yVal>
            <c:numRef>
              <c:f>curveVSdistance!$C$285:$C$298</c:f>
              <c:numCache>
                <c:formatCode>General</c:formatCode>
                <c:ptCount val="14"/>
                <c:pt idx="0">
                  <c:v>0.16524999999999998</c:v>
                </c:pt>
                <c:pt idx="1">
                  <c:v>0.24050000000000002</c:v>
                </c:pt>
                <c:pt idx="2">
                  <c:v>7.1124999999999966E-2</c:v>
                </c:pt>
                <c:pt idx="3">
                  <c:v>4.9750000000000003E-2</c:v>
                </c:pt>
                <c:pt idx="4">
                  <c:v>0.19350000000000006</c:v>
                </c:pt>
                <c:pt idx="5">
                  <c:v>3.8124999999999964E-2</c:v>
                </c:pt>
                <c:pt idx="6">
                  <c:v>-0.12612499999999999</c:v>
                </c:pt>
                <c:pt idx="7">
                  <c:v>-0.16237499999999999</c:v>
                </c:pt>
                <c:pt idx="8">
                  <c:v>-0.42000000000000004</c:v>
                </c:pt>
                <c:pt idx="9">
                  <c:v>-0.43362499999999998</c:v>
                </c:pt>
                <c:pt idx="10">
                  <c:v>-0.29962499999999997</c:v>
                </c:pt>
                <c:pt idx="11">
                  <c:v>-0.25562499999999999</c:v>
                </c:pt>
                <c:pt idx="12">
                  <c:v>-0.140625</c:v>
                </c:pt>
                <c:pt idx="13">
                  <c:v>-4.6874999999999993E-2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E-4922-B437-C2B82E07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348688"/>
        <c:axId val="931683712"/>
      </c:scatterChart>
      <c:valAx>
        <c:axId val="99734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83712"/>
        <c:crosses val="autoZero"/>
        <c:crossBetween val="midCat"/>
      </c:valAx>
      <c:valAx>
        <c:axId val="9316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4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432458442694664"/>
                  <c:y val="5.53053606348702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curveVSdistance!$B$299:$B$308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curveVSdistance!$C$299:$C$308</c:f>
              <c:numCache>
                <c:formatCode>General</c:formatCode>
                <c:ptCount val="10"/>
                <c:pt idx="0">
                  <c:v>0.59024999999999994</c:v>
                </c:pt>
                <c:pt idx="1">
                  <c:v>0.39012499999999994</c:v>
                </c:pt>
                <c:pt idx="2">
                  <c:v>-0.15550000000000003</c:v>
                </c:pt>
                <c:pt idx="3">
                  <c:v>-0.18075000000000002</c:v>
                </c:pt>
                <c:pt idx="4">
                  <c:v>-0.69962499999999994</c:v>
                </c:pt>
                <c:pt idx="5">
                  <c:v>-0.55762500000000004</c:v>
                </c:pt>
                <c:pt idx="6">
                  <c:v>-0.23287500000000003</c:v>
                </c:pt>
                <c:pt idx="7">
                  <c:v>-0.24225000000000002</c:v>
                </c:pt>
                <c:pt idx="8">
                  <c:v>-2.6125000000000002E-2</c:v>
                </c:pt>
                <c:pt idx="9">
                  <c:v>3.1999999999999994E-2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D-408F-992A-7612476D0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886848"/>
        <c:axId val="916668256"/>
      </c:scatterChart>
      <c:valAx>
        <c:axId val="9948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68256"/>
        <c:crosses val="autoZero"/>
        <c:crossBetween val="midCat"/>
      </c:valAx>
      <c:valAx>
        <c:axId val="9166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767541557305336"/>
                  <c:y val="0.34692462271957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curveVSdistance!$B$309:$B$318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curveVSdistance!$C$309:$C$318</c:f>
              <c:numCache>
                <c:formatCode>General</c:formatCode>
                <c:ptCount val="10"/>
                <c:pt idx="0">
                  <c:v>-9.6249999999999988E-2</c:v>
                </c:pt>
                <c:pt idx="1">
                  <c:v>-0.12925</c:v>
                </c:pt>
                <c:pt idx="2">
                  <c:v>-0.42037500000000005</c:v>
                </c:pt>
                <c:pt idx="3">
                  <c:v>-0.48849999999999999</c:v>
                </c:pt>
                <c:pt idx="4">
                  <c:v>-0.24262500000000001</c:v>
                </c:pt>
                <c:pt idx="5">
                  <c:v>-0.21312500000000001</c:v>
                </c:pt>
                <c:pt idx="6">
                  <c:v>-0.11887499999999999</c:v>
                </c:pt>
                <c:pt idx="7">
                  <c:v>3.3750000000000002E-2</c:v>
                </c:pt>
                <c:pt idx="8">
                  <c:v>9.8750000000000001E-3</c:v>
                </c:pt>
                <c:pt idx="9">
                  <c:v>1.3375000000000001E-2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B-4F0A-8BF6-A23338A2F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9488"/>
        <c:axId val="934540608"/>
      </c:scatterChart>
      <c:valAx>
        <c:axId val="91328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40608"/>
        <c:crosses val="autoZero"/>
        <c:crossBetween val="midCat"/>
      </c:valAx>
      <c:valAx>
        <c:axId val="9345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330692290612551E-4"/>
                  <c:y val="0.166773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curveVSdistance!$B$319:$B$326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xVal>
          <c:yVal>
            <c:numRef>
              <c:f>curveVSdistance!$C$319:$C$326</c:f>
              <c:numCache>
                <c:formatCode>General</c:formatCode>
                <c:ptCount val="8"/>
                <c:pt idx="0">
                  <c:v>5.8374999999999996E-2</c:v>
                </c:pt>
                <c:pt idx="1">
                  <c:v>2.6750000000000006E-2</c:v>
                </c:pt>
                <c:pt idx="2">
                  <c:v>-0.50924999999999998</c:v>
                </c:pt>
                <c:pt idx="3">
                  <c:v>-0.27437500000000004</c:v>
                </c:pt>
                <c:pt idx="4">
                  <c:v>-0.175125</c:v>
                </c:pt>
                <c:pt idx="5">
                  <c:v>-0.15950000000000003</c:v>
                </c:pt>
                <c:pt idx="6">
                  <c:v>-3.7249999999999991E-2</c:v>
                </c:pt>
                <c:pt idx="7">
                  <c:v>-4.8749999999999957E-3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9-400A-A585-B43050BC7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153120"/>
        <c:axId val="940482144"/>
      </c:scatterChart>
      <c:valAx>
        <c:axId val="115315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82144"/>
        <c:crosses val="autoZero"/>
        <c:crossBetween val="midCat"/>
      </c:valAx>
      <c:valAx>
        <c:axId val="9404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5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18017500573488E-2"/>
                  <c:y val="0.29993799870605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curveVSdistance!$B$327:$B$332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curveVSdistance!$C$327:$C$332</c:f>
              <c:numCache>
                <c:formatCode>General</c:formatCode>
                <c:ptCount val="6"/>
                <c:pt idx="0">
                  <c:v>-0.37312500000000004</c:v>
                </c:pt>
                <c:pt idx="1">
                  <c:v>1.7375000000000008E-2</c:v>
                </c:pt>
                <c:pt idx="2">
                  <c:v>-0.47962500000000008</c:v>
                </c:pt>
                <c:pt idx="3">
                  <c:v>-0.24249999999999999</c:v>
                </c:pt>
                <c:pt idx="4">
                  <c:v>-0.29112499999999997</c:v>
                </c:pt>
                <c:pt idx="5">
                  <c:v>-5.5375000000000008E-2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D-4DA9-A83F-57C29F2CA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52944"/>
        <c:axId val="903731840"/>
      </c:scatterChart>
      <c:valAx>
        <c:axId val="9186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31840"/>
        <c:crosses val="autoZero"/>
        <c:crossBetween val="midCat"/>
      </c:valAx>
      <c:valAx>
        <c:axId val="9037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curveVSdistance!$B$80:$B$85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curveVSdistance!$C$80:$C$85</c:f>
              <c:numCache>
                <c:formatCode>General</c:formatCode>
                <c:ptCount val="6"/>
                <c:pt idx="0">
                  <c:v>0.13037500000000002</c:v>
                </c:pt>
                <c:pt idx="1">
                  <c:v>0.34887500000000005</c:v>
                </c:pt>
                <c:pt idx="2">
                  <c:v>-0.14024999999999999</c:v>
                </c:pt>
                <c:pt idx="3">
                  <c:v>0.10562499999999994</c:v>
                </c:pt>
                <c:pt idx="4">
                  <c:v>0.21112499999999995</c:v>
                </c:pt>
                <c:pt idx="5">
                  <c:v>-7.375000000000043E-3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E-4193-9004-D3F23D51F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99760"/>
        <c:axId val="934538208"/>
      </c:scatterChart>
      <c:valAx>
        <c:axId val="93919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8208"/>
        <c:crosses val="autoZero"/>
        <c:crossBetween val="midCat"/>
      </c:valAx>
      <c:valAx>
        <c:axId val="9345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764654418197728E-3"/>
                  <c:y val="0.272578740157480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curveVSdistance!$B$333:$B$340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xVal>
          <c:yVal>
            <c:numRef>
              <c:f>curveVSdistance!$C$333:$C$340</c:f>
              <c:numCache>
                <c:formatCode>General</c:formatCode>
                <c:ptCount val="8"/>
                <c:pt idx="0">
                  <c:v>-0.191</c:v>
                </c:pt>
                <c:pt idx="1">
                  <c:v>-0.26900000000000002</c:v>
                </c:pt>
                <c:pt idx="2">
                  <c:v>-0.22075</c:v>
                </c:pt>
                <c:pt idx="3">
                  <c:v>-0.23349999999999999</c:v>
                </c:pt>
                <c:pt idx="4">
                  <c:v>-0.10150000000000001</c:v>
                </c:pt>
                <c:pt idx="5">
                  <c:v>5.7499999999999999E-3</c:v>
                </c:pt>
                <c:pt idx="6">
                  <c:v>-3.2499999999999994E-2</c:v>
                </c:pt>
                <c:pt idx="7">
                  <c:v>-1.3000000000000001E-2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1-45DE-A295-857A0F69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548032"/>
        <c:axId val="996983872"/>
      </c:scatterChart>
      <c:valAx>
        <c:axId val="100154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83872"/>
        <c:crosses val="autoZero"/>
        <c:crossBetween val="midCat"/>
      </c:valAx>
      <c:valAx>
        <c:axId val="9969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02012248468941E-3"/>
                  <c:y val="0.263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curveVSdistance!$B$341:$B$348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xVal>
          <c:yVal>
            <c:numRef>
              <c:f>curveVSdistance!$C$341:$C$348</c:f>
              <c:numCache>
                <c:formatCode>General</c:formatCode>
                <c:ptCount val="8"/>
                <c:pt idx="0">
                  <c:v>-0.22325</c:v>
                </c:pt>
                <c:pt idx="1">
                  <c:v>-0.25624999999999998</c:v>
                </c:pt>
                <c:pt idx="2">
                  <c:v>-0.32487499999999997</c:v>
                </c:pt>
                <c:pt idx="3">
                  <c:v>-0.123</c:v>
                </c:pt>
                <c:pt idx="4">
                  <c:v>-2.5500000000000005E-2</c:v>
                </c:pt>
                <c:pt idx="5">
                  <c:v>-5.875E-3</c:v>
                </c:pt>
                <c:pt idx="6">
                  <c:v>2.6000000000000002E-2</c:v>
                </c:pt>
                <c:pt idx="7">
                  <c:v>3.0249999999999999E-2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E-4ADB-AE40-50ACC191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561024"/>
        <c:axId val="931686592"/>
      </c:scatterChart>
      <c:valAx>
        <c:axId val="10015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86592"/>
        <c:crosses val="autoZero"/>
        <c:crossBetween val="midCat"/>
      </c:valAx>
      <c:valAx>
        <c:axId val="9316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6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290714898261476E-2"/>
          <c:y val="2.2113429705886638E-2"/>
          <c:w val="0.90278682986408876"/>
          <c:h val="0.88862207847877328"/>
        </c:manualLayout>
      </c:layout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25.349999999999998</c:v>
                </c:pt>
                <c:pt idx="19">
                  <c:v>25.349999999999998</c:v>
                </c:pt>
                <c:pt idx="20">
                  <c:v>18.989999999999998</c:v>
                </c:pt>
                <c:pt idx="21">
                  <c:v>21.33</c:v>
                </c:pt>
                <c:pt idx="22">
                  <c:v>21.33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0689171279332662E-5"/>
                  <c:y val="-3.05929881591052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12.674999999999999</c:v>
                </c:pt>
                <c:pt idx="19">
                  <c:v>12.674999999999999</c:v>
                </c:pt>
                <c:pt idx="20">
                  <c:v>18.989999999999998</c:v>
                </c:pt>
                <c:pt idx="21">
                  <c:v>7.1099999999999994</c:v>
                </c:pt>
                <c:pt idx="22">
                  <c:v>7.1099999999999994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18.989999999999998</c:v>
                </c:pt>
                <c:pt idx="19">
                  <c:v>18.989999999999998</c:v>
                </c:pt>
                <c:pt idx="20">
                  <c:v>18.989999999999998</c:v>
                </c:pt>
                <c:pt idx="21">
                  <c:v>18.989999999999998</c:v>
                </c:pt>
                <c:pt idx="22">
                  <c:v>18.989999999999998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47021348197811913"/>
          <c:y val="0.57111406730713821"/>
          <c:w val="0.26410995036511525"/>
          <c:h val="0.20354549351413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slope vs total thickness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0755425813847277"/>
                        <c:y val="8.6254581472370973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hillslope_morph!$AS$3:$AS$74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13.93</c:v>
                      </c:pt>
                      <c:pt idx="5">
                        <c:v>21.51</c:v>
                      </c:pt>
                      <c:pt idx="17">
                        <c:v>40.669999999999995</c:v>
                      </c:pt>
                      <c:pt idx="32">
                        <c:v>16.43</c:v>
                      </c:pt>
                      <c:pt idx="39">
                        <c:v>26.830000000000002</c:v>
                      </c:pt>
                      <c:pt idx="47">
                        <c:v>51.470000000000006</c:v>
                      </c:pt>
                      <c:pt idx="61">
                        <c:v>51.66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hillslope_morph!$AY$3:$AY$74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0.31789992354090624</c:v>
                      </c:pt>
                      <c:pt idx="5">
                        <c:v>0.17333249618049001</c:v>
                      </c:pt>
                      <c:pt idx="17">
                        <c:v>0.44173061326345969</c:v>
                      </c:pt>
                      <c:pt idx="32">
                        <c:v>0.33746915272826994</c:v>
                      </c:pt>
                      <c:pt idx="39">
                        <c:v>0.52845986069091611</c:v>
                      </c:pt>
                      <c:pt idx="47">
                        <c:v>0.40194861611021465</c:v>
                      </c:pt>
                      <c:pt idx="61">
                        <c:v>0.31697914355447071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A08-4E9E-A067-2A7766D46A7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max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3244347853894084"/>
                        <c:y val="-2.6984545494853181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hillslope_morph!$AP$3:$AP$74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1.97</c:v>
                      </c:pt>
                      <c:pt idx="5">
                        <c:v>3.69</c:v>
                      </c:pt>
                      <c:pt idx="17">
                        <c:v>18.989999999999998</c:v>
                      </c:pt>
                      <c:pt idx="32">
                        <c:v>6.47</c:v>
                      </c:pt>
                      <c:pt idx="39">
                        <c:v>6.06</c:v>
                      </c:pt>
                      <c:pt idx="47">
                        <c:v>15.73</c:v>
                      </c:pt>
                      <c:pt idx="61">
                        <c:v>7.14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hillslope_morph!$AY$3:$AY$74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0.31789992354090624</c:v>
                      </c:pt>
                      <c:pt idx="5">
                        <c:v>0.17333249618049001</c:v>
                      </c:pt>
                      <c:pt idx="17">
                        <c:v>0.44173061326345969</c:v>
                      </c:pt>
                      <c:pt idx="32">
                        <c:v>0.33746915272826994</c:v>
                      </c:pt>
                      <c:pt idx="39">
                        <c:v>0.52845986069091611</c:v>
                      </c:pt>
                      <c:pt idx="47">
                        <c:v>0.40194861611021465</c:v>
                      </c:pt>
                      <c:pt idx="61">
                        <c:v>0.31697914355447071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08-4E9E-A067-2A7766D46A72}"/>
                  </c:ext>
                </c:extLst>
              </c15:ser>
            </c15:filteredScatterSeries>
          </c:ext>
        </c:extLst>
      </c:scatterChart>
      <c:valAx>
        <c:axId val="764195951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channel_morph!$J$2:$J$8</c:f>
              <c:numCache>
                <c:formatCode>General</c:formatCode>
                <c:ptCount val="7"/>
                <c:pt idx="0">
                  <c:v>79.19</c:v>
                </c:pt>
                <c:pt idx="1">
                  <c:v>65.930000000000007</c:v>
                </c:pt>
                <c:pt idx="2">
                  <c:v>97.8</c:v>
                </c:pt>
                <c:pt idx="3">
                  <c:v>59.98</c:v>
                </c:pt>
                <c:pt idx="4">
                  <c:v>90.04</c:v>
                </c:pt>
                <c:pt idx="5">
                  <c:v>193.99</c:v>
                </c:pt>
                <c:pt idx="6">
                  <c:v>146.02000000000001</c:v>
                </c:pt>
              </c:numCache>
            </c:numRef>
          </c:xVal>
          <c:yVal>
            <c:numRef>
              <c:f>channel_morph!$P$2:$P$8</c:f>
              <c:numCache>
                <c:formatCode>General</c:formatCode>
                <c:ptCount val="7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325.40428485904749</c:v>
                </c:pt>
                <c:pt idx="6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76268591426073"/>
                  <c:y val="2.50845727617381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curveVSdistance!$B$86:$B$98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xVal>
          <c:yVal>
            <c:numRef>
              <c:f>curveVSdistance!$C$86:$C$98</c:f>
              <c:numCache>
                <c:formatCode>General</c:formatCode>
                <c:ptCount val="13"/>
                <c:pt idx="0">
                  <c:v>-1.2250000000000049E-2</c:v>
                </c:pt>
                <c:pt idx="1">
                  <c:v>-2.1250000000000036E-2</c:v>
                </c:pt>
                <c:pt idx="2">
                  <c:v>0.11187499999999999</c:v>
                </c:pt>
                <c:pt idx="3">
                  <c:v>0.13900000000000001</c:v>
                </c:pt>
                <c:pt idx="4">
                  <c:v>0.11050000000000004</c:v>
                </c:pt>
                <c:pt idx="5">
                  <c:v>2.9625000000000058E-2</c:v>
                </c:pt>
                <c:pt idx="6">
                  <c:v>3.7500000000000532E-3</c:v>
                </c:pt>
                <c:pt idx="7">
                  <c:v>-8.6624999999999994E-2</c:v>
                </c:pt>
                <c:pt idx="8">
                  <c:v>3.6624999999999998E-2</c:v>
                </c:pt>
                <c:pt idx="9">
                  <c:v>-8.8750000000000114E-3</c:v>
                </c:pt>
                <c:pt idx="10">
                  <c:v>-0.24862500000000004</c:v>
                </c:pt>
                <c:pt idx="11">
                  <c:v>-0.24737499999999998</c:v>
                </c:pt>
                <c:pt idx="12">
                  <c:v>-0.395625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0-4F3E-8D69-FEE466D28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67600"/>
        <c:axId val="939355488"/>
      </c:scatterChart>
      <c:valAx>
        <c:axId val="9066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488"/>
        <c:crosses val="autoZero"/>
        <c:crossBetween val="midCat"/>
      </c:valAx>
      <c:valAx>
        <c:axId val="9393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6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0481189851271E-2"/>
          <c:y val="0.19721055701370663"/>
          <c:w val="0.8699050743657043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490813648293965E-2"/>
                  <c:y val="0.1119375182268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curveVSdistance!$B$99:$B$117</c:f>
              <c:numCache>
                <c:formatCode>General</c:formatCode>
                <c:ptCount val="1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</c:numCache>
            </c:numRef>
          </c:xVal>
          <c:yVal>
            <c:numRef>
              <c:f>curveVSdistance!$C$99:$C$117</c:f>
              <c:numCache>
                <c:formatCode>General</c:formatCode>
                <c:ptCount val="19"/>
                <c:pt idx="0">
                  <c:v>0.32100000000000006</c:v>
                </c:pt>
                <c:pt idx="1">
                  <c:v>0.175625</c:v>
                </c:pt>
                <c:pt idx="2">
                  <c:v>9.3749999999999997E-3</c:v>
                </c:pt>
                <c:pt idx="3">
                  <c:v>-6.3249999999999987E-2</c:v>
                </c:pt>
                <c:pt idx="4">
                  <c:v>-0.32600000000000001</c:v>
                </c:pt>
                <c:pt idx="5">
                  <c:v>-0.20099999999999998</c:v>
                </c:pt>
                <c:pt idx="6">
                  <c:v>-0.16262500000000002</c:v>
                </c:pt>
                <c:pt idx="7">
                  <c:v>-0.156</c:v>
                </c:pt>
                <c:pt idx="8">
                  <c:v>-6.5874999999999989E-2</c:v>
                </c:pt>
                <c:pt idx="9">
                  <c:v>-0.10837500000000003</c:v>
                </c:pt>
                <c:pt idx="10">
                  <c:v>-5.4624999999999993E-2</c:v>
                </c:pt>
                <c:pt idx="11">
                  <c:v>-3.2874999999999988E-2</c:v>
                </c:pt>
                <c:pt idx="12">
                  <c:v>-8.5125000000000006E-2</c:v>
                </c:pt>
                <c:pt idx="13">
                  <c:v>5.0250000000000017E-2</c:v>
                </c:pt>
                <c:pt idx="14">
                  <c:v>-7.1250000000000008E-2</c:v>
                </c:pt>
                <c:pt idx="15">
                  <c:v>-8.3000000000000004E-2</c:v>
                </c:pt>
                <c:pt idx="16">
                  <c:v>-3.0499999999999992E-2</c:v>
                </c:pt>
                <c:pt idx="17">
                  <c:v>-2.5250000000000015E-2</c:v>
                </c:pt>
                <c:pt idx="18">
                  <c:v>5.7124999999999995E-2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9-47E8-AD7A-3E367A497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526288"/>
        <c:axId val="941177136"/>
      </c:scatterChart>
      <c:valAx>
        <c:axId val="92652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77136"/>
        <c:crosses val="autoZero"/>
        <c:crossBetween val="midCat"/>
      </c:valAx>
      <c:valAx>
        <c:axId val="9411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2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142169728783901E-2"/>
                  <c:y val="-0.11515274132400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curveVSdistance!$B$118:$B$141</c:f>
              <c:numCache>
                <c:formatCode>General</c:formatCode>
                <c:ptCount val="2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</c:numCache>
            </c:numRef>
          </c:xVal>
          <c:yVal>
            <c:numRef>
              <c:f>curveVSdistance!$C$118:$C$141</c:f>
              <c:numCache>
                <c:formatCode>General</c:formatCode>
                <c:ptCount val="24"/>
                <c:pt idx="0">
                  <c:v>0.11512500000000006</c:v>
                </c:pt>
                <c:pt idx="1">
                  <c:v>-5.0875000000000004E-2</c:v>
                </c:pt>
                <c:pt idx="2">
                  <c:v>-0.13187499999999996</c:v>
                </c:pt>
                <c:pt idx="3">
                  <c:v>-8.3749999999999991E-2</c:v>
                </c:pt>
                <c:pt idx="4">
                  <c:v>-0.22725000000000004</c:v>
                </c:pt>
                <c:pt idx="5">
                  <c:v>-0.10087499999999998</c:v>
                </c:pt>
                <c:pt idx="6">
                  <c:v>-0.13162500000000002</c:v>
                </c:pt>
                <c:pt idx="7">
                  <c:v>-3.125E-2</c:v>
                </c:pt>
                <c:pt idx="8">
                  <c:v>-4.0375000000000008E-2</c:v>
                </c:pt>
                <c:pt idx="9">
                  <c:v>-5.5625000000000001E-2</c:v>
                </c:pt>
                <c:pt idx="10">
                  <c:v>4.1999999999999996E-2</c:v>
                </c:pt>
                <c:pt idx="11">
                  <c:v>9.9624999999999991E-2</c:v>
                </c:pt>
                <c:pt idx="12">
                  <c:v>8.7250000000000008E-2</c:v>
                </c:pt>
                <c:pt idx="13">
                  <c:v>0.13212499999999999</c:v>
                </c:pt>
                <c:pt idx="14">
                  <c:v>2.250000000000001E-2</c:v>
                </c:pt>
                <c:pt idx="15">
                  <c:v>1.3750000000000017E-2</c:v>
                </c:pt>
                <c:pt idx="16">
                  <c:v>-5.425E-2</c:v>
                </c:pt>
                <c:pt idx="17">
                  <c:v>-5.4499999999999993E-2</c:v>
                </c:pt>
                <c:pt idx="18">
                  <c:v>6.874999999999987E-3</c:v>
                </c:pt>
                <c:pt idx="19">
                  <c:v>-6.1374999999999999E-2</c:v>
                </c:pt>
                <c:pt idx="20">
                  <c:v>-3.6125000000000004E-2</c:v>
                </c:pt>
                <c:pt idx="21">
                  <c:v>-9.6375000000000002E-2</c:v>
                </c:pt>
                <c:pt idx="22">
                  <c:v>-0.11412499999999999</c:v>
                </c:pt>
                <c:pt idx="23">
                  <c:v>-9.7249999999999989E-2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8-4A6B-8DB7-A6FE22EE2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98832"/>
        <c:axId val="934543488"/>
      </c:scatterChart>
      <c:valAx>
        <c:axId val="93919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43488"/>
        <c:crosses val="autoZero"/>
        <c:crossBetween val="midCat"/>
      </c:valAx>
      <c:valAx>
        <c:axId val="9345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curveVSdistance!$B$142:$B$163</c:f>
              <c:numCache>
                <c:formatCode>General</c:formatCode>
                <c:ptCount val="2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</c:numCache>
            </c:numRef>
          </c:xVal>
          <c:yVal>
            <c:numRef>
              <c:f>curveVSdistance!$C$142:$C$163</c:f>
              <c:numCache>
                <c:formatCode>General</c:formatCode>
                <c:ptCount val="22"/>
                <c:pt idx="0">
                  <c:v>-2.0000000000000018E-2</c:v>
                </c:pt>
                <c:pt idx="1">
                  <c:v>-3.3749999999999988E-2</c:v>
                </c:pt>
                <c:pt idx="2">
                  <c:v>-0.113625</c:v>
                </c:pt>
                <c:pt idx="3">
                  <c:v>-0.16950000000000004</c:v>
                </c:pt>
                <c:pt idx="4">
                  <c:v>-5.3749999999999964E-2</c:v>
                </c:pt>
                <c:pt idx="5">
                  <c:v>-9.4250000000000014E-2</c:v>
                </c:pt>
                <c:pt idx="6">
                  <c:v>-0.11587499999999999</c:v>
                </c:pt>
                <c:pt idx="7">
                  <c:v>-0.16824999999999998</c:v>
                </c:pt>
                <c:pt idx="8">
                  <c:v>-0.15575</c:v>
                </c:pt>
                <c:pt idx="9">
                  <c:v>-0.12337499999999998</c:v>
                </c:pt>
                <c:pt idx="10">
                  <c:v>-0.13800000000000001</c:v>
                </c:pt>
                <c:pt idx="11">
                  <c:v>-9.1249999999999984E-2</c:v>
                </c:pt>
                <c:pt idx="12">
                  <c:v>-4.9625000000000002E-2</c:v>
                </c:pt>
                <c:pt idx="13">
                  <c:v>8.2500000000000021E-3</c:v>
                </c:pt>
                <c:pt idx="14">
                  <c:v>9.9999999999999992E-2</c:v>
                </c:pt>
                <c:pt idx="15">
                  <c:v>0.10262499999999999</c:v>
                </c:pt>
                <c:pt idx="16">
                  <c:v>5.2500000000000012E-2</c:v>
                </c:pt>
                <c:pt idx="17">
                  <c:v>6.0749999999999992E-2</c:v>
                </c:pt>
                <c:pt idx="18">
                  <c:v>-9.9999999999999863E-3</c:v>
                </c:pt>
                <c:pt idx="19">
                  <c:v>-3.4749999999999989E-2</c:v>
                </c:pt>
                <c:pt idx="20">
                  <c:v>1.2499999999999955E-3</c:v>
                </c:pt>
                <c:pt idx="21">
                  <c:v>-4.2999999999999997E-2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C-418E-9EC5-3121A24F1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401488"/>
        <c:axId val="939356448"/>
      </c:scatterChart>
      <c:valAx>
        <c:axId val="91040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448"/>
        <c:crosses val="autoZero"/>
        <c:crossBetween val="midCat"/>
      </c:valAx>
      <c:valAx>
        <c:axId val="9393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0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972637795275589"/>
                  <c:y val="7.205052493438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curveVSdistance!$B$164:$B$186</c:f>
              <c:numCache>
                <c:formatCode>General</c:formatCode>
                <c:ptCount val="2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</c:numCache>
            </c:numRef>
          </c:xVal>
          <c:yVal>
            <c:numRef>
              <c:f>curveVSdistance!$C$164:$C$186</c:f>
              <c:numCache>
                <c:formatCode>General</c:formatCode>
                <c:ptCount val="23"/>
                <c:pt idx="0">
                  <c:v>5.2374999999999991E-2</c:v>
                </c:pt>
                <c:pt idx="1">
                  <c:v>5.3999999999999979E-2</c:v>
                </c:pt>
                <c:pt idx="2">
                  <c:v>-0.16625000000000001</c:v>
                </c:pt>
                <c:pt idx="3">
                  <c:v>-3.5250000000000004E-2</c:v>
                </c:pt>
                <c:pt idx="4">
                  <c:v>-7.8749999999999879E-3</c:v>
                </c:pt>
                <c:pt idx="5">
                  <c:v>0.10812500000000003</c:v>
                </c:pt>
                <c:pt idx="6">
                  <c:v>3.2125000000000001E-2</c:v>
                </c:pt>
                <c:pt idx="7">
                  <c:v>0.15687500000000001</c:v>
                </c:pt>
                <c:pt idx="8">
                  <c:v>0.11099999999999999</c:v>
                </c:pt>
                <c:pt idx="9">
                  <c:v>-3.5000000000000144E-3</c:v>
                </c:pt>
                <c:pt idx="10">
                  <c:v>5.5874999999999987E-2</c:v>
                </c:pt>
                <c:pt idx="11">
                  <c:v>-0.12574999999999997</c:v>
                </c:pt>
                <c:pt idx="12">
                  <c:v>-6.2375000000000028E-2</c:v>
                </c:pt>
                <c:pt idx="13">
                  <c:v>1.8624999999999982E-2</c:v>
                </c:pt>
                <c:pt idx="14">
                  <c:v>1.3750000000000017E-2</c:v>
                </c:pt>
                <c:pt idx="15">
                  <c:v>3.0749999999999965E-2</c:v>
                </c:pt>
                <c:pt idx="16">
                  <c:v>-2.437499999999999E-2</c:v>
                </c:pt>
                <c:pt idx="17">
                  <c:v>-0.11112499999999996</c:v>
                </c:pt>
                <c:pt idx="18">
                  <c:v>-0.191</c:v>
                </c:pt>
                <c:pt idx="19">
                  <c:v>-0.21325</c:v>
                </c:pt>
                <c:pt idx="20">
                  <c:v>-0.17674999999999999</c:v>
                </c:pt>
                <c:pt idx="21">
                  <c:v>-0.16175</c:v>
                </c:pt>
                <c:pt idx="22">
                  <c:v>-3.7375000000000005E-2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E-41E2-840C-EFB772817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80496"/>
        <c:axId val="902562352"/>
      </c:scatterChart>
      <c:valAx>
        <c:axId val="82908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562352"/>
        <c:crosses val="autoZero"/>
        <c:crossBetween val="midCat"/>
      </c:valAx>
      <c:valAx>
        <c:axId val="9025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8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94925634295712E-2"/>
          <c:y val="0.16708333333333336"/>
          <c:w val="0.85723840769903759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7069116360453"/>
                  <c:y val="0.14536453776611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curveVSdistance!$B$187:$B$213</c:f>
              <c:numCache>
                <c:formatCode>General</c:formatCode>
                <c:ptCount val="2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</c:numCache>
            </c:numRef>
          </c:xVal>
          <c:yVal>
            <c:numRef>
              <c:f>curveVSdistance!$C$187:$C$213</c:f>
              <c:numCache>
                <c:formatCode>General</c:formatCode>
                <c:ptCount val="27"/>
                <c:pt idx="0">
                  <c:v>-2.1249999999999991E-2</c:v>
                </c:pt>
                <c:pt idx="1">
                  <c:v>2.0000000000000018E-3</c:v>
                </c:pt>
                <c:pt idx="2">
                  <c:v>-3.2125000000000001E-2</c:v>
                </c:pt>
                <c:pt idx="3">
                  <c:v>-8.6999999999999994E-2</c:v>
                </c:pt>
                <c:pt idx="4">
                  <c:v>2.6124999999999999E-2</c:v>
                </c:pt>
                <c:pt idx="5">
                  <c:v>-3.3749999999999948E-3</c:v>
                </c:pt>
                <c:pt idx="6">
                  <c:v>5.0249999999999996E-2</c:v>
                </c:pt>
                <c:pt idx="7">
                  <c:v>5.8249999999999982E-2</c:v>
                </c:pt>
                <c:pt idx="8">
                  <c:v>-4.2750000000000024E-2</c:v>
                </c:pt>
                <c:pt idx="9">
                  <c:v>5.8624999999999969E-2</c:v>
                </c:pt>
                <c:pt idx="10">
                  <c:v>9.375E-2</c:v>
                </c:pt>
                <c:pt idx="11">
                  <c:v>1.3375000000000003E-2</c:v>
                </c:pt>
                <c:pt idx="12">
                  <c:v>3.5625000000000018E-2</c:v>
                </c:pt>
                <c:pt idx="13">
                  <c:v>-0.10024999999999999</c:v>
                </c:pt>
                <c:pt idx="14">
                  <c:v>-0.10637500000000003</c:v>
                </c:pt>
                <c:pt idx="15">
                  <c:v>-8.750000000000036E-4</c:v>
                </c:pt>
                <c:pt idx="16">
                  <c:v>-1.5874999999999993E-2</c:v>
                </c:pt>
                <c:pt idx="17">
                  <c:v>-0.106375</c:v>
                </c:pt>
                <c:pt idx="18">
                  <c:v>-0.13937499999999997</c:v>
                </c:pt>
                <c:pt idx="19">
                  <c:v>-9.9499999999999991E-2</c:v>
                </c:pt>
                <c:pt idx="20">
                  <c:v>-8.9750000000000024E-2</c:v>
                </c:pt>
                <c:pt idx="21">
                  <c:v>7.0000000000000062E-3</c:v>
                </c:pt>
                <c:pt idx="22">
                  <c:v>-6.0000000000000053E-3</c:v>
                </c:pt>
                <c:pt idx="23">
                  <c:v>-5.0374999999999989E-2</c:v>
                </c:pt>
                <c:pt idx="24">
                  <c:v>-0.06</c:v>
                </c:pt>
                <c:pt idx="25">
                  <c:v>-3.750000000000031E-4</c:v>
                </c:pt>
                <c:pt idx="26">
                  <c:v>-2.7874999999999994E-2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6-47B7-8A2C-1091C32F6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93728"/>
        <c:axId val="940477824"/>
      </c:scatterChart>
      <c:valAx>
        <c:axId val="9391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77824"/>
        <c:crosses val="autoZero"/>
        <c:crossBetween val="midCat"/>
      </c:valAx>
      <c:valAx>
        <c:axId val="9404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484689413823273E-3"/>
                  <c:y val="0.10682450170882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curveVSdistance!$B$215:$B$232</c:f>
              <c:numCache>
                <c:formatCode>General</c:formatCode>
                <c:ptCount val="1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</c:numCache>
            </c:numRef>
          </c:xVal>
          <c:yVal>
            <c:numRef>
              <c:f>curveVSdistance!$C$215:$C$232</c:f>
              <c:numCache>
                <c:formatCode>General</c:formatCode>
                <c:ptCount val="18"/>
                <c:pt idx="0">
                  <c:v>8.8250000000000009E-2</c:v>
                </c:pt>
                <c:pt idx="1">
                  <c:v>0.12925</c:v>
                </c:pt>
                <c:pt idx="2">
                  <c:v>-1.7375000000000008E-2</c:v>
                </c:pt>
                <c:pt idx="3">
                  <c:v>0.11274999999999999</c:v>
                </c:pt>
                <c:pt idx="4">
                  <c:v>4.7999999999999973E-2</c:v>
                </c:pt>
                <c:pt idx="5">
                  <c:v>6.1624999999999999E-2</c:v>
                </c:pt>
                <c:pt idx="6">
                  <c:v>-0.24787499999999998</c:v>
                </c:pt>
                <c:pt idx="7">
                  <c:v>-0.23725000000000002</c:v>
                </c:pt>
                <c:pt idx="8">
                  <c:v>-0.13324999999999998</c:v>
                </c:pt>
                <c:pt idx="9">
                  <c:v>-0.18312499999999998</c:v>
                </c:pt>
                <c:pt idx="10">
                  <c:v>-3.500000000000001E-2</c:v>
                </c:pt>
                <c:pt idx="11">
                  <c:v>4.1124999999999988E-2</c:v>
                </c:pt>
                <c:pt idx="12">
                  <c:v>1.9124999999999993E-2</c:v>
                </c:pt>
                <c:pt idx="13">
                  <c:v>1.5499999999999991E-2</c:v>
                </c:pt>
                <c:pt idx="14">
                  <c:v>-6.2124999999999986E-2</c:v>
                </c:pt>
                <c:pt idx="15">
                  <c:v>-9.4E-2</c:v>
                </c:pt>
                <c:pt idx="16">
                  <c:v>-7.0499999999999993E-2</c:v>
                </c:pt>
                <c:pt idx="17">
                  <c:v>-7.1624999999999994E-2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0-43E3-8B31-DA92C200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93184"/>
        <c:axId val="904841088"/>
      </c:scatterChart>
      <c:valAx>
        <c:axId val="9007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41088"/>
        <c:crosses val="autoZero"/>
        <c:crossBetween val="midCat"/>
      </c:valAx>
      <c:valAx>
        <c:axId val="9048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9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297656</xdr:colOff>
      <xdr:row>70</xdr:row>
      <xdr:rowOff>156368</xdr:rowOff>
    </xdr:from>
    <xdr:to>
      <xdr:col>16</xdr:col>
      <xdr:colOff>1321593</xdr:colOff>
      <xdr:row>85</xdr:row>
      <xdr:rowOff>42068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BA041-AD40-FDD0-5301-D6FD76C30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68</xdr:row>
      <xdr:rowOff>176212</xdr:rowOff>
    </xdr:from>
    <xdr:to>
      <xdr:col>12</xdr:col>
      <xdr:colOff>214312</xdr:colOff>
      <xdr:row>83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639BC-433A-AE1E-C2C6-CAE18A480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414337</xdr:colOff>
      <xdr:row>82</xdr:row>
      <xdr:rowOff>33337</xdr:rowOff>
    </xdr:from>
    <xdr:to>
      <xdr:col>12</xdr:col>
      <xdr:colOff>109537</xdr:colOff>
      <xdr:row>96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CBB729-D86B-47CF-1818-11F5C2043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452437</xdr:colOff>
      <xdr:row>96</xdr:row>
      <xdr:rowOff>128587</xdr:rowOff>
    </xdr:from>
    <xdr:to>
      <xdr:col>13</xdr:col>
      <xdr:colOff>147637</xdr:colOff>
      <xdr:row>111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94D149-5D3F-CAD6-7AEE-4627DB6C2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452437</xdr:colOff>
      <xdr:row>119</xdr:row>
      <xdr:rowOff>128587</xdr:rowOff>
    </xdr:from>
    <xdr:to>
      <xdr:col>13</xdr:col>
      <xdr:colOff>147637</xdr:colOff>
      <xdr:row>134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A17B50-41F9-CB87-09A6-12860B5EC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452437</xdr:colOff>
      <xdr:row>145</xdr:row>
      <xdr:rowOff>100012</xdr:rowOff>
    </xdr:from>
    <xdr:to>
      <xdr:col>13</xdr:col>
      <xdr:colOff>147637</xdr:colOff>
      <xdr:row>159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07F730-787A-ACE2-0BFD-DF4EE6656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452437</xdr:colOff>
      <xdr:row>166</xdr:row>
      <xdr:rowOff>109537</xdr:rowOff>
    </xdr:from>
    <xdr:to>
      <xdr:col>13</xdr:col>
      <xdr:colOff>147637</xdr:colOff>
      <xdr:row>180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E8B020-C568-3919-C686-05EB7A5A0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452437</xdr:colOff>
      <xdr:row>198</xdr:row>
      <xdr:rowOff>176212</xdr:rowOff>
    </xdr:from>
    <xdr:to>
      <xdr:col>13</xdr:col>
      <xdr:colOff>147637</xdr:colOff>
      <xdr:row>213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95A168-2991-2AB5-5D67-75237DE6F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452437</xdr:colOff>
      <xdr:row>217</xdr:row>
      <xdr:rowOff>4762</xdr:rowOff>
    </xdr:from>
    <xdr:to>
      <xdr:col>13</xdr:col>
      <xdr:colOff>147637</xdr:colOff>
      <xdr:row>231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989685-A90F-B475-974A-130AE6C60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261937</xdr:colOff>
      <xdr:row>229</xdr:row>
      <xdr:rowOff>80962</xdr:rowOff>
    </xdr:from>
    <xdr:to>
      <xdr:col>10</xdr:col>
      <xdr:colOff>566737</xdr:colOff>
      <xdr:row>243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DCC1C5-8174-20FB-8A8F-986EEB1D5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471487</xdr:colOff>
      <xdr:row>234</xdr:row>
      <xdr:rowOff>119062</xdr:rowOff>
    </xdr:from>
    <xdr:to>
      <xdr:col>19</xdr:col>
      <xdr:colOff>166687</xdr:colOff>
      <xdr:row>249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9E67DE-65E4-7BA3-7F50-920D9163D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223837</xdr:colOff>
      <xdr:row>246</xdr:row>
      <xdr:rowOff>52387</xdr:rowOff>
    </xdr:from>
    <xdr:to>
      <xdr:col>11</xdr:col>
      <xdr:colOff>528637</xdr:colOff>
      <xdr:row>260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6729FB-98B7-3293-D387-BC080A4C9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176212</xdr:colOff>
      <xdr:row>250</xdr:row>
      <xdr:rowOff>4762</xdr:rowOff>
    </xdr:from>
    <xdr:to>
      <xdr:col>19</xdr:col>
      <xdr:colOff>481012</xdr:colOff>
      <xdr:row>264</xdr:row>
      <xdr:rowOff>80962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A1F57F0-C029-6401-7C71-FC1276254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452437</xdr:colOff>
      <xdr:row>264</xdr:row>
      <xdr:rowOff>176212</xdr:rowOff>
    </xdr:from>
    <xdr:to>
      <xdr:col>13</xdr:col>
      <xdr:colOff>147637</xdr:colOff>
      <xdr:row>279</xdr:row>
      <xdr:rowOff>61912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D4B1A8C-DC6E-E10B-699F-A4A4772DA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214312</xdr:colOff>
      <xdr:row>280</xdr:row>
      <xdr:rowOff>157162</xdr:rowOff>
    </xdr:from>
    <xdr:to>
      <xdr:col>11</xdr:col>
      <xdr:colOff>519112</xdr:colOff>
      <xdr:row>295</xdr:row>
      <xdr:rowOff>42862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B81619-9322-4AAC-90D7-8C9BB40AB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271462</xdr:colOff>
      <xdr:row>292</xdr:row>
      <xdr:rowOff>176212</xdr:rowOff>
    </xdr:from>
    <xdr:to>
      <xdr:col>16</xdr:col>
      <xdr:colOff>576262</xdr:colOff>
      <xdr:row>307</xdr:row>
      <xdr:rowOff>61912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CC20664-A8E0-1507-9E6B-EB3977FD7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452437</xdr:colOff>
      <xdr:row>312</xdr:row>
      <xdr:rowOff>4762</xdr:rowOff>
    </xdr:from>
    <xdr:to>
      <xdr:col>13</xdr:col>
      <xdr:colOff>147637</xdr:colOff>
      <xdr:row>326</xdr:row>
      <xdr:rowOff>80962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D316BE1-076E-DBD1-FFB8-BB39FBB94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21387</xdr:colOff>
      <xdr:row>317</xdr:row>
      <xdr:rowOff>183139</xdr:rowOff>
    </xdr:from>
    <xdr:to>
      <xdr:col>11</xdr:col>
      <xdr:colOff>322723</xdr:colOff>
      <xdr:row>332</xdr:row>
      <xdr:rowOff>68839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9865173-4C2C-654F-11A1-32A0EED15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96202</xdr:colOff>
      <xdr:row>327</xdr:row>
      <xdr:rowOff>103304</xdr:rowOff>
    </xdr:from>
    <xdr:to>
      <xdr:col>20</xdr:col>
      <xdr:colOff>397538</xdr:colOff>
      <xdr:row>341</xdr:row>
      <xdr:rowOff>181408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0C38A45-CC3E-A896-9CBA-7ACCA7BCA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452437</xdr:colOff>
      <xdr:row>334</xdr:row>
      <xdr:rowOff>166687</xdr:rowOff>
    </xdr:from>
    <xdr:to>
      <xdr:col>13</xdr:col>
      <xdr:colOff>147637</xdr:colOff>
      <xdr:row>349</xdr:row>
      <xdr:rowOff>52387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491F3DE-0D13-BFF8-8E66-7258E8FD4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376237</xdr:colOff>
      <xdr:row>347</xdr:row>
      <xdr:rowOff>138112</xdr:rowOff>
    </xdr:from>
    <xdr:to>
      <xdr:col>18</xdr:col>
      <xdr:colOff>71437</xdr:colOff>
      <xdr:row>362</xdr:row>
      <xdr:rowOff>23812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180306F-C0D2-EF07-5B60-5230B4D09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528"/>
  <sheetViews>
    <sheetView zoomScale="120" zoomScaleNormal="120" workbookViewId="0">
      <pane xSplit="1" topLeftCell="L1" activePane="topRight" state="frozen"/>
      <selection pane="topRight" activeCell="Q14" sqref="Q14"/>
    </sheetView>
  </sheetViews>
  <sheetFormatPr defaultColWidth="8.6640625" defaultRowHeight="14.4"/>
  <cols>
    <col min="1" max="1" width="12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10.33203125" style="15" customWidth="1"/>
    <col min="14" max="14" width="22.88671875" bestFit="1" customWidth="1"/>
    <col min="15" max="15" width="8.6640625" style="9"/>
    <col min="16" max="16" width="21.6640625" style="13" customWidth="1"/>
    <col min="17" max="17" width="21.44140625" customWidth="1"/>
    <col min="18" max="18" width="22.6640625" style="15" customWidth="1"/>
    <col min="19" max="19" width="21.6640625" style="13" customWidth="1"/>
    <col min="20" max="20" width="21.44140625" customWidth="1"/>
    <col min="21" max="21" width="8.664062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 t="s">
        <v>432</v>
      </c>
      <c r="O1" s="26" t="s">
        <v>51</v>
      </c>
      <c r="P1" s="47" t="s">
        <v>166</v>
      </c>
      <c r="Q1" s="48"/>
      <c r="R1" s="49"/>
      <c r="S1" s="47" t="s">
        <v>167</v>
      </c>
      <c r="T1" s="48"/>
      <c r="U1" s="49"/>
    </row>
    <row r="2" spans="1:257">
      <c r="A2" t="s">
        <v>51</v>
      </c>
      <c r="B2" s="13" t="s">
        <v>168</v>
      </c>
      <c r="C2" t="s">
        <v>169</v>
      </c>
      <c r="D2" t="s">
        <v>170</v>
      </c>
      <c r="E2" s="13" t="s">
        <v>168</v>
      </c>
      <c r="F2" t="s">
        <v>169</v>
      </c>
      <c r="G2" t="s">
        <v>170</v>
      </c>
      <c r="H2" s="13" t="s">
        <v>168</v>
      </c>
      <c r="I2" t="s">
        <v>169</v>
      </c>
      <c r="J2" s="15" t="s">
        <v>170</v>
      </c>
      <c r="K2" s="13" t="s">
        <v>168</v>
      </c>
      <c r="L2" t="s">
        <v>169</v>
      </c>
      <c r="M2" s="15" t="s">
        <v>170</v>
      </c>
      <c r="P2" s="13" t="s">
        <v>168</v>
      </c>
      <c r="Q2" t="s">
        <v>169</v>
      </c>
      <c r="R2" s="15" t="s">
        <v>170</v>
      </c>
      <c r="S2" s="13" t="s">
        <v>168</v>
      </c>
      <c r="T2" t="s">
        <v>169</v>
      </c>
      <c r="U2" s="15" t="s">
        <v>170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N3">
        <v>20</v>
      </c>
      <c r="O3" s="9">
        <v>3.1</v>
      </c>
      <c r="P3" s="13">
        <v>8.7899999999999991</v>
      </c>
      <c r="Q3">
        <v>91.26</v>
      </c>
      <c r="R3" s="15">
        <f>(Q3-P3)/channel_morph!J2</f>
        <v>1.0414193711327189</v>
      </c>
      <c r="S3" s="13">
        <f>Q3</f>
        <v>91.26</v>
      </c>
      <c r="T3">
        <f>18.09</f>
        <v>18.09</v>
      </c>
      <c r="U3" s="15">
        <f>(T3-S3)/channel_morph!K2</f>
        <v>-1.2484217710288348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N4">
        <v>40</v>
      </c>
      <c r="O4" s="9">
        <v>3.2</v>
      </c>
      <c r="P4" s="13">
        <v>56.21</v>
      </c>
      <c r="Q4">
        <v>130.34</v>
      </c>
      <c r="R4" s="15">
        <f>(Q4-P4)/channel_morph!J3</f>
        <v>1.1243743364174121</v>
      </c>
      <c r="S4" s="13">
        <f t="shared" ref="S4:S10" si="4">Q4</f>
        <v>130.34</v>
      </c>
      <c r="T4">
        <v>2.57</v>
      </c>
      <c r="U4" s="15">
        <f>(T4-S4)/channel_morph!K3</f>
        <v>-0.27154485367564241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73" si="5">(L5-K5)/80</f>
        <v>-0.31825000000000003</v>
      </c>
      <c r="N5">
        <v>60</v>
      </c>
      <c r="O5" s="9">
        <v>3.3</v>
      </c>
      <c r="P5" s="13">
        <v>43.44</v>
      </c>
      <c r="Q5">
        <v>174.69</v>
      </c>
      <c r="R5" s="15">
        <f>(Q5-P5)/channel_morph!J4</f>
        <v>1.3420245398773007</v>
      </c>
      <c r="S5" s="13">
        <f t="shared" si="4"/>
        <v>174.69</v>
      </c>
      <c r="T5">
        <v>157.12</v>
      </c>
      <c r="U5" s="15">
        <f>(T5-S5)/channel_morph!K4</f>
        <v>-7.6258680555555527E-2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N6">
        <v>80</v>
      </c>
      <c r="O6" s="9">
        <v>3.4</v>
      </c>
      <c r="P6" s="13">
        <v>33.53</v>
      </c>
      <c r="Q6">
        <v>34.07</v>
      </c>
      <c r="R6" s="15">
        <f>(Q6-P6)/channel_morph!J5</f>
        <v>9.0030010003334313E-3</v>
      </c>
      <c r="S6" s="13">
        <f t="shared" si="4"/>
        <v>34.07</v>
      </c>
      <c r="T6">
        <v>46.73</v>
      </c>
      <c r="U6" s="15">
        <f>(T6-S6)/channel_morph!K5</f>
        <v>0.11792101341281666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>
        <v>100</v>
      </c>
      <c r="O7" s="9">
        <v>1.1000000000000001</v>
      </c>
      <c r="P7" s="13">
        <v>31.25</v>
      </c>
      <c r="Q7">
        <v>15.79</v>
      </c>
      <c r="R7" s="15">
        <f>(Q7-P7)/channel_morph!J6</f>
        <v>-0.17170146601510439</v>
      </c>
      <c r="S7" s="13">
        <f t="shared" si="4"/>
        <v>15.79</v>
      </c>
      <c r="T7">
        <v>3.3</v>
      </c>
      <c r="U7">
        <f>(T7-S7)/channel_morph!K6</f>
        <v>-8.4632063965306939E-2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N8" s="13">
        <v>20</v>
      </c>
      <c r="O8" s="9">
        <v>1.2</v>
      </c>
      <c r="P8" s="13">
        <v>33.369999999999997</v>
      </c>
      <c r="Q8">
        <v>65.680000000000007</v>
      </c>
      <c r="R8" s="15" t="e">
        <f>(Q8-P8)/channel_morph!#REF!</f>
        <v>#REF!</v>
      </c>
      <c r="S8" s="13">
        <f t="shared" si="4"/>
        <v>65.680000000000007</v>
      </c>
      <c r="T8">
        <v>6.85</v>
      </c>
      <c r="U8" s="15" t="e">
        <f>(T8-S8)/channel_morph!#REF!</f>
        <v>#REF!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N9" s="13">
        <v>40</v>
      </c>
      <c r="O9" s="9">
        <v>1.3</v>
      </c>
      <c r="P9" s="13">
        <v>7.45</v>
      </c>
      <c r="Q9">
        <v>79.34</v>
      </c>
      <c r="R9" s="15">
        <f>(Q9-P9)/channel_morph!J7</f>
        <v>0.37058611268622094</v>
      </c>
      <c r="S9" s="13">
        <f t="shared" si="4"/>
        <v>79.34</v>
      </c>
      <c r="T9">
        <v>11.68</v>
      </c>
      <c r="U9" s="15">
        <f>(T9-S9)/channel_morph!K7</f>
        <v>-0.57853783668234282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N10" s="13">
        <v>60</v>
      </c>
      <c r="O10" s="8">
        <v>1.4</v>
      </c>
      <c r="P10" s="4">
        <v>78.7</v>
      </c>
      <c r="Q10" s="5">
        <v>21.01</v>
      </c>
      <c r="R10" s="6">
        <f>(Q10-P10)/channel_morph!J8</f>
        <v>-0.39508286536090942</v>
      </c>
      <c r="S10" s="4">
        <f t="shared" si="4"/>
        <v>21.01</v>
      </c>
      <c r="T10" s="5">
        <v>2.94</v>
      </c>
      <c r="U10" s="6">
        <f>(T10-S10)/channel_morph!K8</f>
        <v>-0.10927012154562496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N11" s="13">
        <v>80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N12" s="13">
        <v>100</v>
      </c>
      <c r="O12"/>
      <c r="P12" s="50"/>
      <c r="Q12" s="50"/>
      <c r="R12" s="50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N13" s="13">
        <v>120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N14" s="13">
        <v>140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N15" s="13">
        <v>160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N16" s="13">
        <v>180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N17" s="13">
        <v>200</v>
      </c>
      <c r="O17"/>
      <c r="P17"/>
      <c r="R17"/>
      <c r="S17"/>
      <c r="U17"/>
    </row>
    <row r="18" spans="1:114" ht="16.2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>
        <v>220</v>
      </c>
      <c r="O18"/>
      <c r="P18"/>
      <c r="R18"/>
      <c r="S18"/>
      <c r="U18"/>
    </row>
    <row r="19" spans="1:114" s="5" customFormat="1" ht="16.2" customHeight="1">
      <c r="A19" s="18" t="s">
        <v>174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>
        <v>240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>
        <v>20</v>
      </c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N21" s="13">
        <v>40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N22" s="13">
        <v>60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N23" s="13">
        <v>80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N24" s="13">
        <v>100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N25" s="13">
        <v>120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N26" s="13">
        <v>140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N27" s="13">
        <v>160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N28" s="13">
        <v>180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N29" s="13">
        <v>200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N30" s="13">
        <v>220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N31" s="13">
        <v>240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N32" s="13">
        <v>260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N33" s="13">
        <v>280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>
        <v>300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125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N35" s="13">
        <v>20</v>
      </c>
      <c r="O35"/>
      <c r="P35"/>
      <c r="R35"/>
      <c r="S35"/>
      <c r="U35"/>
    </row>
    <row r="36" spans="1:257">
      <c r="A36" s="16" t="s">
        <v>126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N36" s="13">
        <v>40</v>
      </c>
      <c r="O36"/>
      <c r="P36"/>
      <c r="R36"/>
      <c r="S36"/>
      <c r="U36"/>
    </row>
    <row r="37" spans="1:257">
      <c r="A37" s="16" t="s">
        <v>127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N37" s="13">
        <v>60</v>
      </c>
      <c r="O37"/>
      <c r="P37"/>
      <c r="R37"/>
      <c r="S37"/>
      <c r="U37"/>
    </row>
    <row r="38" spans="1:257">
      <c r="A38" s="16" t="s">
        <v>128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N38" s="13">
        <v>80</v>
      </c>
      <c r="O38"/>
      <c r="P38"/>
      <c r="R38"/>
      <c r="S38"/>
      <c r="U38"/>
    </row>
    <row r="39" spans="1:257">
      <c r="A39" s="16" t="s">
        <v>129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N39" s="13">
        <v>100</v>
      </c>
      <c r="O39"/>
      <c r="P39"/>
      <c r="R39"/>
      <c r="S39"/>
      <c r="U39"/>
    </row>
    <row r="40" spans="1:257">
      <c r="A40" s="16" t="s">
        <v>130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N40" s="13">
        <v>120</v>
      </c>
      <c r="O40"/>
      <c r="P40"/>
      <c r="R40"/>
      <c r="S40"/>
      <c r="U40"/>
    </row>
    <row r="41" spans="1:257" s="5" customFormat="1">
      <c r="A41" s="18" t="s">
        <v>131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>
        <v>140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132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N42" s="13">
        <v>20</v>
      </c>
      <c r="O42"/>
      <c r="P42"/>
      <c r="R42"/>
      <c r="S42"/>
      <c r="U42"/>
    </row>
    <row r="43" spans="1:257">
      <c r="A43" s="16" t="s">
        <v>133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N43" s="13">
        <v>40</v>
      </c>
      <c r="O43"/>
      <c r="P43"/>
      <c r="R43"/>
      <c r="S43"/>
      <c r="U43"/>
    </row>
    <row r="44" spans="1:257">
      <c r="A44" s="16" t="s">
        <v>134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N44" s="13">
        <v>60</v>
      </c>
      <c r="O44"/>
      <c r="P44"/>
      <c r="R44"/>
      <c r="S44"/>
      <c r="U44"/>
    </row>
    <row r="45" spans="1:257">
      <c r="A45" s="16" t="s">
        <v>135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N45" s="13">
        <v>80</v>
      </c>
      <c r="O45"/>
      <c r="P45"/>
      <c r="R45"/>
      <c r="S45"/>
      <c r="U45"/>
    </row>
    <row r="46" spans="1:257">
      <c r="A46" s="16" t="s">
        <v>136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N46" s="13">
        <v>100</v>
      </c>
      <c r="O46"/>
      <c r="P46"/>
      <c r="R46"/>
      <c r="S46"/>
      <c r="U46"/>
    </row>
    <row r="47" spans="1:257">
      <c r="A47" s="16" t="s">
        <v>137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N47" s="13">
        <v>120</v>
      </c>
      <c r="O47"/>
      <c r="P47"/>
      <c r="R47"/>
      <c r="S47"/>
      <c r="U47"/>
    </row>
    <row r="48" spans="1:257" s="5" customFormat="1">
      <c r="A48" s="18" t="s">
        <v>138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>
        <v>140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46" t="s">
        <v>139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5"/>
        <v>0.104625</v>
      </c>
      <c r="N49" s="13">
        <v>20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319</v>
      </c>
      <c r="J50"/>
      <c r="K50" s="13">
        <f>K49</f>
        <v>10.78</v>
      </c>
      <c r="L50">
        <f>K54</f>
        <v>8.58</v>
      </c>
      <c r="M50" s="15">
        <f t="shared" si="5"/>
        <v>-2.749999999999999E-2</v>
      </c>
      <c r="N50" s="13">
        <v>40</v>
      </c>
      <c r="O50"/>
      <c r="P50"/>
      <c r="R50"/>
      <c r="S50"/>
      <c r="U50"/>
    </row>
    <row r="51" spans="1:257">
      <c r="A51" s="16" t="s">
        <v>320</v>
      </c>
      <c r="J51"/>
      <c r="K51" s="13">
        <v>28.95</v>
      </c>
      <c r="L51">
        <v>2.17</v>
      </c>
      <c r="M51" s="15">
        <f t="shared" si="5"/>
        <v>-0.33474999999999999</v>
      </c>
      <c r="N51" s="13">
        <v>60</v>
      </c>
      <c r="O51"/>
      <c r="P51"/>
      <c r="R51"/>
      <c r="S51"/>
      <c r="U51"/>
    </row>
    <row r="52" spans="1:257">
      <c r="A52" s="16" t="s">
        <v>321</v>
      </c>
      <c r="J52"/>
      <c r="K52" s="13">
        <v>25.59</v>
      </c>
      <c r="L52">
        <v>2.17</v>
      </c>
      <c r="M52" s="15">
        <f t="shared" si="5"/>
        <v>-0.29275000000000001</v>
      </c>
      <c r="N52" s="13">
        <v>80</v>
      </c>
      <c r="O52"/>
      <c r="P52"/>
      <c r="R52"/>
      <c r="S52"/>
      <c r="U52"/>
    </row>
    <row r="53" spans="1:257">
      <c r="A53" s="16" t="s">
        <v>322</v>
      </c>
      <c r="J53"/>
      <c r="K53" s="13">
        <v>19.149999999999999</v>
      </c>
      <c r="L53">
        <v>2.17</v>
      </c>
      <c r="M53" s="15">
        <f t="shared" si="5"/>
        <v>-0.21224999999999997</v>
      </c>
      <c r="N53" s="13">
        <v>100</v>
      </c>
      <c r="O53"/>
      <c r="P53"/>
      <c r="R53"/>
      <c r="S53"/>
      <c r="U53"/>
    </row>
    <row r="54" spans="1:257">
      <c r="A54" s="18" t="s">
        <v>323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">
        <f t="shared" si="5"/>
        <v>-8.0125000000000002E-2</v>
      </c>
      <c r="N54" s="13">
        <v>120</v>
      </c>
      <c r="O54"/>
      <c r="P54"/>
      <c r="R54"/>
      <c r="S54"/>
      <c r="U54"/>
    </row>
    <row r="55" spans="1:257">
      <c r="A55" s="16" t="s">
        <v>140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5"/>
        <v>0.65187499999999998</v>
      </c>
      <c r="N55" s="13">
        <v>20</v>
      </c>
      <c r="O55"/>
      <c r="P55"/>
      <c r="R55"/>
      <c r="S55"/>
      <c r="U55"/>
    </row>
    <row r="56" spans="1:257">
      <c r="A56" t="s">
        <v>141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8">H58</f>
        <v>59.01</v>
      </c>
      <c r="J56">
        <f t="shared" si="2"/>
        <v>-2.2750000000000093E-2</v>
      </c>
      <c r="K56" s="13">
        <f>H55</f>
        <v>6.86</v>
      </c>
      <c r="L56">
        <f t="shared" ref="L56:L67" si="19">I57</f>
        <v>27.68</v>
      </c>
      <c r="M56" s="15">
        <f t="shared" si="5"/>
        <v>0.26024999999999998</v>
      </c>
      <c r="N56" s="13">
        <v>40</v>
      </c>
      <c r="O56"/>
      <c r="P56"/>
      <c r="R56"/>
      <c r="S56"/>
      <c r="U56"/>
    </row>
    <row r="57" spans="1:257">
      <c r="A57" t="s">
        <v>142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8"/>
        <v>27.68</v>
      </c>
      <c r="J57">
        <f t="shared" si="2"/>
        <v>-1.1877499999999999</v>
      </c>
      <c r="K57" s="13">
        <f t="shared" ref="K57:K68" si="20">H56</f>
        <v>59.92</v>
      </c>
      <c r="L57">
        <f t="shared" si="19"/>
        <v>36.479999999999997</v>
      </c>
      <c r="M57" s="15">
        <f t="shared" si="5"/>
        <v>-0.29300000000000004</v>
      </c>
      <c r="N57" s="13">
        <v>60</v>
      </c>
      <c r="O57"/>
      <c r="P57"/>
      <c r="R57"/>
      <c r="S57"/>
      <c r="U57"/>
    </row>
    <row r="58" spans="1:257">
      <c r="A58" t="s">
        <v>143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8"/>
        <v>36.479999999999997</v>
      </c>
      <c r="J58">
        <f t="shared" si="2"/>
        <v>-0.56325000000000003</v>
      </c>
      <c r="K58" s="13">
        <f t="shared" si="20"/>
        <v>75.19</v>
      </c>
      <c r="L58">
        <f t="shared" si="19"/>
        <v>62.19</v>
      </c>
      <c r="M58" s="15">
        <f t="shared" si="5"/>
        <v>-0.16250000000000001</v>
      </c>
      <c r="N58" s="13">
        <v>80</v>
      </c>
      <c r="O58"/>
      <c r="P58"/>
      <c r="R58"/>
      <c r="S58"/>
      <c r="U58"/>
    </row>
    <row r="59" spans="1:257">
      <c r="A59" t="s">
        <v>144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8"/>
        <v>62.19</v>
      </c>
      <c r="J59">
        <f t="shared" si="2"/>
        <v>0.86274999999999991</v>
      </c>
      <c r="K59" s="13">
        <f t="shared" si="20"/>
        <v>59.01</v>
      </c>
      <c r="L59">
        <f t="shared" si="19"/>
        <v>64.91</v>
      </c>
      <c r="M59" s="15">
        <f t="shared" si="5"/>
        <v>7.3749999999999982E-2</v>
      </c>
      <c r="N59" s="13">
        <v>100</v>
      </c>
      <c r="O59"/>
      <c r="P59"/>
      <c r="R59"/>
      <c r="S59"/>
      <c r="U59"/>
    </row>
    <row r="60" spans="1:257">
      <c r="A60" t="s">
        <v>145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8"/>
        <v>64.91</v>
      </c>
      <c r="J60">
        <f t="shared" si="2"/>
        <v>0.71074999999999999</v>
      </c>
      <c r="K60" s="13">
        <f t="shared" si="20"/>
        <v>27.68</v>
      </c>
      <c r="L60">
        <f t="shared" si="19"/>
        <v>33.51</v>
      </c>
      <c r="M60" s="15">
        <f t="shared" si="5"/>
        <v>7.2874999999999981E-2</v>
      </c>
      <c r="N60" s="13">
        <v>120</v>
      </c>
      <c r="O60"/>
      <c r="P60"/>
      <c r="R60"/>
      <c r="S60"/>
      <c r="U60"/>
    </row>
    <row r="61" spans="1:257">
      <c r="A61" t="s">
        <v>146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8"/>
        <v>33.51</v>
      </c>
      <c r="J61">
        <f t="shared" si="2"/>
        <v>-0.71699999999999997</v>
      </c>
      <c r="K61" s="13">
        <f t="shared" si="20"/>
        <v>36.479999999999997</v>
      </c>
      <c r="L61">
        <f t="shared" si="19"/>
        <v>21.99</v>
      </c>
      <c r="M61" s="15">
        <f t="shared" si="5"/>
        <v>-0.18112499999999998</v>
      </c>
      <c r="N61" s="13">
        <v>140</v>
      </c>
      <c r="O61"/>
      <c r="P61"/>
      <c r="R61"/>
      <c r="S61"/>
      <c r="U61"/>
    </row>
    <row r="62" spans="1:257">
      <c r="A62" t="s">
        <v>147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8"/>
        <v>21.99</v>
      </c>
      <c r="J62">
        <f t="shared" si="2"/>
        <v>-1.073</v>
      </c>
      <c r="K62" s="13">
        <f t="shared" si="20"/>
        <v>62.19</v>
      </c>
      <c r="L62">
        <f t="shared" si="19"/>
        <v>29.91</v>
      </c>
      <c r="M62" s="15">
        <f t="shared" si="5"/>
        <v>-0.40350000000000003</v>
      </c>
      <c r="N62" s="13">
        <v>160</v>
      </c>
      <c r="O62"/>
      <c r="P62"/>
      <c r="R62"/>
      <c r="S62"/>
      <c r="U62"/>
    </row>
    <row r="63" spans="1:257">
      <c r="A63" t="s">
        <v>148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8"/>
        <v>29.91</v>
      </c>
      <c r="J63">
        <f t="shared" si="2"/>
        <v>-8.9999999999999941E-2</v>
      </c>
      <c r="K63" s="13">
        <f t="shared" si="20"/>
        <v>64.91</v>
      </c>
      <c r="L63">
        <f t="shared" si="19"/>
        <v>42.88</v>
      </c>
      <c r="M63" s="15">
        <f t="shared" si="5"/>
        <v>-0.27537499999999993</v>
      </c>
      <c r="N63" s="13">
        <v>180</v>
      </c>
      <c r="O63"/>
      <c r="P63"/>
      <c r="R63"/>
      <c r="S63"/>
      <c r="U63"/>
    </row>
    <row r="64" spans="1:257">
      <c r="A64" t="s">
        <v>149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8"/>
        <v>42.88</v>
      </c>
      <c r="J64">
        <f t="shared" si="2"/>
        <v>0.5222500000000001</v>
      </c>
      <c r="K64" s="13">
        <f t="shared" si="20"/>
        <v>33.51</v>
      </c>
      <c r="L64">
        <f t="shared" si="19"/>
        <v>40.11</v>
      </c>
      <c r="M64" s="15">
        <f t="shared" si="5"/>
        <v>8.2500000000000018E-2</v>
      </c>
      <c r="N64" s="13">
        <v>200</v>
      </c>
      <c r="O64"/>
      <c r="P64"/>
      <c r="R64"/>
      <c r="S64"/>
      <c r="U64"/>
    </row>
    <row r="65" spans="1:257">
      <c r="A65" t="s">
        <v>150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8"/>
        <v>40.11</v>
      </c>
      <c r="J65">
        <f t="shared" si="2"/>
        <v>0.255</v>
      </c>
      <c r="K65" s="13">
        <f t="shared" si="20"/>
        <v>21.99</v>
      </c>
      <c r="L65">
        <f t="shared" si="19"/>
        <v>23.54</v>
      </c>
      <c r="M65" s="15">
        <f t="shared" si="5"/>
        <v>1.937500000000001E-2</v>
      </c>
      <c r="N65" s="13">
        <v>220</v>
      </c>
      <c r="O65"/>
      <c r="P65"/>
      <c r="R65"/>
      <c r="S65"/>
      <c r="U65"/>
    </row>
    <row r="66" spans="1:257">
      <c r="A66" t="s">
        <v>151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20"/>
        <v>29.91</v>
      </c>
      <c r="L66">
        <f t="shared" si="19"/>
        <v>13.73</v>
      </c>
      <c r="M66" s="15">
        <f t="shared" si="5"/>
        <v>-0.20224999999999999</v>
      </c>
      <c r="N66" s="13">
        <v>240</v>
      </c>
      <c r="O66"/>
      <c r="P66"/>
      <c r="R66"/>
      <c r="S66"/>
      <c r="U66"/>
    </row>
    <row r="67" spans="1:257">
      <c r="A67" t="s">
        <v>152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20"/>
        <v>42.88</v>
      </c>
      <c r="L67">
        <f t="shared" si="19"/>
        <v>11.71</v>
      </c>
      <c r="M67" s="15">
        <f t="shared" si="5"/>
        <v>-0.389625</v>
      </c>
      <c r="N67" s="13">
        <v>260</v>
      </c>
      <c r="O67"/>
      <c r="P67"/>
      <c r="R67"/>
      <c r="S67"/>
      <c r="U67"/>
    </row>
    <row r="68" spans="1:257" s="5" customFormat="1">
      <c r="A68" s="5" t="s">
        <v>153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20"/>
        <v>40.11</v>
      </c>
      <c r="L68" s="5">
        <v>11.68</v>
      </c>
      <c r="M68" s="6">
        <f t="shared" si="5"/>
        <v>-0.355375</v>
      </c>
      <c r="N68" s="13">
        <v>280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154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21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5"/>
        <v>-0.83125000000000004</v>
      </c>
      <c r="N69" s="13">
        <v>20</v>
      </c>
      <c r="O69"/>
      <c r="P69"/>
      <c r="R69"/>
      <c r="S69"/>
      <c r="U69"/>
    </row>
    <row r="70" spans="1:257">
      <c r="A70" t="s">
        <v>155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21"/>
        <v>12.2</v>
      </c>
      <c r="J70" s="15">
        <f t="shared" si="2"/>
        <v>-0.70000000000000007</v>
      </c>
      <c r="K70" s="13">
        <f>H69</f>
        <v>78.7</v>
      </c>
      <c r="L70">
        <f t="shared" ref="L70:L77" si="22">I71</f>
        <v>24.18</v>
      </c>
      <c r="M70" s="15">
        <f t="shared" si="5"/>
        <v>-0.68149999999999999</v>
      </c>
      <c r="N70" s="13">
        <v>40</v>
      </c>
      <c r="O70"/>
      <c r="P70"/>
      <c r="R70"/>
      <c r="S70"/>
      <c r="U70"/>
    </row>
    <row r="71" spans="1:257">
      <c r="A71" t="s">
        <v>156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21"/>
        <v>24.18</v>
      </c>
      <c r="J71" s="15">
        <f t="shared" si="2"/>
        <v>0.14699999999999996</v>
      </c>
      <c r="K71" s="13">
        <f t="shared" ref="K71:K79" si="23">H70</f>
        <v>40.200000000000003</v>
      </c>
      <c r="L71">
        <f t="shared" si="22"/>
        <v>6.54</v>
      </c>
      <c r="M71" s="15">
        <f t="shared" si="5"/>
        <v>-0.42075000000000007</v>
      </c>
      <c r="N71" s="13">
        <v>60</v>
      </c>
      <c r="O71"/>
      <c r="P71"/>
      <c r="R71"/>
      <c r="S71"/>
      <c r="U71"/>
    </row>
    <row r="72" spans="1:257">
      <c r="A72" t="s">
        <v>157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21"/>
        <v>6.54</v>
      </c>
      <c r="J72" s="15">
        <f t="shared" si="2"/>
        <v>-0.14149999999999999</v>
      </c>
      <c r="K72" s="13">
        <f t="shared" si="23"/>
        <v>18.3</v>
      </c>
      <c r="L72">
        <f t="shared" si="22"/>
        <v>52.03</v>
      </c>
      <c r="M72" s="15">
        <f t="shared" si="5"/>
        <v>0.42162500000000003</v>
      </c>
      <c r="N72" s="13">
        <v>80</v>
      </c>
      <c r="O72"/>
      <c r="P72"/>
      <c r="R72"/>
      <c r="S72"/>
      <c r="U72"/>
    </row>
    <row r="73" spans="1:257">
      <c r="A73" t="s">
        <v>158</v>
      </c>
      <c r="B73" s="13">
        <v>18.329999999999998</v>
      </c>
      <c r="C73">
        <v>17.64</v>
      </c>
      <c r="D73">
        <f t="shared" ref="D73:D79" si="24">(C73-B73)/10</f>
        <v>-6.899999999999977E-2</v>
      </c>
      <c r="E73" s="13">
        <v>37.43</v>
      </c>
      <c r="F73">
        <v>68.7</v>
      </c>
      <c r="G73">
        <f t="shared" ref="G73:G79" si="25">(F73-E73)/20</f>
        <v>1.5635000000000001</v>
      </c>
      <c r="H73" s="13">
        <v>24.18</v>
      </c>
      <c r="I73">
        <f t="shared" si="21"/>
        <v>52.03</v>
      </c>
      <c r="J73" s="15">
        <f t="shared" ref="J73:J79" si="26">(I73-H73)/40</f>
        <v>0.69625000000000004</v>
      </c>
      <c r="K73" s="13">
        <f t="shared" si="23"/>
        <v>12.2</v>
      </c>
      <c r="L73">
        <f t="shared" si="22"/>
        <v>22.29</v>
      </c>
      <c r="M73" s="15">
        <f t="shared" si="5"/>
        <v>0.12612499999999999</v>
      </c>
      <c r="N73" s="13">
        <v>100</v>
      </c>
      <c r="O73"/>
      <c r="P73"/>
      <c r="R73"/>
      <c r="S73"/>
      <c r="U73"/>
    </row>
    <row r="74" spans="1:257">
      <c r="A74" t="s">
        <v>159</v>
      </c>
      <c r="B74" s="13">
        <v>21.07</v>
      </c>
      <c r="C74">
        <v>47.58</v>
      </c>
      <c r="D74">
        <f t="shared" si="24"/>
        <v>2.6509999999999998</v>
      </c>
      <c r="E74" s="13">
        <v>75.61</v>
      </c>
      <c r="F74">
        <v>22.23</v>
      </c>
      <c r="G74">
        <f t="shared" si="25"/>
        <v>-2.6689999999999996</v>
      </c>
      <c r="H74" s="13">
        <v>6.54</v>
      </c>
      <c r="I74">
        <f t="shared" si="21"/>
        <v>22.29</v>
      </c>
      <c r="J74" s="15">
        <f t="shared" si="26"/>
        <v>0.39374999999999999</v>
      </c>
      <c r="K74" s="13">
        <f t="shared" si="23"/>
        <v>24.18</v>
      </c>
      <c r="L74">
        <f t="shared" si="22"/>
        <v>58.84</v>
      </c>
      <c r="M74" s="15">
        <f t="shared" ref="M74:M198" si="27">(L74-K74)/80</f>
        <v>0.43325000000000002</v>
      </c>
      <c r="N74" s="13">
        <v>120</v>
      </c>
      <c r="O74"/>
      <c r="P74"/>
      <c r="R74"/>
      <c r="S74"/>
      <c r="U74"/>
    </row>
    <row r="75" spans="1:257">
      <c r="A75" t="s">
        <v>160</v>
      </c>
      <c r="B75" s="13">
        <v>8.2100000000000009</v>
      </c>
      <c r="C75">
        <v>32.08</v>
      </c>
      <c r="D75">
        <f t="shared" si="24"/>
        <v>2.3869999999999996</v>
      </c>
      <c r="E75" s="13">
        <v>32.11</v>
      </c>
      <c r="F75">
        <v>13.95</v>
      </c>
      <c r="G75">
        <f t="shared" si="25"/>
        <v>-0.90800000000000003</v>
      </c>
      <c r="H75" s="13">
        <v>52.03</v>
      </c>
      <c r="I75">
        <f t="shared" si="21"/>
        <v>58.84</v>
      </c>
      <c r="J75" s="15">
        <f t="shared" si="26"/>
        <v>0.17025000000000007</v>
      </c>
      <c r="K75" s="13">
        <f t="shared" si="23"/>
        <v>6.54</v>
      </c>
      <c r="L75">
        <f t="shared" si="22"/>
        <v>6.55</v>
      </c>
      <c r="M75" s="15">
        <f t="shared" si="27"/>
        <v>1.2499999999999735E-4</v>
      </c>
      <c r="N75" s="13">
        <v>140</v>
      </c>
      <c r="O75"/>
      <c r="P75"/>
      <c r="R75"/>
      <c r="S75"/>
      <c r="U75"/>
    </row>
    <row r="76" spans="1:257">
      <c r="A76" t="s">
        <v>161</v>
      </c>
      <c r="B76" s="13">
        <v>7.92</v>
      </c>
      <c r="C76">
        <v>5.3</v>
      </c>
      <c r="D76">
        <f t="shared" si="24"/>
        <v>-0.26200000000000001</v>
      </c>
      <c r="E76" s="13">
        <v>2.64</v>
      </c>
      <c r="F76">
        <v>33.43</v>
      </c>
      <c r="G76">
        <f t="shared" si="25"/>
        <v>1.5394999999999999</v>
      </c>
      <c r="H76" s="13">
        <v>22.29</v>
      </c>
      <c r="I76">
        <f>H78</f>
        <v>6.55</v>
      </c>
      <c r="J76" s="15">
        <f t="shared" si="26"/>
        <v>-0.39349999999999996</v>
      </c>
      <c r="K76" s="13">
        <f t="shared" si="23"/>
        <v>52.03</v>
      </c>
      <c r="L76">
        <f t="shared" si="22"/>
        <v>17.829999999999998</v>
      </c>
      <c r="M76" s="15">
        <f t="shared" si="27"/>
        <v>-0.42750000000000005</v>
      </c>
      <c r="N76" s="13">
        <v>160</v>
      </c>
      <c r="O76"/>
      <c r="P76"/>
      <c r="R76"/>
      <c r="S76"/>
      <c r="U76"/>
    </row>
    <row r="77" spans="1:257">
      <c r="A77" t="s">
        <v>162</v>
      </c>
      <c r="B77" s="13">
        <v>20.12</v>
      </c>
      <c r="C77">
        <v>8.83</v>
      </c>
      <c r="D77">
        <f t="shared" si="24"/>
        <v>-1.129</v>
      </c>
      <c r="E77" s="13">
        <v>33.43</v>
      </c>
      <c r="F77">
        <v>7.03</v>
      </c>
      <c r="G77">
        <f t="shared" si="25"/>
        <v>-1.3199999999999998</v>
      </c>
      <c r="H77" s="13">
        <v>58.84</v>
      </c>
      <c r="I77">
        <v>17.829999999999998</v>
      </c>
      <c r="J77" s="15">
        <f t="shared" si="26"/>
        <v>-1.0252500000000002</v>
      </c>
      <c r="K77" s="13">
        <f t="shared" si="23"/>
        <v>22.29</v>
      </c>
      <c r="L77">
        <f t="shared" si="22"/>
        <v>13.84</v>
      </c>
      <c r="M77" s="15">
        <f t="shared" si="27"/>
        <v>-0.105625</v>
      </c>
      <c r="N77" s="13">
        <v>180</v>
      </c>
      <c r="O77"/>
      <c r="P77"/>
      <c r="R77"/>
      <c r="S77"/>
      <c r="U77"/>
    </row>
    <row r="78" spans="1:257">
      <c r="A78" t="s">
        <v>163</v>
      </c>
      <c r="B78" s="13">
        <v>40.9</v>
      </c>
      <c r="C78">
        <v>29.11</v>
      </c>
      <c r="D78">
        <f t="shared" si="24"/>
        <v>-1.1789999999999998</v>
      </c>
      <c r="E78" s="13">
        <v>12.83</v>
      </c>
      <c r="F78">
        <v>34.979999999999997</v>
      </c>
      <c r="G78">
        <f t="shared" si="25"/>
        <v>1.1074999999999999</v>
      </c>
      <c r="H78" s="13">
        <v>6.55</v>
      </c>
      <c r="I78">
        <v>13.84</v>
      </c>
      <c r="J78" s="15">
        <f t="shared" si="26"/>
        <v>0.18225</v>
      </c>
      <c r="K78" s="13">
        <f t="shared" si="23"/>
        <v>58.84</v>
      </c>
      <c r="L78">
        <f>I79</f>
        <v>21.82</v>
      </c>
      <c r="M78" s="15">
        <f t="shared" si="27"/>
        <v>-0.46275000000000005</v>
      </c>
      <c r="N78" s="13">
        <v>200</v>
      </c>
      <c r="O78"/>
      <c r="P78"/>
      <c r="R78"/>
      <c r="S78"/>
      <c r="U78"/>
    </row>
    <row r="79" spans="1:257">
      <c r="A79" s="5" t="s">
        <v>164</v>
      </c>
      <c r="B79" s="25">
        <v>33.369999999999997</v>
      </c>
      <c r="C79" s="18">
        <v>13.52</v>
      </c>
      <c r="D79" s="5">
        <f t="shared" si="24"/>
        <v>-1.9849999999999999</v>
      </c>
      <c r="E79" s="25">
        <v>34.979999999999997</v>
      </c>
      <c r="F79" s="18">
        <v>21.4</v>
      </c>
      <c r="G79" s="5">
        <f t="shared" si="25"/>
        <v>-0.67899999999999994</v>
      </c>
      <c r="H79" s="4">
        <v>17.91</v>
      </c>
      <c r="I79" s="5">
        <v>21.82</v>
      </c>
      <c r="J79" s="6">
        <f t="shared" si="26"/>
        <v>9.7750000000000004E-2</v>
      </c>
      <c r="K79" s="4">
        <f t="shared" si="23"/>
        <v>6.55</v>
      </c>
      <c r="L79" s="5">
        <v>21.77</v>
      </c>
      <c r="M79" s="6">
        <f t="shared" si="27"/>
        <v>0.19024999999999997</v>
      </c>
      <c r="N79" s="13">
        <v>220</v>
      </c>
      <c r="O79"/>
      <c r="P79"/>
      <c r="R79"/>
      <c r="S79"/>
      <c r="U79"/>
    </row>
    <row r="80" spans="1:257">
      <c r="A80" t="s">
        <v>433</v>
      </c>
      <c r="B80" s="16"/>
      <c r="C80" s="16"/>
      <c r="E80" s="16"/>
      <c r="F80" s="16"/>
      <c r="H80"/>
      <c r="J80"/>
      <c r="K80" s="13">
        <f>K81</f>
        <v>5.58</v>
      </c>
      <c r="L80">
        <v>16.010000000000002</v>
      </c>
      <c r="M80" s="15">
        <f t="shared" si="27"/>
        <v>0.13037500000000002</v>
      </c>
      <c r="N80" s="13">
        <v>20</v>
      </c>
      <c r="O80"/>
      <c r="P80"/>
      <c r="R80"/>
      <c r="S80"/>
      <c r="U80"/>
    </row>
    <row r="81" spans="1:21">
      <c r="A81" s="3" t="s">
        <v>292</v>
      </c>
      <c r="B81"/>
      <c r="E81"/>
      <c r="H81"/>
      <c r="J81"/>
      <c r="K81" s="13">
        <v>5.58</v>
      </c>
      <c r="L81">
        <f>K85</f>
        <v>33.49</v>
      </c>
      <c r="M81" s="15">
        <f t="shared" si="27"/>
        <v>0.34887500000000005</v>
      </c>
      <c r="N81" s="13">
        <v>40</v>
      </c>
      <c r="O81"/>
      <c r="P81"/>
      <c r="R81"/>
      <c r="S81"/>
      <c r="U81"/>
    </row>
    <row r="82" spans="1:21">
      <c r="A82" s="15" t="s">
        <v>434</v>
      </c>
      <c r="B82"/>
      <c r="E82"/>
      <c r="H82"/>
      <c r="J82"/>
      <c r="K82" s="13">
        <v>45.33</v>
      </c>
      <c r="L82">
        <v>34.11</v>
      </c>
      <c r="M82" s="15">
        <f>(L82-K82)/80</f>
        <v>-0.14024999999999999</v>
      </c>
      <c r="N82" s="13">
        <v>60</v>
      </c>
      <c r="O82"/>
      <c r="P82"/>
      <c r="R82"/>
      <c r="S82"/>
      <c r="U82"/>
    </row>
    <row r="83" spans="1:21">
      <c r="A83" s="15" t="s">
        <v>293</v>
      </c>
      <c r="B83"/>
      <c r="E83"/>
      <c r="H83"/>
      <c r="J83"/>
      <c r="K83" s="13">
        <v>31.71</v>
      </c>
      <c r="L83">
        <v>40.159999999999997</v>
      </c>
      <c r="M83" s="15">
        <f t="shared" si="27"/>
        <v>0.10562499999999994</v>
      </c>
      <c r="N83" s="13">
        <v>80</v>
      </c>
      <c r="O83"/>
      <c r="P83"/>
      <c r="R83"/>
      <c r="S83"/>
      <c r="U83"/>
    </row>
    <row r="84" spans="1:21">
      <c r="A84" s="15" t="s">
        <v>435</v>
      </c>
      <c r="B84"/>
      <c r="E84"/>
      <c r="H84"/>
      <c r="J84"/>
      <c r="K84" s="13">
        <f>L80</f>
        <v>16.010000000000002</v>
      </c>
      <c r="L84">
        <f>L85</f>
        <v>32.9</v>
      </c>
      <c r="M84" s="15">
        <f>(L84-K84)/80</f>
        <v>0.21112499999999995</v>
      </c>
      <c r="N84" s="13">
        <v>100</v>
      </c>
      <c r="O84"/>
      <c r="P84"/>
      <c r="R84"/>
      <c r="S84"/>
      <c r="U84"/>
    </row>
    <row r="85" spans="1:21">
      <c r="A85" s="6" t="s">
        <v>294</v>
      </c>
      <c r="B85" s="5"/>
      <c r="C85" s="5"/>
      <c r="D85" s="5"/>
      <c r="E85" s="5"/>
      <c r="F85" s="5"/>
      <c r="G85" s="5"/>
      <c r="H85" s="5"/>
      <c r="I85" s="5"/>
      <c r="J85" s="5"/>
      <c r="K85" s="4">
        <v>33.49</v>
      </c>
      <c r="L85" s="5">
        <v>32.9</v>
      </c>
      <c r="M85" s="6">
        <f t="shared" si="27"/>
        <v>-7.375000000000043E-3</v>
      </c>
      <c r="N85" s="13">
        <v>120</v>
      </c>
      <c r="O85"/>
      <c r="P85"/>
      <c r="R85"/>
      <c r="S85"/>
      <c r="U85"/>
    </row>
    <row r="86" spans="1:21">
      <c r="A86" s="15" t="s">
        <v>438</v>
      </c>
      <c r="B86"/>
      <c r="E86"/>
      <c r="H86"/>
      <c r="J86"/>
      <c r="K86" s="13">
        <f>K87</f>
        <v>33.35</v>
      </c>
      <c r="L86">
        <f t="shared" ref="L86:L92" si="28">K90</f>
        <v>32.369999999999997</v>
      </c>
      <c r="M86" s="15">
        <f t="shared" si="27"/>
        <v>-1.2250000000000049E-2</v>
      </c>
      <c r="N86" s="13">
        <v>20</v>
      </c>
      <c r="O86"/>
      <c r="P86"/>
      <c r="R86"/>
      <c r="S86"/>
      <c r="U86"/>
    </row>
    <row r="87" spans="1:21">
      <c r="A87" s="15" t="s">
        <v>296</v>
      </c>
      <c r="B87"/>
      <c r="E87"/>
      <c r="H87"/>
      <c r="J87"/>
      <c r="K87" s="13">
        <v>33.35</v>
      </c>
      <c r="L87">
        <f t="shared" si="28"/>
        <v>31.65</v>
      </c>
      <c r="M87" s="15">
        <f t="shared" si="27"/>
        <v>-2.1250000000000036E-2</v>
      </c>
      <c r="N87" s="13">
        <v>40</v>
      </c>
      <c r="O87"/>
      <c r="P87"/>
      <c r="R87"/>
      <c r="S87"/>
      <c r="U87"/>
    </row>
    <row r="88" spans="1:21">
      <c r="A88" s="15" t="s">
        <v>439</v>
      </c>
      <c r="B88"/>
      <c r="E88"/>
      <c r="H88"/>
      <c r="J88"/>
      <c r="K88" s="13">
        <v>24.84</v>
      </c>
      <c r="L88">
        <f t="shared" si="28"/>
        <v>33.79</v>
      </c>
      <c r="M88" s="15">
        <f t="shared" si="27"/>
        <v>0.11187499999999999</v>
      </c>
      <c r="N88" s="13">
        <v>60</v>
      </c>
      <c r="O88"/>
      <c r="P88"/>
      <c r="R88"/>
      <c r="S88"/>
      <c r="U88"/>
    </row>
    <row r="89" spans="1:21">
      <c r="A89" s="15" t="s">
        <v>295</v>
      </c>
      <c r="B89"/>
      <c r="E89"/>
      <c r="H89"/>
      <c r="J89"/>
      <c r="K89" s="13">
        <v>28.09</v>
      </c>
      <c r="L89">
        <f t="shared" si="28"/>
        <v>39.21</v>
      </c>
      <c r="M89" s="15">
        <f t="shared" si="27"/>
        <v>0.13900000000000001</v>
      </c>
      <c r="N89" s="13">
        <v>80</v>
      </c>
      <c r="O89"/>
      <c r="P89"/>
      <c r="R89"/>
      <c r="S89"/>
      <c r="U89"/>
    </row>
    <row r="90" spans="1:21">
      <c r="A90" s="15" t="s">
        <v>440</v>
      </c>
      <c r="B90"/>
      <c r="E90"/>
      <c r="H90"/>
      <c r="J90"/>
      <c r="K90" s="13">
        <v>32.369999999999997</v>
      </c>
      <c r="L90">
        <f t="shared" si="28"/>
        <v>41.21</v>
      </c>
      <c r="M90" s="15">
        <f t="shared" si="27"/>
        <v>0.11050000000000004</v>
      </c>
      <c r="N90" s="13">
        <v>100</v>
      </c>
      <c r="O90"/>
      <c r="P90"/>
      <c r="R90"/>
      <c r="S90"/>
      <c r="U90"/>
    </row>
    <row r="91" spans="1:21">
      <c r="A91" s="15" t="s">
        <v>297</v>
      </c>
      <c r="B91"/>
      <c r="E91"/>
      <c r="H91"/>
      <c r="J91"/>
      <c r="K91" s="13">
        <v>31.65</v>
      </c>
      <c r="L91">
        <f t="shared" si="28"/>
        <v>34.020000000000003</v>
      </c>
      <c r="M91" s="15">
        <f t="shared" si="27"/>
        <v>2.9625000000000058E-2</v>
      </c>
      <c r="N91" s="13">
        <v>120</v>
      </c>
      <c r="O91"/>
      <c r="P91"/>
      <c r="R91"/>
      <c r="S91"/>
      <c r="U91"/>
    </row>
    <row r="92" spans="1:21">
      <c r="A92" s="15" t="s">
        <v>441</v>
      </c>
      <c r="B92"/>
      <c r="E92"/>
      <c r="H92"/>
      <c r="J92"/>
      <c r="K92" s="13">
        <v>33.79</v>
      </c>
      <c r="L92">
        <f t="shared" si="28"/>
        <v>34.090000000000003</v>
      </c>
      <c r="M92" s="15">
        <f t="shared" si="27"/>
        <v>3.7500000000000532E-3</v>
      </c>
      <c r="N92" s="13">
        <v>140</v>
      </c>
      <c r="O92"/>
      <c r="P92"/>
      <c r="R92"/>
      <c r="S92"/>
      <c r="U92"/>
    </row>
    <row r="93" spans="1:21">
      <c r="A93" s="15" t="s">
        <v>298</v>
      </c>
      <c r="B93"/>
      <c r="E93"/>
      <c r="H93"/>
      <c r="J93"/>
      <c r="K93" s="13">
        <v>39.21</v>
      </c>
      <c r="L93">
        <f t="shared" ref="L93" si="29">K97</f>
        <v>32.28</v>
      </c>
      <c r="M93" s="15">
        <f t="shared" si="27"/>
        <v>-8.6624999999999994E-2</v>
      </c>
      <c r="N93" s="13">
        <v>160</v>
      </c>
      <c r="O93"/>
      <c r="P93"/>
      <c r="R93"/>
      <c r="S93"/>
      <c r="U93"/>
    </row>
    <row r="94" spans="1:21">
      <c r="A94" s="15" t="s">
        <v>442</v>
      </c>
      <c r="B94"/>
      <c r="E94"/>
      <c r="H94"/>
      <c r="J94"/>
      <c r="K94" s="13">
        <v>41.21</v>
      </c>
      <c r="L94">
        <v>44.14</v>
      </c>
      <c r="M94" s="15">
        <f t="shared" si="27"/>
        <v>3.6624999999999998E-2</v>
      </c>
      <c r="N94" s="13">
        <v>180</v>
      </c>
      <c r="O94"/>
      <c r="P94"/>
      <c r="R94"/>
      <c r="S94"/>
      <c r="U94"/>
    </row>
    <row r="95" spans="1:21">
      <c r="A95" s="15" t="s">
        <v>299</v>
      </c>
      <c r="B95"/>
      <c r="E95"/>
      <c r="H95"/>
      <c r="J95"/>
      <c r="K95" s="13">
        <v>34.020000000000003</v>
      </c>
      <c r="L95">
        <v>33.31</v>
      </c>
      <c r="M95" s="15">
        <f t="shared" si="27"/>
        <v>-8.8750000000000114E-3</v>
      </c>
      <c r="N95" s="13">
        <v>200</v>
      </c>
      <c r="O95"/>
      <c r="P95"/>
      <c r="R95"/>
      <c r="S95"/>
      <c r="U95"/>
    </row>
    <row r="96" spans="1:21">
      <c r="A96" s="15" t="s">
        <v>443</v>
      </c>
      <c r="B96"/>
      <c r="E96"/>
      <c r="H96"/>
      <c r="J96"/>
      <c r="K96" s="13">
        <v>34.090000000000003</v>
      </c>
      <c r="L96">
        <v>14.2</v>
      </c>
      <c r="M96" s="15">
        <f t="shared" si="27"/>
        <v>-0.24862500000000004</v>
      </c>
      <c r="N96" s="13">
        <v>220</v>
      </c>
      <c r="O96"/>
      <c r="P96"/>
      <c r="R96"/>
      <c r="S96"/>
      <c r="U96"/>
    </row>
    <row r="97" spans="1:21">
      <c r="A97" s="15" t="s">
        <v>300</v>
      </c>
      <c r="B97"/>
      <c r="E97"/>
      <c r="H97"/>
      <c r="J97"/>
      <c r="K97" s="13">
        <v>32.28</v>
      </c>
      <c r="L97">
        <v>12.49</v>
      </c>
      <c r="M97" s="15">
        <f t="shared" si="27"/>
        <v>-0.24737499999999998</v>
      </c>
      <c r="N97" s="13">
        <v>240</v>
      </c>
      <c r="O97"/>
      <c r="P97"/>
      <c r="R97"/>
      <c r="S97"/>
      <c r="U97"/>
    </row>
    <row r="98" spans="1:21">
      <c r="A98" s="5" t="s">
        <v>525</v>
      </c>
      <c r="B98" s="5"/>
      <c r="C98" s="5"/>
      <c r="D98" s="5"/>
      <c r="E98" s="5"/>
      <c r="F98" s="5"/>
      <c r="G98" s="5"/>
      <c r="H98" s="5"/>
      <c r="I98" s="5"/>
      <c r="J98" s="5"/>
      <c r="K98" s="4">
        <f>L94</f>
        <v>44.14</v>
      </c>
      <c r="L98" s="5">
        <f>L97</f>
        <v>12.49</v>
      </c>
      <c r="M98" s="6">
        <f t="shared" si="27"/>
        <v>-0.395625</v>
      </c>
      <c r="N98" s="13">
        <v>260</v>
      </c>
      <c r="O98"/>
      <c r="P98"/>
      <c r="R98"/>
      <c r="S98"/>
      <c r="U98"/>
    </row>
    <row r="99" spans="1:21">
      <c r="A99" s="15" t="s">
        <v>444</v>
      </c>
      <c r="B99"/>
      <c r="E99"/>
      <c r="H99"/>
      <c r="J99"/>
      <c r="K99" s="13">
        <f>K100</f>
        <v>19.239999999999998</v>
      </c>
      <c r="L99">
        <f t="shared" ref="L99:L111" si="30">K103</f>
        <v>44.92</v>
      </c>
      <c r="M99" s="15">
        <f t="shared" si="27"/>
        <v>0.32100000000000006</v>
      </c>
      <c r="N99" s="13">
        <v>20</v>
      </c>
      <c r="O99"/>
      <c r="P99"/>
      <c r="R99"/>
      <c r="S99"/>
      <c r="U99"/>
    </row>
    <row r="100" spans="1:21">
      <c r="A100" s="15" t="s">
        <v>301</v>
      </c>
      <c r="B100"/>
      <c r="E100"/>
      <c r="H100"/>
      <c r="J100"/>
      <c r="K100" s="13">
        <v>19.239999999999998</v>
      </c>
      <c r="L100">
        <f t="shared" si="30"/>
        <v>33.29</v>
      </c>
      <c r="M100" s="15">
        <f t="shared" si="27"/>
        <v>0.175625</v>
      </c>
      <c r="N100" s="13">
        <v>40</v>
      </c>
      <c r="O100"/>
      <c r="P100"/>
      <c r="R100"/>
      <c r="S100"/>
      <c r="U100"/>
    </row>
    <row r="101" spans="1:21">
      <c r="A101" s="15" t="s">
        <v>445</v>
      </c>
      <c r="B101"/>
      <c r="E101"/>
      <c r="H101"/>
      <c r="J101"/>
      <c r="K101" s="13">
        <v>28.3</v>
      </c>
      <c r="L101">
        <f t="shared" si="30"/>
        <v>29.05</v>
      </c>
      <c r="M101" s="15">
        <f t="shared" si="27"/>
        <v>9.3749999999999997E-3</v>
      </c>
      <c r="N101" s="13">
        <v>60</v>
      </c>
      <c r="O101"/>
      <c r="P101"/>
      <c r="R101"/>
      <c r="S101"/>
      <c r="U101"/>
    </row>
    <row r="102" spans="1:21">
      <c r="A102" s="15" t="s">
        <v>302</v>
      </c>
      <c r="B102"/>
      <c r="E102"/>
      <c r="H102"/>
      <c r="J102"/>
      <c r="K102" s="13">
        <v>32.4</v>
      </c>
      <c r="L102">
        <f t="shared" si="30"/>
        <v>27.34</v>
      </c>
      <c r="M102" s="15">
        <f t="shared" si="27"/>
        <v>-6.3249999999999987E-2</v>
      </c>
      <c r="N102" s="13">
        <v>80</v>
      </c>
      <c r="O102"/>
      <c r="P102"/>
      <c r="R102"/>
      <c r="S102"/>
      <c r="U102"/>
    </row>
    <row r="103" spans="1:21">
      <c r="A103" s="15" t="s">
        <v>446</v>
      </c>
      <c r="B103"/>
      <c r="E103"/>
      <c r="H103"/>
      <c r="J103"/>
      <c r="K103" s="13">
        <v>44.92</v>
      </c>
      <c r="L103">
        <f t="shared" si="30"/>
        <v>18.84</v>
      </c>
      <c r="M103" s="15">
        <f t="shared" si="27"/>
        <v>-0.32600000000000001</v>
      </c>
      <c r="N103" s="13">
        <v>100</v>
      </c>
      <c r="O103"/>
      <c r="P103"/>
      <c r="R103"/>
      <c r="S103"/>
      <c r="U103"/>
    </row>
    <row r="104" spans="1:21">
      <c r="A104" s="15" t="s">
        <v>303</v>
      </c>
      <c r="B104"/>
      <c r="E104"/>
      <c r="H104"/>
      <c r="J104"/>
      <c r="K104" s="13">
        <v>33.29</v>
      </c>
      <c r="L104">
        <f t="shared" si="30"/>
        <v>17.21</v>
      </c>
      <c r="M104" s="15">
        <f t="shared" si="27"/>
        <v>-0.20099999999999998</v>
      </c>
      <c r="N104" s="13">
        <v>120</v>
      </c>
      <c r="O104"/>
      <c r="P104"/>
      <c r="R104"/>
      <c r="S104"/>
      <c r="U104"/>
    </row>
    <row r="105" spans="1:21">
      <c r="A105" s="15" t="s">
        <v>447</v>
      </c>
      <c r="B105"/>
      <c r="E105"/>
      <c r="H105"/>
      <c r="J105"/>
      <c r="K105" s="13">
        <v>29.05</v>
      </c>
      <c r="L105">
        <f t="shared" si="30"/>
        <v>16.04</v>
      </c>
      <c r="M105" s="15">
        <f t="shared" si="27"/>
        <v>-0.16262500000000002</v>
      </c>
      <c r="N105" s="13">
        <v>140</v>
      </c>
      <c r="O105"/>
      <c r="P105"/>
      <c r="R105"/>
      <c r="S105"/>
      <c r="U105"/>
    </row>
    <row r="106" spans="1:21">
      <c r="A106" s="15" t="s">
        <v>304</v>
      </c>
      <c r="B106"/>
      <c r="E106"/>
      <c r="H106"/>
      <c r="J106"/>
      <c r="K106" s="13">
        <v>27.34</v>
      </c>
      <c r="L106">
        <f t="shared" si="30"/>
        <v>14.86</v>
      </c>
      <c r="M106" s="15">
        <f t="shared" si="27"/>
        <v>-0.156</v>
      </c>
      <c r="N106" s="13">
        <v>160</v>
      </c>
      <c r="O106"/>
      <c r="P106"/>
      <c r="R106"/>
      <c r="S106"/>
      <c r="U106"/>
    </row>
    <row r="107" spans="1:21">
      <c r="A107" s="15" t="s">
        <v>448</v>
      </c>
      <c r="B107"/>
      <c r="E107"/>
      <c r="H107"/>
      <c r="J107"/>
      <c r="K107" s="13">
        <v>18.84</v>
      </c>
      <c r="L107">
        <f t="shared" si="30"/>
        <v>13.57</v>
      </c>
      <c r="M107" s="15">
        <f t="shared" si="27"/>
        <v>-6.5874999999999989E-2</v>
      </c>
      <c r="N107" s="13">
        <v>180</v>
      </c>
      <c r="O107"/>
      <c r="P107"/>
      <c r="R107"/>
      <c r="S107"/>
      <c r="U107"/>
    </row>
    <row r="108" spans="1:21">
      <c r="A108" s="15" t="s">
        <v>305</v>
      </c>
      <c r="B108"/>
      <c r="E108"/>
      <c r="H108"/>
      <c r="J108"/>
      <c r="K108" s="13">
        <v>17.21</v>
      </c>
      <c r="L108">
        <f t="shared" si="30"/>
        <v>8.5399999999999991</v>
      </c>
      <c r="M108" s="15">
        <f t="shared" si="27"/>
        <v>-0.10837500000000003</v>
      </c>
      <c r="N108" s="13">
        <v>200</v>
      </c>
      <c r="O108"/>
      <c r="P108"/>
      <c r="R108"/>
      <c r="S108"/>
      <c r="U108"/>
    </row>
    <row r="109" spans="1:21">
      <c r="A109" s="15" t="s">
        <v>449</v>
      </c>
      <c r="B109"/>
      <c r="E109"/>
      <c r="H109"/>
      <c r="J109"/>
      <c r="K109" s="13">
        <v>16.04</v>
      </c>
      <c r="L109">
        <f t="shared" si="30"/>
        <v>11.67</v>
      </c>
      <c r="M109" s="15">
        <f t="shared" si="27"/>
        <v>-5.4624999999999993E-2</v>
      </c>
      <c r="N109" s="13">
        <v>220</v>
      </c>
      <c r="O109"/>
      <c r="P109"/>
      <c r="R109"/>
      <c r="S109"/>
      <c r="U109"/>
    </row>
    <row r="110" spans="1:21">
      <c r="A110" s="15" t="s">
        <v>306</v>
      </c>
      <c r="B110"/>
      <c r="E110"/>
      <c r="H110"/>
      <c r="J110"/>
      <c r="K110" s="13">
        <v>14.86</v>
      </c>
      <c r="L110">
        <f t="shared" si="30"/>
        <v>12.23</v>
      </c>
      <c r="M110" s="15">
        <f t="shared" si="27"/>
        <v>-3.2874999999999988E-2</v>
      </c>
      <c r="N110" s="13">
        <v>240</v>
      </c>
      <c r="O110"/>
      <c r="P110"/>
      <c r="R110"/>
      <c r="S110"/>
      <c r="U110"/>
    </row>
    <row r="111" spans="1:21">
      <c r="A111" s="15" t="s">
        <v>450</v>
      </c>
      <c r="B111"/>
      <c r="E111"/>
      <c r="H111"/>
      <c r="J111"/>
      <c r="K111" s="13">
        <v>13.57</v>
      </c>
      <c r="L111">
        <f t="shared" si="30"/>
        <v>6.76</v>
      </c>
      <c r="M111" s="15">
        <f t="shared" si="27"/>
        <v>-8.5125000000000006E-2</v>
      </c>
      <c r="N111" s="13">
        <v>260</v>
      </c>
      <c r="O111"/>
      <c r="P111"/>
      <c r="R111"/>
      <c r="S111"/>
      <c r="U111"/>
    </row>
    <row r="112" spans="1:21">
      <c r="A112" s="15" t="s">
        <v>307</v>
      </c>
      <c r="B112"/>
      <c r="E112"/>
      <c r="H112"/>
      <c r="J112"/>
      <c r="K112" s="13">
        <v>8.5399999999999991</v>
      </c>
      <c r="L112">
        <f t="shared" ref="L112" si="31">K116</f>
        <v>12.56</v>
      </c>
      <c r="M112" s="15">
        <f t="shared" si="27"/>
        <v>5.0250000000000017E-2</v>
      </c>
      <c r="N112" s="13">
        <v>280</v>
      </c>
      <c r="O112"/>
      <c r="P112"/>
      <c r="R112"/>
      <c r="S112"/>
      <c r="U112"/>
    </row>
    <row r="113" spans="1:21">
      <c r="A113" s="15" t="s">
        <v>451</v>
      </c>
      <c r="B113"/>
      <c r="E113"/>
      <c r="H113"/>
      <c r="J113"/>
      <c r="K113" s="13">
        <v>11.67</v>
      </c>
      <c r="L113">
        <v>5.97</v>
      </c>
      <c r="M113" s="15">
        <f t="shared" si="27"/>
        <v>-7.1250000000000008E-2</v>
      </c>
      <c r="N113" s="13">
        <v>300</v>
      </c>
      <c r="O113"/>
      <c r="P113"/>
      <c r="R113"/>
      <c r="S113"/>
      <c r="U113"/>
    </row>
    <row r="114" spans="1:21">
      <c r="A114" s="15" t="s">
        <v>308</v>
      </c>
      <c r="B114"/>
      <c r="E114"/>
      <c r="H114"/>
      <c r="J114"/>
      <c r="K114" s="13">
        <v>12.23</v>
      </c>
      <c r="L114">
        <v>5.59</v>
      </c>
      <c r="M114" s="15">
        <f t="shared" si="27"/>
        <v>-8.3000000000000004E-2</v>
      </c>
      <c r="N114" s="13">
        <v>320</v>
      </c>
      <c r="O114"/>
      <c r="P114"/>
      <c r="R114"/>
      <c r="S114"/>
      <c r="U114"/>
    </row>
    <row r="115" spans="1:21">
      <c r="A115" s="15" t="s">
        <v>452</v>
      </c>
      <c r="B115"/>
      <c r="E115"/>
      <c r="H115"/>
      <c r="J115"/>
      <c r="K115" s="13">
        <v>6.76</v>
      </c>
      <c r="L115">
        <v>4.32</v>
      </c>
      <c r="M115" s="15">
        <f t="shared" si="27"/>
        <v>-3.0499999999999992E-2</v>
      </c>
      <c r="N115" s="13">
        <v>340</v>
      </c>
      <c r="O115"/>
      <c r="P115"/>
      <c r="R115"/>
      <c r="S115"/>
      <c r="U115"/>
    </row>
    <row r="116" spans="1:21">
      <c r="A116" s="15" t="s">
        <v>309</v>
      </c>
      <c r="B116"/>
      <c r="E116"/>
      <c r="H116"/>
      <c r="J116"/>
      <c r="K116" s="13">
        <v>12.56</v>
      </c>
      <c r="L116">
        <v>10.54</v>
      </c>
      <c r="M116" s="15">
        <f t="shared" si="27"/>
        <v>-2.5250000000000015E-2</v>
      </c>
      <c r="N116" s="13">
        <v>360</v>
      </c>
      <c r="O116"/>
      <c r="P116"/>
      <c r="R116"/>
      <c r="S116"/>
      <c r="U116"/>
    </row>
    <row r="117" spans="1:21">
      <c r="A117" s="5" t="s">
        <v>523</v>
      </c>
      <c r="B117" s="5"/>
      <c r="C117" s="5"/>
      <c r="D117" s="5"/>
      <c r="E117" s="5"/>
      <c r="F117" s="5"/>
      <c r="G117" s="5"/>
      <c r="H117" s="5"/>
      <c r="I117" s="5"/>
      <c r="J117" s="5"/>
      <c r="K117" s="4">
        <v>5.97</v>
      </c>
      <c r="L117" s="5">
        <f>L116</f>
        <v>10.54</v>
      </c>
      <c r="M117" s="6">
        <f t="shared" si="27"/>
        <v>5.7124999999999995E-2</v>
      </c>
      <c r="N117" s="13">
        <v>380</v>
      </c>
      <c r="O117"/>
      <c r="P117"/>
      <c r="R117"/>
      <c r="S117"/>
      <c r="U117"/>
    </row>
    <row r="118" spans="1:21">
      <c r="A118" s="15" t="s">
        <v>453</v>
      </c>
      <c r="B118"/>
      <c r="E118"/>
      <c r="H118"/>
      <c r="J118"/>
      <c r="K118" s="13">
        <f>K119</f>
        <v>22.81</v>
      </c>
      <c r="L118">
        <f t="shared" ref="L118:L136" si="32">K122</f>
        <v>32.020000000000003</v>
      </c>
      <c r="M118" s="15">
        <f t="shared" si="27"/>
        <v>0.11512500000000006</v>
      </c>
      <c r="N118" s="13">
        <v>20</v>
      </c>
      <c r="O118"/>
      <c r="P118"/>
      <c r="R118"/>
      <c r="S118"/>
      <c r="U118"/>
    </row>
    <row r="119" spans="1:21">
      <c r="A119" s="15" t="s">
        <v>312</v>
      </c>
      <c r="B119"/>
      <c r="E119"/>
      <c r="H119"/>
      <c r="J119"/>
      <c r="K119" s="13">
        <v>22.81</v>
      </c>
      <c r="L119">
        <f t="shared" si="32"/>
        <v>18.739999999999998</v>
      </c>
      <c r="M119" s="15">
        <f t="shared" si="27"/>
        <v>-5.0875000000000004E-2</v>
      </c>
      <c r="N119" s="13">
        <v>40</v>
      </c>
      <c r="O119"/>
      <c r="P119"/>
      <c r="R119"/>
      <c r="S119"/>
      <c r="U119"/>
    </row>
    <row r="120" spans="1:21">
      <c r="A120" s="15" t="s">
        <v>454</v>
      </c>
      <c r="B120"/>
      <c r="E120"/>
      <c r="H120"/>
      <c r="J120"/>
      <c r="K120" s="13">
        <v>29.15</v>
      </c>
      <c r="L120">
        <f t="shared" si="32"/>
        <v>18.600000000000001</v>
      </c>
      <c r="M120" s="15">
        <f t="shared" si="27"/>
        <v>-0.13187499999999996</v>
      </c>
      <c r="N120" s="13">
        <v>60</v>
      </c>
      <c r="O120"/>
      <c r="P120"/>
      <c r="R120"/>
      <c r="S120"/>
      <c r="U120"/>
    </row>
    <row r="121" spans="1:21">
      <c r="A121" s="15" t="s">
        <v>310</v>
      </c>
      <c r="B121"/>
      <c r="E121"/>
      <c r="H121"/>
      <c r="J121"/>
      <c r="K121" s="13">
        <v>17.47</v>
      </c>
      <c r="L121">
        <f t="shared" si="32"/>
        <v>10.77</v>
      </c>
      <c r="M121" s="15">
        <f t="shared" si="27"/>
        <v>-8.3749999999999991E-2</v>
      </c>
      <c r="N121" s="13">
        <v>80</v>
      </c>
      <c r="O121"/>
      <c r="P121"/>
      <c r="R121"/>
      <c r="S121"/>
      <c r="U121"/>
    </row>
    <row r="122" spans="1:21">
      <c r="A122" s="15" t="s">
        <v>455</v>
      </c>
      <c r="B122"/>
      <c r="E122"/>
      <c r="H122"/>
      <c r="J122"/>
      <c r="K122" s="13">
        <v>32.020000000000003</v>
      </c>
      <c r="L122">
        <f t="shared" si="32"/>
        <v>13.84</v>
      </c>
      <c r="M122" s="15">
        <f t="shared" si="27"/>
        <v>-0.22725000000000004</v>
      </c>
      <c r="N122" s="13">
        <v>100</v>
      </c>
      <c r="O122"/>
      <c r="P122"/>
      <c r="R122"/>
      <c r="S122"/>
      <c r="U122"/>
    </row>
    <row r="123" spans="1:21">
      <c r="A123" s="15" t="s">
        <v>311</v>
      </c>
      <c r="B123"/>
      <c r="E123"/>
      <c r="H123"/>
      <c r="J123"/>
      <c r="K123" s="13">
        <v>18.739999999999998</v>
      </c>
      <c r="L123">
        <f t="shared" si="32"/>
        <v>10.67</v>
      </c>
      <c r="M123" s="15">
        <f t="shared" si="27"/>
        <v>-0.10087499999999998</v>
      </c>
      <c r="N123" s="13">
        <v>120</v>
      </c>
      <c r="O123"/>
      <c r="P123"/>
      <c r="R123"/>
      <c r="S123"/>
      <c r="U123"/>
    </row>
    <row r="124" spans="1:21">
      <c r="A124" s="15" t="s">
        <v>456</v>
      </c>
      <c r="B124"/>
      <c r="E124"/>
      <c r="H124"/>
      <c r="J124"/>
      <c r="K124" s="13">
        <v>18.600000000000001</v>
      </c>
      <c r="L124">
        <f t="shared" si="32"/>
        <v>8.07</v>
      </c>
      <c r="M124" s="15">
        <f t="shared" si="27"/>
        <v>-0.13162500000000002</v>
      </c>
      <c r="N124" s="13">
        <v>140</v>
      </c>
      <c r="O124"/>
      <c r="P124"/>
      <c r="R124"/>
      <c r="S124"/>
      <c r="U124"/>
    </row>
    <row r="125" spans="1:21">
      <c r="A125" s="15" t="s">
        <v>313</v>
      </c>
      <c r="B125"/>
      <c r="E125"/>
      <c r="H125"/>
      <c r="J125"/>
      <c r="K125" s="13">
        <v>10.77</v>
      </c>
      <c r="L125">
        <f t="shared" si="32"/>
        <v>8.27</v>
      </c>
      <c r="M125" s="15">
        <f t="shared" si="27"/>
        <v>-3.125E-2</v>
      </c>
      <c r="N125" s="13">
        <v>160</v>
      </c>
      <c r="O125"/>
      <c r="P125"/>
      <c r="R125"/>
      <c r="S125"/>
      <c r="U125"/>
    </row>
    <row r="126" spans="1:21">
      <c r="A126" s="15" t="s">
        <v>457</v>
      </c>
      <c r="B126"/>
      <c r="E126"/>
      <c r="H126"/>
      <c r="J126"/>
      <c r="K126" s="13">
        <v>13.84</v>
      </c>
      <c r="L126">
        <f t="shared" si="32"/>
        <v>10.61</v>
      </c>
      <c r="M126" s="15">
        <f t="shared" si="27"/>
        <v>-4.0375000000000008E-2</v>
      </c>
      <c r="N126" s="13">
        <v>180</v>
      </c>
      <c r="O126"/>
      <c r="P126"/>
      <c r="R126"/>
      <c r="S126"/>
      <c r="U126"/>
    </row>
    <row r="127" spans="1:21">
      <c r="A127" s="15" t="s">
        <v>314</v>
      </c>
      <c r="B127"/>
      <c r="E127"/>
      <c r="H127"/>
      <c r="J127"/>
      <c r="K127" s="13">
        <v>10.67</v>
      </c>
      <c r="L127">
        <f t="shared" si="32"/>
        <v>6.22</v>
      </c>
      <c r="M127" s="15">
        <f t="shared" si="27"/>
        <v>-5.5625000000000001E-2</v>
      </c>
      <c r="N127" s="13">
        <v>200</v>
      </c>
      <c r="O127"/>
      <c r="P127"/>
      <c r="R127"/>
      <c r="S127"/>
      <c r="U127"/>
    </row>
    <row r="128" spans="1:21">
      <c r="A128" s="15" t="s">
        <v>458</v>
      </c>
      <c r="B128"/>
      <c r="E128"/>
      <c r="H128"/>
      <c r="J128"/>
      <c r="K128" s="13">
        <v>8.07</v>
      </c>
      <c r="L128">
        <f t="shared" si="32"/>
        <v>11.43</v>
      </c>
      <c r="M128" s="15">
        <f t="shared" si="27"/>
        <v>4.1999999999999996E-2</v>
      </c>
      <c r="N128" s="13">
        <v>220</v>
      </c>
      <c r="O128"/>
      <c r="P128"/>
      <c r="R128"/>
      <c r="S128"/>
      <c r="U128"/>
    </row>
    <row r="129" spans="1:21">
      <c r="A129" s="15" t="s">
        <v>315</v>
      </c>
      <c r="B129"/>
      <c r="E129"/>
      <c r="H129"/>
      <c r="J129"/>
      <c r="K129" s="13">
        <v>8.27</v>
      </c>
      <c r="L129">
        <f t="shared" si="32"/>
        <v>16.239999999999998</v>
      </c>
      <c r="M129" s="15">
        <f t="shared" si="27"/>
        <v>9.9624999999999991E-2</v>
      </c>
      <c r="N129" s="13">
        <v>240</v>
      </c>
      <c r="O129"/>
      <c r="P129"/>
      <c r="R129"/>
      <c r="S129"/>
      <c r="U129"/>
    </row>
    <row r="130" spans="1:21">
      <c r="A130" s="15" t="s">
        <v>459</v>
      </c>
      <c r="B130"/>
      <c r="E130"/>
      <c r="H130"/>
      <c r="J130"/>
      <c r="K130" s="13">
        <v>10.61</v>
      </c>
      <c r="L130">
        <f t="shared" si="32"/>
        <v>17.59</v>
      </c>
      <c r="M130" s="15">
        <f t="shared" si="27"/>
        <v>8.7250000000000008E-2</v>
      </c>
      <c r="N130" s="13">
        <v>260</v>
      </c>
      <c r="O130"/>
      <c r="P130"/>
      <c r="R130"/>
      <c r="S130"/>
      <c r="U130"/>
    </row>
    <row r="131" spans="1:21">
      <c r="A131" s="15" t="s">
        <v>316</v>
      </c>
      <c r="B131"/>
      <c r="E131"/>
      <c r="H131"/>
      <c r="J131"/>
      <c r="K131" s="13">
        <v>6.22</v>
      </c>
      <c r="L131">
        <f t="shared" si="32"/>
        <v>16.79</v>
      </c>
      <c r="M131" s="15">
        <f t="shared" si="27"/>
        <v>0.13212499999999999</v>
      </c>
      <c r="N131" s="13">
        <v>280</v>
      </c>
      <c r="O131"/>
      <c r="P131"/>
      <c r="R131"/>
      <c r="S131"/>
      <c r="U131"/>
    </row>
    <row r="132" spans="1:21">
      <c r="A132" s="15" t="s">
        <v>460</v>
      </c>
      <c r="B132"/>
      <c r="E132"/>
      <c r="H132"/>
      <c r="J132"/>
      <c r="K132" s="13">
        <v>11.43</v>
      </c>
      <c r="L132">
        <f t="shared" si="32"/>
        <v>13.23</v>
      </c>
      <c r="M132" s="15">
        <f t="shared" si="27"/>
        <v>2.250000000000001E-2</v>
      </c>
      <c r="N132" s="13">
        <v>300</v>
      </c>
      <c r="O132"/>
      <c r="P132"/>
      <c r="R132"/>
      <c r="S132"/>
      <c r="U132"/>
    </row>
    <row r="133" spans="1:21">
      <c r="A133" s="15" t="s">
        <v>317</v>
      </c>
      <c r="B133"/>
      <c r="E133"/>
      <c r="H133"/>
      <c r="J133"/>
      <c r="K133" s="13">
        <v>16.239999999999998</v>
      </c>
      <c r="L133">
        <f t="shared" si="32"/>
        <v>17.34</v>
      </c>
      <c r="M133" s="15">
        <f t="shared" si="27"/>
        <v>1.3750000000000017E-2</v>
      </c>
      <c r="N133" s="13">
        <v>320</v>
      </c>
      <c r="O133"/>
      <c r="P133"/>
      <c r="R133"/>
      <c r="S133"/>
      <c r="U133"/>
    </row>
    <row r="134" spans="1:21">
      <c r="A134" s="15" t="s">
        <v>461</v>
      </c>
      <c r="B134"/>
      <c r="E134"/>
      <c r="H134"/>
      <c r="J134"/>
      <c r="K134" s="13">
        <v>17.59</v>
      </c>
      <c r="L134">
        <f t="shared" si="32"/>
        <v>13.25</v>
      </c>
      <c r="M134" s="15">
        <f t="shared" si="27"/>
        <v>-5.425E-2</v>
      </c>
      <c r="N134" s="13">
        <v>340</v>
      </c>
      <c r="O134"/>
      <c r="P134"/>
      <c r="R134"/>
      <c r="S134"/>
      <c r="U134"/>
    </row>
    <row r="135" spans="1:21">
      <c r="A135" s="15" t="s">
        <v>318</v>
      </c>
      <c r="B135"/>
      <c r="E135"/>
      <c r="H135"/>
      <c r="K135">
        <v>16.79</v>
      </c>
      <c r="L135">
        <f t="shared" si="32"/>
        <v>12.43</v>
      </c>
      <c r="M135" s="15">
        <f t="shared" si="27"/>
        <v>-5.4499999999999993E-2</v>
      </c>
      <c r="N135" s="13">
        <v>360</v>
      </c>
      <c r="O135"/>
      <c r="P135"/>
      <c r="R135"/>
      <c r="S135"/>
      <c r="U135"/>
    </row>
    <row r="136" spans="1:21">
      <c r="A136" s="15" t="s">
        <v>462</v>
      </c>
      <c r="B136"/>
      <c r="E136"/>
      <c r="H136"/>
      <c r="J136"/>
      <c r="K136" s="13">
        <v>13.23</v>
      </c>
      <c r="L136">
        <f t="shared" si="32"/>
        <v>13.78</v>
      </c>
      <c r="M136" s="15">
        <f t="shared" si="27"/>
        <v>6.874999999999987E-3</v>
      </c>
      <c r="N136" s="13">
        <v>380</v>
      </c>
      <c r="O136"/>
      <c r="P136"/>
      <c r="R136"/>
      <c r="S136"/>
      <c r="U136"/>
    </row>
    <row r="137" spans="1:21">
      <c r="A137" s="15" t="s">
        <v>324</v>
      </c>
      <c r="B137"/>
      <c r="E137"/>
      <c r="H137"/>
      <c r="J137"/>
      <c r="K137" s="13">
        <v>17.34</v>
      </c>
      <c r="L137">
        <f t="shared" ref="L137" si="33">K141</f>
        <v>12.43</v>
      </c>
      <c r="M137" s="15">
        <f t="shared" si="27"/>
        <v>-6.1374999999999999E-2</v>
      </c>
      <c r="N137" s="13">
        <v>400</v>
      </c>
      <c r="O137"/>
      <c r="P137"/>
      <c r="R137"/>
      <c r="S137"/>
      <c r="U137"/>
    </row>
    <row r="138" spans="1:21">
      <c r="A138" s="15" t="s">
        <v>463</v>
      </c>
      <c r="B138"/>
      <c r="E138"/>
      <c r="H138"/>
      <c r="J138"/>
      <c r="K138" s="13">
        <v>13.25</v>
      </c>
      <c r="L138">
        <v>10.36</v>
      </c>
      <c r="M138" s="15">
        <f t="shared" si="27"/>
        <v>-3.6125000000000004E-2</v>
      </c>
      <c r="N138" s="13">
        <v>420</v>
      </c>
      <c r="O138"/>
      <c r="P138"/>
      <c r="R138"/>
      <c r="S138"/>
      <c r="U138"/>
    </row>
    <row r="139" spans="1:21">
      <c r="A139" s="15" t="s">
        <v>325</v>
      </c>
      <c r="B139"/>
      <c r="E139"/>
      <c r="H139"/>
      <c r="J139"/>
      <c r="K139" s="13">
        <v>12.43</v>
      </c>
      <c r="L139">
        <v>4.72</v>
      </c>
      <c r="M139" s="15">
        <f t="shared" si="27"/>
        <v>-9.6375000000000002E-2</v>
      </c>
      <c r="N139" s="13">
        <v>440</v>
      </c>
      <c r="O139"/>
      <c r="P139"/>
      <c r="R139"/>
      <c r="S139"/>
      <c r="U139"/>
    </row>
    <row r="140" spans="1:21">
      <c r="A140" s="15" t="s">
        <v>464</v>
      </c>
      <c r="B140"/>
      <c r="E140"/>
      <c r="H140"/>
      <c r="J140"/>
      <c r="K140" s="13">
        <v>13.78</v>
      </c>
      <c r="L140">
        <f>L141</f>
        <v>4.6500000000000004</v>
      </c>
      <c r="M140" s="15">
        <f t="shared" si="27"/>
        <v>-0.11412499999999999</v>
      </c>
      <c r="N140" s="13">
        <v>460</v>
      </c>
      <c r="O140"/>
      <c r="P140"/>
      <c r="R140"/>
      <c r="S140"/>
      <c r="U140"/>
    </row>
    <row r="141" spans="1:21">
      <c r="A141" s="6" t="s">
        <v>326</v>
      </c>
      <c r="B141" s="5"/>
      <c r="C141" s="5"/>
      <c r="D141" s="5"/>
      <c r="E141" s="5"/>
      <c r="F141" s="5"/>
      <c r="G141" s="5"/>
      <c r="H141" s="5"/>
      <c r="I141" s="5"/>
      <c r="J141" s="5"/>
      <c r="K141" s="4">
        <v>12.43</v>
      </c>
      <c r="L141" s="5">
        <v>4.6500000000000004</v>
      </c>
      <c r="M141" s="6">
        <f t="shared" si="27"/>
        <v>-9.7249999999999989E-2</v>
      </c>
      <c r="N141" s="13">
        <v>480</v>
      </c>
      <c r="O141"/>
      <c r="P141"/>
      <c r="R141"/>
      <c r="S141"/>
      <c r="U141"/>
    </row>
    <row r="142" spans="1:21">
      <c r="A142" s="15" t="s">
        <v>465</v>
      </c>
      <c r="B142"/>
      <c r="E142"/>
      <c r="H142"/>
      <c r="J142"/>
      <c r="K142" s="13">
        <f>K143</f>
        <v>26.18</v>
      </c>
      <c r="L142">
        <f t="shared" ref="L142:L158" si="34">K146</f>
        <v>24.58</v>
      </c>
      <c r="M142" s="15">
        <f t="shared" si="27"/>
        <v>-2.0000000000000018E-2</v>
      </c>
      <c r="N142" s="13">
        <v>20</v>
      </c>
      <c r="O142"/>
      <c r="P142"/>
      <c r="R142"/>
      <c r="S142"/>
      <c r="U142"/>
    </row>
    <row r="143" spans="1:21">
      <c r="A143" s="15" t="s">
        <v>327</v>
      </c>
      <c r="B143"/>
      <c r="E143"/>
      <c r="H143"/>
      <c r="J143"/>
      <c r="K143" s="13">
        <v>26.18</v>
      </c>
      <c r="L143">
        <f t="shared" si="34"/>
        <v>23.48</v>
      </c>
      <c r="M143" s="15">
        <f t="shared" si="27"/>
        <v>-3.3749999999999988E-2</v>
      </c>
      <c r="N143" s="13">
        <v>40</v>
      </c>
      <c r="O143"/>
      <c r="P143"/>
      <c r="R143"/>
      <c r="S143"/>
      <c r="U143"/>
    </row>
    <row r="144" spans="1:21">
      <c r="A144" t="s">
        <v>466</v>
      </c>
      <c r="B144"/>
      <c r="E144"/>
      <c r="H144"/>
      <c r="J144"/>
      <c r="K144" s="13">
        <v>30.02</v>
      </c>
      <c r="L144">
        <f t="shared" si="34"/>
        <v>20.93</v>
      </c>
      <c r="M144" s="15">
        <f t="shared" si="27"/>
        <v>-0.113625</v>
      </c>
      <c r="N144" s="13">
        <v>60</v>
      </c>
      <c r="O144"/>
      <c r="P144"/>
      <c r="R144"/>
      <c r="S144"/>
      <c r="U144"/>
    </row>
    <row r="145" spans="1:21">
      <c r="A145" t="s">
        <v>328</v>
      </c>
      <c r="B145"/>
      <c r="E145"/>
      <c r="H145"/>
      <c r="J145"/>
      <c r="K145" s="13">
        <v>36.71</v>
      </c>
      <c r="L145">
        <f t="shared" si="34"/>
        <v>23.15</v>
      </c>
      <c r="M145" s="15">
        <f t="shared" si="27"/>
        <v>-0.16950000000000004</v>
      </c>
      <c r="N145" s="13">
        <v>80</v>
      </c>
      <c r="O145"/>
      <c r="P145"/>
      <c r="R145"/>
      <c r="S145"/>
      <c r="U145"/>
    </row>
    <row r="146" spans="1:21">
      <c r="A146" t="s">
        <v>467</v>
      </c>
      <c r="B146"/>
      <c r="E146"/>
      <c r="H146"/>
      <c r="J146"/>
      <c r="K146" s="13">
        <v>24.58</v>
      </c>
      <c r="L146">
        <f t="shared" si="34"/>
        <v>20.28</v>
      </c>
      <c r="M146" s="15">
        <f t="shared" si="27"/>
        <v>-5.3749999999999964E-2</v>
      </c>
      <c r="N146" s="13">
        <v>100</v>
      </c>
      <c r="O146"/>
      <c r="P146"/>
      <c r="R146"/>
      <c r="S146"/>
      <c r="U146"/>
    </row>
    <row r="147" spans="1:21">
      <c r="A147" t="s">
        <v>329</v>
      </c>
      <c r="B147"/>
      <c r="E147"/>
      <c r="H147"/>
      <c r="J147"/>
      <c r="K147" s="13">
        <v>23.48</v>
      </c>
      <c r="L147">
        <f t="shared" si="34"/>
        <v>15.94</v>
      </c>
      <c r="M147" s="15">
        <f t="shared" si="27"/>
        <v>-9.4250000000000014E-2</v>
      </c>
      <c r="N147" s="13">
        <v>120</v>
      </c>
      <c r="O147"/>
      <c r="P147"/>
      <c r="R147"/>
      <c r="S147"/>
      <c r="U147"/>
    </row>
    <row r="148" spans="1:21">
      <c r="A148" t="s">
        <v>468</v>
      </c>
      <c r="B148"/>
      <c r="E148"/>
      <c r="H148"/>
      <c r="J148"/>
      <c r="K148" s="13">
        <v>20.93</v>
      </c>
      <c r="L148">
        <f t="shared" si="34"/>
        <v>11.66</v>
      </c>
      <c r="M148" s="15">
        <f t="shared" si="27"/>
        <v>-0.11587499999999999</v>
      </c>
      <c r="N148" s="13">
        <v>140</v>
      </c>
      <c r="O148"/>
      <c r="P148"/>
      <c r="R148"/>
      <c r="S148"/>
      <c r="U148"/>
    </row>
    <row r="149" spans="1:21">
      <c r="A149" t="s">
        <v>330</v>
      </c>
      <c r="B149"/>
      <c r="E149"/>
      <c r="H149"/>
      <c r="J149"/>
      <c r="K149" s="13">
        <v>23.15</v>
      </c>
      <c r="L149">
        <f t="shared" si="34"/>
        <v>9.69</v>
      </c>
      <c r="M149" s="15">
        <f t="shared" si="27"/>
        <v>-0.16824999999999998</v>
      </c>
      <c r="N149" s="13">
        <v>160</v>
      </c>
      <c r="O149"/>
      <c r="P149"/>
      <c r="R149"/>
      <c r="S149"/>
      <c r="U149"/>
    </row>
    <row r="150" spans="1:21">
      <c r="A150" t="s">
        <v>469</v>
      </c>
      <c r="B150"/>
      <c r="E150"/>
      <c r="H150"/>
      <c r="J150"/>
      <c r="K150" s="13">
        <v>20.28</v>
      </c>
      <c r="L150">
        <f t="shared" si="34"/>
        <v>7.82</v>
      </c>
      <c r="M150" s="15">
        <f t="shared" si="27"/>
        <v>-0.15575</v>
      </c>
      <c r="N150" s="13">
        <v>180</v>
      </c>
      <c r="O150"/>
      <c r="P150"/>
      <c r="R150"/>
      <c r="S150"/>
      <c r="U150"/>
    </row>
    <row r="151" spans="1:21">
      <c r="A151" t="s">
        <v>331</v>
      </c>
      <c r="B151"/>
      <c r="E151"/>
      <c r="H151"/>
      <c r="J151"/>
      <c r="K151" s="13">
        <v>15.94</v>
      </c>
      <c r="L151">
        <f t="shared" si="34"/>
        <v>6.07</v>
      </c>
      <c r="M151" s="15">
        <f t="shared" si="27"/>
        <v>-0.12337499999999998</v>
      </c>
      <c r="N151" s="13">
        <v>200</v>
      </c>
      <c r="O151"/>
      <c r="P151"/>
      <c r="R151"/>
      <c r="S151"/>
      <c r="U151"/>
    </row>
    <row r="152" spans="1:21">
      <c r="A152" t="s">
        <v>470</v>
      </c>
      <c r="B152"/>
      <c r="E152"/>
      <c r="H152"/>
      <c r="J152"/>
      <c r="K152" s="13">
        <v>11.66</v>
      </c>
      <c r="L152">
        <f t="shared" si="34"/>
        <v>0.62</v>
      </c>
      <c r="M152" s="15">
        <f t="shared" si="27"/>
        <v>-0.13800000000000001</v>
      </c>
      <c r="N152" s="13">
        <v>220</v>
      </c>
      <c r="O152"/>
      <c r="P152"/>
      <c r="R152"/>
      <c r="S152"/>
      <c r="U152"/>
    </row>
    <row r="153" spans="1:21">
      <c r="A153" t="s">
        <v>332</v>
      </c>
      <c r="B153"/>
      <c r="E153"/>
      <c r="H153"/>
      <c r="J153"/>
      <c r="K153" s="13">
        <v>9.69</v>
      </c>
      <c r="L153">
        <f t="shared" si="34"/>
        <v>2.39</v>
      </c>
      <c r="M153" s="15">
        <f t="shared" si="27"/>
        <v>-9.1249999999999984E-2</v>
      </c>
      <c r="N153" s="13">
        <v>240</v>
      </c>
      <c r="O153"/>
      <c r="P153"/>
      <c r="R153"/>
      <c r="S153"/>
      <c r="U153"/>
    </row>
    <row r="154" spans="1:21">
      <c r="A154" t="s">
        <v>471</v>
      </c>
      <c r="B154"/>
      <c r="E154"/>
      <c r="H154"/>
      <c r="J154"/>
      <c r="K154" s="13">
        <v>7.82</v>
      </c>
      <c r="L154">
        <f t="shared" si="34"/>
        <v>3.85</v>
      </c>
      <c r="M154" s="15">
        <f t="shared" si="27"/>
        <v>-4.9625000000000002E-2</v>
      </c>
      <c r="N154" s="13">
        <v>260</v>
      </c>
      <c r="O154"/>
      <c r="P154"/>
      <c r="R154"/>
      <c r="S154"/>
      <c r="U154"/>
    </row>
    <row r="155" spans="1:21">
      <c r="A155" t="s">
        <v>333</v>
      </c>
      <c r="B155"/>
      <c r="E155"/>
      <c r="H155"/>
      <c r="J155"/>
      <c r="K155" s="13">
        <v>6.07</v>
      </c>
      <c r="L155">
        <f t="shared" si="34"/>
        <v>6.73</v>
      </c>
      <c r="M155" s="15">
        <f t="shared" si="27"/>
        <v>8.2500000000000021E-3</v>
      </c>
      <c r="N155" s="13">
        <v>280</v>
      </c>
      <c r="O155"/>
      <c r="P155"/>
      <c r="R155"/>
      <c r="S155"/>
      <c r="U155"/>
    </row>
    <row r="156" spans="1:21">
      <c r="A156" t="s">
        <v>472</v>
      </c>
      <c r="B156"/>
      <c r="E156"/>
      <c r="H156"/>
      <c r="J156"/>
      <c r="K156" s="13">
        <v>0.62</v>
      </c>
      <c r="L156">
        <f t="shared" si="34"/>
        <v>8.6199999999999992</v>
      </c>
      <c r="M156" s="15">
        <f t="shared" si="27"/>
        <v>9.9999999999999992E-2</v>
      </c>
      <c r="N156" s="13">
        <v>300</v>
      </c>
      <c r="O156"/>
      <c r="P156"/>
      <c r="R156"/>
      <c r="S156"/>
      <c r="U156"/>
    </row>
    <row r="157" spans="1:21">
      <c r="A157" t="s">
        <v>334</v>
      </c>
      <c r="B157"/>
      <c r="E157"/>
      <c r="H157"/>
      <c r="J157"/>
      <c r="K157" s="13">
        <v>2.39</v>
      </c>
      <c r="L157">
        <f t="shared" si="34"/>
        <v>10.6</v>
      </c>
      <c r="M157" s="15">
        <f t="shared" si="27"/>
        <v>0.10262499999999999</v>
      </c>
      <c r="N157" s="13">
        <v>320</v>
      </c>
      <c r="O157"/>
      <c r="P157"/>
      <c r="R157"/>
      <c r="S157"/>
      <c r="U157"/>
    </row>
    <row r="158" spans="1:21">
      <c r="A158" t="s">
        <v>473</v>
      </c>
      <c r="B158"/>
      <c r="E158"/>
      <c r="H158"/>
      <c r="J158"/>
      <c r="K158" s="13">
        <v>3.85</v>
      </c>
      <c r="L158">
        <f t="shared" si="34"/>
        <v>8.0500000000000007</v>
      </c>
      <c r="M158" s="15">
        <f t="shared" si="27"/>
        <v>5.2500000000000012E-2</v>
      </c>
      <c r="N158" s="13">
        <v>340</v>
      </c>
      <c r="O158"/>
      <c r="P158"/>
      <c r="R158"/>
      <c r="S158"/>
      <c r="U158"/>
    </row>
    <row r="159" spans="1:21">
      <c r="A159" t="s">
        <v>335</v>
      </c>
      <c r="B159"/>
      <c r="E159"/>
      <c r="H159"/>
      <c r="J159"/>
      <c r="K159" s="13">
        <v>6.73</v>
      </c>
      <c r="L159">
        <f t="shared" ref="L159" si="35">K163</f>
        <v>11.59</v>
      </c>
      <c r="M159" s="15">
        <f t="shared" si="27"/>
        <v>6.0749999999999992E-2</v>
      </c>
      <c r="N159" s="13">
        <v>360</v>
      </c>
      <c r="O159"/>
      <c r="P159"/>
      <c r="R159"/>
      <c r="S159"/>
      <c r="U159"/>
    </row>
    <row r="160" spans="1:21">
      <c r="A160" t="s">
        <v>474</v>
      </c>
      <c r="B160"/>
      <c r="E160"/>
      <c r="H160"/>
      <c r="J160"/>
      <c r="K160" s="13">
        <v>8.6199999999999992</v>
      </c>
      <c r="L160">
        <v>7.82</v>
      </c>
      <c r="M160" s="15">
        <f t="shared" si="27"/>
        <v>-9.9999999999999863E-3</v>
      </c>
      <c r="N160" s="13">
        <v>380</v>
      </c>
      <c r="O160"/>
      <c r="P160"/>
      <c r="R160"/>
      <c r="S160"/>
      <c r="U160"/>
    </row>
    <row r="161" spans="1:21">
      <c r="A161" t="s">
        <v>336</v>
      </c>
      <c r="B161"/>
      <c r="E161"/>
      <c r="H161"/>
      <c r="J161"/>
      <c r="K161" s="13">
        <v>10.6</v>
      </c>
      <c r="L161">
        <v>7.82</v>
      </c>
      <c r="M161" s="15">
        <f t="shared" si="27"/>
        <v>-3.4749999999999989E-2</v>
      </c>
      <c r="N161" s="13">
        <v>400</v>
      </c>
      <c r="O161"/>
      <c r="P161"/>
      <c r="R161"/>
      <c r="S161"/>
      <c r="U161"/>
    </row>
    <row r="162" spans="1:21">
      <c r="A162" t="s">
        <v>475</v>
      </c>
      <c r="B162"/>
      <c r="E162"/>
      <c r="H162"/>
      <c r="J162"/>
      <c r="K162" s="13">
        <v>8.0500000000000007</v>
      </c>
      <c r="L162">
        <f>L163</f>
        <v>8.15</v>
      </c>
      <c r="M162" s="15">
        <f t="shared" si="27"/>
        <v>1.2499999999999955E-3</v>
      </c>
      <c r="N162" s="13">
        <v>420</v>
      </c>
      <c r="O162"/>
      <c r="P162"/>
      <c r="R162"/>
      <c r="S162"/>
      <c r="U162"/>
    </row>
    <row r="163" spans="1:21">
      <c r="A163" s="5" t="s">
        <v>337</v>
      </c>
      <c r="B163" s="5"/>
      <c r="C163" s="5"/>
      <c r="D163" s="5"/>
      <c r="E163" s="5"/>
      <c r="F163" s="5"/>
      <c r="G163" s="5"/>
      <c r="H163" s="5"/>
      <c r="I163" s="5"/>
      <c r="J163" s="5"/>
      <c r="K163" s="4">
        <v>11.59</v>
      </c>
      <c r="L163" s="5">
        <v>8.15</v>
      </c>
      <c r="M163" s="6">
        <f t="shared" si="27"/>
        <v>-4.2999999999999997E-2</v>
      </c>
      <c r="N163" s="13">
        <v>440</v>
      </c>
      <c r="O163"/>
      <c r="P163"/>
      <c r="R163"/>
      <c r="S163"/>
      <c r="U163"/>
    </row>
    <row r="164" spans="1:21">
      <c r="A164" t="s">
        <v>476</v>
      </c>
      <c r="B164"/>
      <c r="E164"/>
      <c r="H164"/>
      <c r="J164"/>
      <c r="K164" s="13">
        <f>K165</f>
        <v>13.63</v>
      </c>
      <c r="L164">
        <f>K168</f>
        <v>17.82</v>
      </c>
      <c r="M164" s="15">
        <f t="shared" si="27"/>
        <v>5.2374999999999991E-2</v>
      </c>
      <c r="N164" s="13">
        <v>20</v>
      </c>
      <c r="O164"/>
      <c r="P164"/>
      <c r="R164"/>
      <c r="S164"/>
      <c r="U164"/>
    </row>
    <row r="165" spans="1:21">
      <c r="A165" t="s">
        <v>338</v>
      </c>
      <c r="B165"/>
      <c r="E165"/>
      <c r="H165"/>
      <c r="J165"/>
      <c r="K165" s="13">
        <v>13.63</v>
      </c>
      <c r="L165">
        <v>17.95</v>
      </c>
      <c r="M165" s="15">
        <f t="shared" si="27"/>
        <v>5.3999999999999979E-2</v>
      </c>
      <c r="N165" s="13">
        <v>40</v>
      </c>
      <c r="O165"/>
      <c r="P165"/>
      <c r="R165"/>
      <c r="S165"/>
      <c r="U165"/>
    </row>
    <row r="166" spans="1:21">
      <c r="A166" t="s">
        <v>477</v>
      </c>
      <c r="B166"/>
      <c r="E166"/>
      <c r="H166"/>
      <c r="J166"/>
      <c r="K166" s="13">
        <v>29.41</v>
      </c>
      <c r="L166">
        <f>K170</f>
        <v>16.11</v>
      </c>
      <c r="M166" s="15">
        <f t="shared" si="27"/>
        <v>-0.16625000000000001</v>
      </c>
      <c r="N166" s="13">
        <v>60</v>
      </c>
      <c r="O166"/>
      <c r="P166"/>
      <c r="R166"/>
      <c r="S166"/>
      <c r="U166"/>
    </row>
    <row r="167" spans="1:21">
      <c r="A167" t="s">
        <v>339</v>
      </c>
      <c r="B167"/>
      <c r="E167"/>
      <c r="H167"/>
      <c r="J167"/>
      <c r="K167" s="13">
        <v>22.52</v>
      </c>
      <c r="L167">
        <v>19.7</v>
      </c>
      <c r="M167" s="15">
        <f t="shared" si="27"/>
        <v>-3.5250000000000004E-2</v>
      </c>
      <c r="N167" s="13">
        <v>80</v>
      </c>
      <c r="O167"/>
      <c r="P167"/>
      <c r="R167"/>
      <c r="S167"/>
      <c r="U167"/>
    </row>
    <row r="168" spans="1:21">
      <c r="A168" t="s">
        <v>478</v>
      </c>
      <c r="B168"/>
      <c r="E168"/>
      <c r="H168"/>
      <c r="J168"/>
      <c r="K168" s="13">
        <v>17.82</v>
      </c>
      <c r="L168">
        <f>K172</f>
        <v>17.190000000000001</v>
      </c>
      <c r="M168" s="15">
        <f t="shared" si="27"/>
        <v>-7.8749999999999879E-3</v>
      </c>
      <c r="N168" s="13">
        <v>100</v>
      </c>
      <c r="O168"/>
      <c r="P168"/>
      <c r="R168"/>
      <c r="S168"/>
      <c r="U168"/>
    </row>
    <row r="169" spans="1:21">
      <c r="A169" t="s">
        <v>340</v>
      </c>
      <c r="B169"/>
      <c r="E169"/>
      <c r="H169"/>
      <c r="J169"/>
      <c r="K169" s="13">
        <v>17.95</v>
      </c>
      <c r="L169">
        <v>26.6</v>
      </c>
      <c r="M169" s="15">
        <f t="shared" si="27"/>
        <v>0.10812500000000003</v>
      </c>
      <c r="N169" s="13">
        <v>120</v>
      </c>
      <c r="O169"/>
      <c r="P169"/>
      <c r="R169"/>
      <c r="S169"/>
      <c r="U169"/>
    </row>
    <row r="170" spans="1:21">
      <c r="A170" t="s">
        <v>479</v>
      </c>
      <c r="B170"/>
      <c r="E170"/>
      <c r="H170"/>
      <c r="J170"/>
      <c r="K170" s="13">
        <v>16.11</v>
      </c>
      <c r="L170">
        <f>K174</f>
        <v>18.68</v>
      </c>
      <c r="M170" s="15">
        <f t="shared" si="27"/>
        <v>3.2125000000000001E-2</v>
      </c>
      <c r="N170" s="13">
        <v>140</v>
      </c>
      <c r="O170"/>
      <c r="P170"/>
      <c r="R170"/>
      <c r="S170"/>
      <c r="U170"/>
    </row>
    <row r="171" spans="1:21">
      <c r="A171" t="s">
        <v>341</v>
      </c>
      <c r="B171"/>
      <c r="E171"/>
      <c r="H171"/>
      <c r="J171"/>
      <c r="K171" s="13">
        <v>19.7</v>
      </c>
      <c r="L171">
        <v>32.25</v>
      </c>
      <c r="M171" s="15">
        <f t="shared" si="27"/>
        <v>0.15687500000000001</v>
      </c>
      <c r="N171" s="13">
        <v>160</v>
      </c>
      <c r="O171"/>
      <c r="P171"/>
      <c r="R171"/>
      <c r="S171"/>
      <c r="U171"/>
    </row>
    <row r="172" spans="1:21">
      <c r="A172" t="s">
        <v>480</v>
      </c>
      <c r="B172"/>
      <c r="E172"/>
      <c r="H172"/>
      <c r="J172"/>
      <c r="K172" s="13">
        <v>17.190000000000001</v>
      </c>
      <c r="L172">
        <f>K176</f>
        <v>26.07</v>
      </c>
      <c r="M172" s="15">
        <f t="shared" si="27"/>
        <v>0.11099999999999999</v>
      </c>
      <c r="N172" s="13">
        <v>180</v>
      </c>
      <c r="O172"/>
      <c r="P172"/>
      <c r="R172"/>
      <c r="S172"/>
      <c r="U172"/>
    </row>
    <row r="173" spans="1:21">
      <c r="A173" t="s">
        <v>342</v>
      </c>
      <c r="B173"/>
      <c r="E173"/>
      <c r="H173"/>
      <c r="J173"/>
      <c r="K173" s="13">
        <v>26.6</v>
      </c>
      <c r="L173">
        <v>26.32</v>
      </c>
      <c r="M173" s="15">
        <f t="shared" si="27"/>
        <v>-3.5000000000000144E-3</v>
      </c>
      <c r="N173" s="13">
        <v>200</v>
      </c>
      <c r="O173"/>
      <c r="P173"/>
      <c r="R173"/>
      <c r="S173"/>
      <c r="U173"/>
    </row>
    <row r="174" spans="1:21">
      <c r="A174" t="s">
        <v>481</v>
      </c>
      <c r="B174"/>
      <c r="E174"/>
      <c r="H174"/>
      <c r="J174"/>
      <c r="K174" s="13">
        <v>18.68</v>
      </c>
      <c r="L174">
        <f>K178</f>
        <v>23.15</v>
      </c>
      <c r="M174" s="15">
        <f t="shared" si="27"/>
        <v>5.5874999999999987E-2</v>
      </c>
      <c r="N174" s="13">
        <v>220</v>
      </c>
      <c r="O174"/>
      <c r="P174"/>
      <c r="R174"/>
      <c r="S174"/>
      <c r="U174"/>
    </row>
    <row r="175" spans="1:21">
      <c r="A175" t="s">
        <v>343</v>
      </c>
      <c r="B175"/>
      <c r="E175"/>
      <c r="H175"/>
      <c r="J175"/>
      <c r="K175" s="13">
        <v>32.25</v>
      </c>
      <c r="L175">
        <v>22.19</v>
      </c>
      <c r="M175" s="15">
        <f t="shared" si="27"/>
        <v>-0.12574999999999997</v>
      </c>
      <c r="N175" s="13">
        <v>240</v>
      </c>
      <c r="O175"/>
      <c r="P175"/>
      <c r="R175"/>
      <c r="S175"/>
      <c r="U175"/>
    </row>
    <row r="176" spans="1:21">
      <c r="A176" t="s">
        <v>482</v>
      </c>
      <c r="B176"/>
      <c r="E176"/>
      <c r="H176"/>
      <c r="J176"/>
      <c r="K176" s="13">
        <v>26.07</v>
      </c>
      <c r="L176">
        <f>K180</f>
        <v>21.08</v>
      </c>
      <c r="M176" s="15">
        <f t="shared" si="27"/>
        <v>-6.2375000000000028E-2</v>
      </c>
      <c r="N176" s="13">
        <v>260</v>
      </c>
      <c r="O176"/>
      <c r="P176"/>
      <c r="R176"/>
      <c r="S176"/>
      <c r="U176"/>
    </row>
    <row r="177" spans="1:21">
      <c r="A177" t="s">
        <v>344</v>
      </c>
      <c r="B177"/>
      <c r="E177"/>
      <c r="H177"/>
      <c r="J177"/>
      <c r="K177" s="13">
        <v>26.32</v>
      </c>
      <c r="L177">
        <v>27.81</v>
      </c>
      <c r="M177" s="15">
        <f t="shared" si="27"/>
        <v>1.8624999999999982E-2</v>
      </c>
      <c r="N177" s="13">
        <v>280</v>
      </c>
      <c r="O177"/>
      <c r="P177"/>
      <c r="R177"/>
      <c r="S177"/>
      <c r="U177"/>
    </row>
    <row r="178" spans="1:21">
      <c r="A178" t="s">
        <v>483</v>
      </c>
      <c r="B178"/>
      <c r="E178"/>
      <c r="H178"/>
      <c r="J178"/>
      <c r="K178" s="13">
        <v>23.15</v>
      </c>
      <c r="L178">
        <f>K182</f>
        <v>24.25</v>
      </c>
      <c r="M178" s="15">
        <f t="shared" si="27"/>
        <v>1.3750000000000017E-2</v>
      </c>
      <c r="N178" s="13">
        <v>300</v>
      </c>
      <c r="O178"/>
      <c r="P178"/>
      <c r="R178"/>
      <c r="S178"/>
      <c r="U178"/>
    </row>
    <row r="179" spans="1:21">
      <c r="A179" t="s">
        <v>345</v>
      </c>
      <c r="B179"/>
      <c r="E179"/>
      <c r="H179"/>
      <c r="J179"/>
      <c r="K179" s="13">
        <v>22.19</v>
      </c>
      <c r="L179">
        <v>24.65</v>
      </c>
      <c r="M179" s="15">
        <f t="shared" si="27"/>
        <v>3.0749999999999965E-2</v>
      </c>
      <c r="N179" s="13">
        <v>320</v>
      </c>
      <c r="O179"/>
      <c r="P179"/>
      <c r="R179"/>
      <c r="S179"/>
      <c r="U179"/>
    </row>
    <row r="180" spans="1:21">
      <c r="A180" t="s">
        <v>484</v>
      </c>
      <c r="B180"/>
      <c r="E180"/>
      <c r="H180"/>
      <c r="J180"/>
      <c r="K180" s="13">
        <v>21.08</v>
      </c>
      <c r="L180">
        <f>K184</f>
        <v>19.13</v>
      </c>
      <c r="M180" s="15">
        <f t="shared" si="27"/>
        <v>-2.437499999999999E-2</v>
      </c>
      <c r="N180" s="13">
        <v>340</v>
      </c>
      <c r="O180"/>
      <c r="P180"/>
      <c r="R180"/>
      <c r="S180"/>
      <c r="U180"/>
    </row>
    <row r="181" spans="1:21">
      <c r="A181" t="s">
        <v>346</v>
      </c>
      <c r="B181"/>
      <c r="E181"/>
      <c r="H181"/>
      <c r="J181"/>
      <c r="K181" s="13">
        <v>27.81</v>
      </c>
      <c r="L181">
        <v>18.920000000000002</v>
      </c>
      <c r="M181" s="15">
        <f t="shared" si="27"/>
        <v>-0.11112499999999996</v>
      </c>
      <c r="N181" s="13">
        <v>360</v>
      </c>
      <c r="O181"/>
      <c r="P181"/>
      <c r="R181"/>
      <c r="S181"/>
      <c r="U181"/>
    </row>
    <row r="182" spans="1:21">
      <c r="A182" t="s">
        <v>485</v>
      </c>
      <c r="B182"/>
      <c r="E182"/>
      <c r="H182"/>
      <c r="J182"/>
      <c r="K182" s="13">
        <v>24.25</v>
      </c>
      <c r="L182">
        <v>8.9700000000000006</v>
      </c>
      <c r="M182" s="15">
        <f t="shared" si="27"/>
        <v>-0.191</v>
      </c>
      <c r="N182" s="13">
        <v>380</v>
      </c>
      <c r="O182"/>
      <c r="P182"/>
      <c r="R182"/>
      <c r="S182"/>
      <c r="U182"/>
    </row>
    <row r="183" spans="1:21">
      <c r="A183" t="s">
        <v>347</v>
      </c>
      <c r="B183"/>
      <c r="E183"/>
      <c r="H183"/>
      <c r="J183"/>
      <c r="K183" s="13">
        <v>24.65</v>
      </c>
      <c r="L183">
        <v>7.59</v>
      </c>
      <c r="M183" s="15">
        <f t="shared" si="27"/>
        <v>-0.21325</v>
      </c>
      <c r="N183" s="13">
        <v>400</v>
      </c>
      <c r="O183"/>
      <c r="P183"/>
      <c r="R183"/>
      <c r="S183"/>
      <c r="U183"/>
    </row>
    <row r="184" spans="1:21">
      <c r="A184" t="s">
        <v>486</v>
      </c>
      <c r="B184"/>
      <c r="E184"/>
      <c r="H184"/>
      <c r="J184"/>
      <c r="K184" s="13">
        <v>19.13</v>
      </c>
      <c r="L184">
        <v>4.99</v>
      </c>
      <c r="M184" s="15">
        <f t="shared" si="27"/>
        <v>-0.17674999999999999</v>
      </c>
      <c r="N184" s="13">
        <v>420</v>
      </c>
      <c r="O184"/>
      <c r="P184"/>
      <c r="R184"/>
      <c r="S184"/>
      <c r="U184"/>
    </row>
    <row r="185" spans="1:21">
      <c r="A185" t="s">
        <v>348</v>
      </c>
      <c r="B185"/>
      <c r="E185"/>
      <c r="H185"/>
      <c r="J185"/>
      <c r="K185" s="13">
        <v>18.920000000000002</v>
      </c>
      <c r="L185">
        <v>5.98</v>
      </c>
      <c r="M185" s="15">
        <f t="shared" si="27"/>
        <v>-0.16175</v>
      </c>
      <c r="N185" s="13">
        <v>440</v>
      </c>
      <c r="O185"/>
      <c r="P185"/>
      <c r="R185"/>
      <c r="S185"/>
      <c r="U185"/>
    </row>
    <row r="186" spans="1:21">
      <c r="A186" s="5" t="s">
        <v>524</v>
      </c>
      <c r="B186" s="5"/>
      <c r="C186" s="5"/>
      <c r="D186" s="5"/>
      <c r="E186" s="5"/>
      <c r="F186" s="5"/>
      <c r="G186" s="5"/>
      <c r="H186" s="5"/>
      <c r="I186" s="5"/>
      <c r="J186" s="5"/>
      <c r="K186" s="4">
        <f>L182</f>
        <v>8.9700000000000006</v>
      </c>
      <c r="L186" s="5">
        <f>L185</f>
        <v>5.98</v>
      </c>
      <c r="M186" s="6">
        <f t="shared" si="27"/>
        <v>-3.7375000000000005E-2</v>
      </c>
      <c r="N186" s="13">
        <v>460</v>
      </c>
      <c r="O186"/>
      <c r="P186"/>
      <c r="R186"/>
      <c r="S186"/>
      <c r="U186"/>
    </row>
    <row r="187" spans="1:21">
      <c r="A187" t="s">
        <v>487</v>
      </c>
      <c r="B187"/>
      <c r="E187"/>
      <c r="H187"/>
      <c r="J187"/>
      <c r="K187" s="13">
        <f>K188</f>
        <v>18.62</v>
      </c>
      <c r="L187">
        <f>K191</f>
        <v>16.920000000000002</v>
      </c>
      <c r="M187" s="15">
        <f t="shared" si="27"/>
        <v>-2.1249999999999991E-2</v>
      </c>
      <c r="N187" s="13">
        <v>20</v>
      </c>
      <c r="O187"/>
      <c r="P187"/>
      <c r="R187"/>
      <c r="S187"/>
      <c r="U187"/>
    </row>
    <row r="188" spans="1:21">
      <c r="A188" t="s">
        <v>349</v>
      </c>
      <c r="B188"/>
      <c r="E188"/>
      <c r="H188"/>
      <c r="J188"/>
      <c r="K188" s="13">
        <v>18.62</v>
      </c>
      <c r="L188">
        <v>18.78</v>
      </c>
      <c r="M188" s="15">
        <f t="shared" si="27"/>
        <v>2.0000000000000018E-3</v>
      </c>
      <c r="N188" s="13">
        <v>40</v>
      </c>
      <c r="O188"/>
      <c r="P188"/>
      <c r="R188"/>
      <c r="S188"/>
      <c r="U188"/>
    </row>
    <row r="189" spans="1:21">
      <c r="A189" t="s">
        <v>488</v>
      </c>
      <c r="B189"/>
      <c r="E189"/>
      <c r="H189"/>
      <c r="J189"/>
      <c r="K189" s="13">
        <v>19.28</v>
      </c>
      <c r="L189">
        <f>K193</f>
        <v>16.71</v>
      </c>
      <c r="M189" s="15">
        <f t="shared" si="27"/>
        <v>-3.2125000000000001E-2</v>
      </c>
      <c r="N189" s="13">
        <v>60</v>
      </c>
      <c r="O189"/>
      <c r="P189"/>
      <c r="R189"/>
      <c r="S189"/>
      <c r="U189"/>
    </row>
    <row r="190" spans="1:21">
      <c r="A190" t="s">
        <v>350</v>
      </c>
      <c r="B190"/>
      <c r="E190"/>
      <c r="H190"/>
      <c r="J190"/>
      <c r="K190" s="13">
        <v>20.61</v>
      </c>
      <c r="L190">
        <v>13.65</v>
      </c>
      <c r="M190" s="15">
        <f t="shared" si="27"/>
        <v>-8.6999999999999994E-2</v>
      </c>
      <c r="N190" s="13">
        <v>80</v>
      </c>
      <c r="O190"/>
      <c r="P190"/>
      <c r="R190"/>
      <c r="S190"/>
      <c r="U190"/>
    </row>
    <row r="191" spans="1:21">
      <c r="A191" t="s">
        <v>489</v>
      </c>
      <c r="B191"/>
      <c r="E191"/>
      <c r="H191"/>
      <c r="J191"/>
      <c r="K191" s="13">
        <v>16.920000000000002</v>
      </c>
      <c r="L191">
        <f>K195</f>
        <v>19.010000000000002</v>
      </c>
      <c r="M191" s="15">
        <f t="shared" si="27"/>
        <v>2.6124999999999999E-2</v>
      </c>
      <c r="N191" s="13">
        <v>100</v>
      </c>
      <c r="O191"/>
      <c r="P191"/>
      <c r="R191"/>
      <c r="S191"/>
      <c r="U191"/>
    </row>
    <row r="192" spans="1:21">
      <c r="A192" t="s">
        <v>351</v>
      </c>
      <c r="B192"/>
      <c r="E192"/>
      <c r="H192"/>
      <c r="J192"/>
      <c r="K192" s="13">
        <v>18.78</v>
      </c>
      <c r="L192">
        <v>18.510000000000002</v>
      </c>
      <c r="M192" s="15">
        <f t="shared" si="27"/>
        <v>-3.3749999999999948E-3</v>
      </c>
      <c r="N192" s="13">
        <v>120</v>
      </c>
      <c r="O192"/>
      <c r="P192"/>
      <c r="R192"/>
      <c r="S192"/>
      <c r="U192"/>
    </row>
    <row r="193" spans="1:21">
      <c r="A193" t="s">
        <v>490</v>
      </c>
      <c r="B193"/>
      <c r="E193"/>
      <c r="H193"/>
      <c r="J193"/>
      <c r="K193" s="13">
        <v>16.71</v>
      </c>
      <c r="L193">
        <f>K197</f>
        <v>20.73</v>
      </c>
      <c r="M193" s="15">
        <f t="shared" si="27"/>
        <v>5.0249999999999996E-2</v>
      </c>
      <c r="N193" s="13">
        <v>140</v>
      </c>
      <c r="O193"/>
      <c r="P193"/>
      <c r="R193"/>
      <c r="S193"/>
      <c r="U193"/>
    </row>
    <row r="194" spans="1:21">
      <c r="A194" t="s">
        <v>352</v>
      </c>
      <c r="B194"/>
      <c r="E194"/>
      <c r="H194"/>
      <c r="J194"/>
      <c r="K194" s="13">
        <v>13.65</v>
      </c>
      <c r="L194">
        <v>18.309999999999999</v>
      </c>
      <c r="M194" s="15">
        <f t="shared" si="27"/>
        <v>5.8249999999999982E-2</v>
      </c>
      <c r="N194" s="13">
        <v>160</v>
      </c>
      <c r="O194"/>
      <c r="P194"/>
      <c r="R194"/>
      <c r="S194"/>
      <c r="U194"/>
    </row>
    <row r="195" spans="1:21">
      <c r="A195" t="s">
        <v>491</v>
      </c>
      <c r="B195"/>
      <c r="E195"/>
      <c r="H195"/>
      <c r="J195"/>
      <c r="K195" s="13">
        <v>19.010000000000002</v>
      </c>
      <c r="L195">
        <f>K199</f>
        <v>15.59</v>
      </c>
      <c r="M195" s="15">
        <f t="shared" si="27"/>
        <v>-4.2750000000000024E-2</v>
      </c>
      <c r="N195" s="13">
        <v>180</v>
      </c>
      <c r="O195"/>
      <c r="P195"/>
      <c r="R195"/>
      <c r="S195"/>
      <c r="U195"/>
    </row>
    <row r="196" spans="1:21">
      <c r="A196" t="s">
        <v>353</v>
      </c>
      <c r="B196"/>
      <c r="E196"/>
      <c r="H196"/>
      <c r="J196"/>
      <c r="K196" s="13">
        <v>18.510000000000002</v>
      </c>
      <c r="L196">
        <v>23.2</v>
      </c>
      <c r="M196" s="15">
        <f t="shared" si="27"/>
        <v>5.8624999999999969E-2</v>
      </c>
      <c r="N196" s="13">
        <v>200</v>
      </c>
      <c r="O196"/>
      <c r="P196"/>
      <c r="R196"/>
      <c r="S196"/>
      <c r="U196"/>
    </row>
    <row r="197" spans="1:21">
      <c r="A197" t="s">
        <v>492</v>
      </c>
      <c r="B197"/>
      <c r="E197"/>
      <c r="H197"/>
      <c r="J197"/>
      <c r="K197" s="13">
        <v>20.73</v>
      </c>
      <c r="L197">
        <f>K201</f>
        <v>28.23</v>
      </c>
      <c r="M197" s="15">
        <f t="shared" si="27"/>
        <v>9.375E-2</v>
      </c>
      <c r="N197" s="13">
        <v>220</v>
      </c>
      <c r="O197"/>
      <c r="P197"/>
      <c r="R197"/>
      <c r="S197"/>
      <c r="U197"/>
    </row>
    <row r="198" spans="1:21">
      <c r="A198" t="s">
        <v>354</v>
      </c>
      <c r="B198"/>
      <c r="E198"/>
      <c r="H198"/>
      <c r="J198"/>
      <c r="K198" s="13">
        <v>18.309999999999999</v>
      </c>
      <c r="L198">
        <v>19.38</v>
      </c>
      <c r="M198" s="15">
        <f t="shared" si="27"/>
        <v>1.3375000000000003E-2</v>
      </c>
      <c r="N198" s="13">
        <v>240</v>
      </c>
      <c r="O198"/>
      <c r="P198"/>
      <c r="R198"/>
      <c r="S198"/>
      <c r="U198"/>
    </row>
    <row r="199" spans="1:21">
      <c r="A199" t="s">
        <v>493</v>
      </c>
      <c r="B199"/>
      <c r="E199"/>
      <c r="H199"/>
      <c r="J199"/>
      <c r="K199" s="13">
        <v>15.59</v>
      </c>
      <c r="L199">
        <f>K203</f>
        <v>18.440000000000001</v>
      </c>
      <c r="M199" s="15">
        <f t="shared" ref="M199:M232" si="36">(L199-K199)/80</f>
        <v>3.5625000000000018E-2</v>
      </c>
      <c r="N199" s="13">
        <v>260</v>
      </c>
      <c r="O199"/>
      <c r="P199"/>
      <c r="R199"/>
      <c r="S199"/>
      <c r="U199"/>
    </row>
    <row r="200" spans="1:21">
      <c r="A200" t="s">
        <v>355</v>
      </c>
      <c r="B200"/>
      <c r="E200"/>
      <c r="H200"/>
      <c r="J200"/>
      <c r="K200" s="13">
        <v>23.2</v>
      </c>
      <c r="L200">
        <v>15.18</v>
      </c>
      <c r="M200" s="15">
        <f t="shared" si="36"/>
        <v>-0.10024999999999999</v>
      </c>
      <c r="N200" s="13">
        <v>280</v>
      </c>
      <c r="O200"/>
      <c r="P200"/>
      <c r="R200"/>
      <c r="S200"/>
      <c r="U200"/>
    </row>
    <row r="201" spans="1:21">
      <c r="A201" t="s">
        <v>494</v>
      </c>
      <c r="B201"/>
      <c r="E201"/>
      <c r="H201"/>
      <c r="J201"/>
      <c r="K201" s="13">
        <v>28.23</v>
      </c>
      <c r="L201">
        <f>K205</f>
        <v>19.72</v>
      </c>
      <c r="M201" s="15">
        <f t="shared" si="36"/>
        <v>-0.10637500000000003</v>
      </c>
      <c r="N201" s="13">
        <v>300</v>
      </c>
      <c r="O201"/>
      <c r="P201"/>
      <c r="R201"/>
      <c r="S201"/>
      <c r="U201"/>
    </row>
    <row r="202" spans="1:21">
      <c r="A202" t="s">
        <v>356</v>
      </c>
      <c r="B202"/>
      <c r="E202"/>
      <c r="H202"/>
      <c r="J202"/>
      <c r="K202" s="13">
        <v>19.38</v>
      </c>
      <c r="L202">
        <v>19.309999999999999</v>
      </c>
      <c r="M202" s="15">
        <f t="shared" si="36"/>
        <v>-8.750000000000036E-4</v>
      </c>
      <c r="N202" s="13">
        <v>320</v>
      </c>
      <c r="O202"/>
      <c r="P202"/>
      <c r="R202"/>
      <c r="S202"/>
      <c r="U202"/>
    </row>
    <row r="203" spans="1:21">
      <c r="A203" t="s">
        <v>495</v>
      </c>
      <c r="B203"/>
      <c r="E203"/>
      <c r="H203"/>
      <c r="J203"/>
      <c r="K203" s="13">
        <v>18.440000000000001</v>
      </c>
      <c r="L203">
        <f>K207</f>
        <v>17.170000000000002</v>
      </c>
      <c r="M203" s="15">
        <f t="shared" si="36"/>
        <v>-1.5874999999999993E-2</v>
      </c>
      <c r="N203" s="13">
        <v>340</v>
      </c>
      <c r="O203"/>
      <c r="P203"/>
      <c r="R203"/>
      <c r="S203"/>
      <c r="U203"/>
    </row>
    <row r="204" spans="1:21">
      <c r="A204" t="s">
        <v>357</v>
      </c>
      <c r="B204"/>
      <c r="E204"/>
      <c r="H204"/>
      <c r="J204"/>
      <c r="K204" s="13">
        <v>15.18</v>
      </c>
      <c r="L204">
        <v>6.67</v>
      </c>
      <c r="M204" s="15">
        <f t="shared" si="36"/>
        <v>-0.106375</v>
      </c>
      <c r="N204" s="13">
        <v>360</v>
      </c>
      <c r="O204"/>
      <c r="P204"/>
      <c r="R204"/>
      <c r="S204"/>
      <c r="U204"/>
    </row>
    <row r="205" spans="1:21">
      <c r="A205" t="s">
        <v>496</v>
      </c>
      <c r="B205"/>
      <c r="E205"/>
      <c r="H205"/>
      <c r="J205"/>
      <c r="K205" s="13">
        <v>19.72</v>
      </c>
      <c r="L205">
        <f>K209</f>
        <v>8.57</v>
      </c>
      <c r="M205" s="15">
        <f t="shared" si="36"/>
        <v>-0.13937499999999997</v>
      </c>
      <c r="N205" s="13">
        <v>380</v>
      </c>
      <c r="O205"/>
      <c r="P205"/>
      <c r="R205"/>
      <c r="S205"/>
      <c r="U205"/>
    </row>
    <row r="206" spans="1:21">
      <c r="A206" t="s">
        <v>358</v>
      </c>
      <c r="B206"/>
      <c r="E206"/>
      <c r="H206"/>
      <c r="J206"/>
      <c r="K206" s="13">
        <v>19.309999999999999</v>
      </c>
      <c r="L206">
        <v>11.35</v>
      </c>
      <c r="M206" s="15">
        <f t="shared" si="36"/>
        <v>-9.9499999999999991E-2</v>
      </c>
      <c r="N206" s="13">
        <v>400</v>
      </c>
      <c r="O206"/>
      <c r="P206"/>
      <c r="R206"/>
      <c r="S206"/>
      <c r="U206"/>
    </row>
    <row r="207" spans="1:21">
      <c r="A207" t="s">
        <v>497</v>
      </c>
      <c r="B207"/>
      <c r="E207"/>
      <c r="H207"/>
      <c r="J207"/>
      <c r="K207" s="13">
        <v>17.170000000000002</v>
      </c>
      <c r="L207">
        <f>K211</f>
        <v>9.99</v>
      </c>
      <c r="M207" s="15">
        <f t="shared" si="36"/>
        <v>-8.9750000000000024E-2</v>
      </c>
      <c r="N207" s="13">
        <v>420</v>
      </c>
      <c r="O207"/>
      <c r="P207"/>
      <c r="R207"/>
      <c r="S207"/>
      <c r="U207"/>
    </row>
    <row r="208" spans="1:21">
      <c r="A208" t="s">
        <v>359</v>
      </c>
      <c r="B208"/>
      <c r="E208"/>
      <c r="H208"/>
      <c r="J208"/>
      <c r="K208" s="13">
        <v>6.67</v>
      </c>
      <c r="L208">
        <v>7.23</v>
      </c>
      <c r="M208" s="15">
        <f t="shared" si="36"/>
        <v>7.0000000000000062E-3</v>
      </c>
      <c r="N208" s="13">
        <v>440</v>
      </c>
      <c r="O208"/>
      <c r="P208"/>
      <c r="R208"/>
      <c r="S208"/>
      <c r="U208"/>
    </row>
    <row r="209" spans="1:21">
      <c r="A209" t="s">
        <v>498</v>
      </c>
      <c r="B209"/>
      <c r="E209"/>
      <c r="H209"/>
      <c r="J209"/>
      <c r="K209" s="13">
        <v>8.57</v>
      </c>
      <c r="L209">
        <f>K213</f>
        <v>8.09</v>
      </c>
      <c r="M209" s="15">
        <f t="shared" si="36"/>
        <v>-6.0000000000000053E-3</v>
      </c>
      <c r="N209" s="13">
        <v>460</v>
      </c>
      <c r="O209"/>
      <c r="P209"/>
      <c r="R209"/>
      <c r="S209"/>
      <c r="U209"/>
    </row>
    <row r="210" spans="1:21">
      <c r="A210" t="s">
        <v>360</v>
      </c>
      <c r="B210"/>
      <c r="E210"/>
      <c r="H210"/>
      <c r="J210"/>
      <c r="K210" s="13">
        <v>11.35</v>
      </c>
      <c r="L210">
        <v>7.32</v>
      </c>
      <c r="M210" s="15">
        <f t="shared" si="36"/>
        <v>-5.0374999999999989E-2</v>
      </c>
      <c r="N210" s="13">
        <v>480</v>
      </c>
      <c r="O210"/>
      <c r="P210"/>
      <c r="R210"/>
      <c r="S210"/>
      <c r="U210"/>
    </row>
    <row r="211" spans="1:21">
      <c r="A211" t="s">
        <v>499</v>
      </c>
      <c r="B211"/>
      <c r="E211"/>
      <c r="H211"/>
      <c r="J211"/>
      <c r="K211" s="13">
        <v>9.99</v>
      </c>
      <c r="L211">
        <v>5.19</v>
      </c>
      <c r="M211" s="15">
        <f t="shared" si="36"/>
        <v>-0.06</v>
      </c>
      <c r="N211" s="13">
        <v>500</v>
      </c>
      <c r="O211"/>
      <c r="P211"/>
      <c r="R211"/>
      <c r="S211"/>
      <c r="U211"/>
    </row>
    <row r="212" spans="1:21">
      <c r="A212" t="s">
        <v>361</v>
      </c>
      <c r="B212"/>
      <c r="E212"/>
      <c r="H212"/>
      <c r="J212"/>
      <c r="K212" s="13">
        <v>7.23</v>
      </c>
      <c r="L212">
        <v>7.2</v>
      </c>
      <c r="M212" s="15">
        <f t="shared" si="36"/>
        <v>-3.750000000000031E-4</v>
      </c>
      <c r="N212" s="13">
        <v>520</v>
      </c>
      <c r="O212"/>
      <c r="P212"/>
      <c r="R212"/>
      <c r="S212"/>
      <c r="U212"/>
    </row>
    <row r="213" spans="1:21">
      <c r="A213" t="s">
        <v>500</v>
      </c>
      <c r="B213"/>
      <c r="E213"/>
      <c r="H213"/>
      <c r="J213"/>
      <c r="K213" s="13">
        <v>8.09</v>
      </c>
      <c r="L213">
        <f>L214</f>
        <v>5.86</v>
      </c>
      <c r="M213" s="15">
        <f t="shared" si="36"/>
        <v>-2.7874999999999994E-2</v>
      </c>
      <c r="N213" s="13">
        <v>540</v>
      </c>
      <c r="O213"/>
      <c r="P213"/>
      <c r="R213"/>
      <c r="S213"/>
      <c r="U213"/>
    </row>
    <row r="214" spans="1:21">
      <c r="A214" s="5" t="s">
        <v>362</v>
      </c>
      <c r="B214" s="5"/>
      <c r="C214" s="5"/>
      <c r="D214" s="5"/>
      <c r="E214" s="5"/>
      <c r="F214" s="5"/>
      <c r="G214" s="5"/>
      <c r="H214" s="5"/>
      <c r="I214" s="5"/>
      <c r="J214" s="5"/>
      <c r="K214" s="4">
        <v>7.32</v>
      </c>
      <c r="L214" s="5">
        <v>5.86</v>
      </c>
      <c r="M214" s="6">
        <f t="shared" si="36"/>
        <v>-1.8249999999999999E-2</v>
      </c>
      <c r="N214" s="13">
        <v>560</v>
      </c>
      <c r="O214"/>
      <c r="P214"/>
      <c r="R214"/>
      <c r="S214"/>
      <c r="U214"/>
    </row>
    <row r="215" spans="1:21">
      <c r="A215" t="s">
        <v>501</v>
      </c>
      <c r="B215"/>
      <c r="E215"/>
      <c r="H215"/>
      <c r="J215"/>
      <c r="K215" s="13">
        <f>K216</f>
        <v>6.91</v>
      </c>
      <c r="L215">
        <f>K219</f>
        <v>13.97</v>
      </c>
      <c r="M215" s="15">
        <f t="shared" si="36"/>
        <v>8.8250000000000009E-2</v>
      </c>
      <c r="N215" s="13">
        <v>20</v>
      </c>
      <c r="O215"/>
      <c r="P215"/>
      <c r="R215"/>
      <c r="S215"/>
      <c r="U215"/>
    </row>
    <row r="216" spans="1:21">
      <c r="A216" t="s">
        <v>363</v>
      </c>
      <c r="B216"/>
      <c r="E216"/>
      <c r="H216"/>
      <c r="J216"/>
      <c r="K216" s="13">
        <v>6.91</v>
      </c>
      <c r="L216">
        <v>17.25</v>
      </c>
      <c r="M216" s="15">
        <f t="shared" si="36"/>
        <v>0.12925</v>
      </c>
      <c r="N216" s="13">
        <v>40</v>
      </c>
      <c r="O216"/>
      <c r="P216"/>
      <c r="R216"/>
      <c r="S216"/>
      <c r="U216"/>
    </row>
    <row r="217" spans="1:21">
      <c r="A217" t="s">
        <v>502</v>
      </c>
      <c r="B217"/>
      <c r="E217"/>
      <c r="H217"/>
      <c r="J217"/>
      <c r="K217" s="13">
        <v>33.47</v>
      </c>
      <c r="L217">
        <f>K221</f>
        <v>32.08</v>
      </c>
      <c r="M217" s="15">
        <f t="shared" si="36"/>
        <v>-1.7375000000000008E-2</v>
      </c>
      <c r="N217" s="13">
        <v>60</v>
      </c>
      <c r="O217"/>
      <c r="P217"/>
      <c r="R217"/>
      <c r="S217"/>
      <c r="U217"/>
    </row>
    <row r="218" spans="1:21">
      <c r="A218" t="s">
        <v>365</v>
      </c>
      <c r="B218"/>
      <c r="E218"/>
      <c r="H218"/>
      <c r="J218"/>
      <c r="K218" s="13">
        <v>18.350000000000001</v>
      </c>
      <c r="L218">
        <v>27.37</v>
      </c>
      <c r="M218" s="15">
        <f t="shared" si="36"/>
        <v>0.11274999999999999</v>
      </c>
      <c r="N218" s="13">
        <v>80</v>
      </c>
      <c r="O218"/>
      <c r="P218"/>
      <c r="R218"/>
      <c r="S218"/>
      <c r="U218"/>
    </row>
    <row r="219" spans="1:21">
      <c r="A219" t="s">
        <v>503</v>
      </c>
      <c r="B219"/>
      <c r="E219"/>
      <c r="H219"/>
      <c r="J219"/>
      <c r="K219" s="13">
        <v>13.97</v>
      </c>
      <c r="L219">
        <f>K223</f>
        <v>17.809999999999999</v>
      </c>
      <c r="M219" s="15">
        <f t="shared" si="36"/>
        <v>4.7999999999999973E-2</v>
      </c>
      <c r="N219" s="13">
        <v>100</v>
      </c>
      <c r="O219"/>
      <c r="P219"/>
      <c r="R219"/>
      <c r="S219"/>
      <c r="U219"/>
    </row>
    <row r="220" spans="1:21">
      <c r="A220" t="s">
        <v>364</v>
      </c>
      <c r="B220"/>
      <c r="E220"/>
      <c r="H220"/>
      <c r="J220"/>
      <c r="K220" s="13">
        <v>17.25</v>
      </c>
      <c r="L220">
        <v>22.18</v>
      </c>
      <c r="M220" s="15">
        <f t="shared" si="36"/>
        <v>6.1624999999999999E-2</v>
      </c>
      <c r="N220" s="13">
        <v>120</v>
      </c>
      <c r="O220"/>
      <c r="P220"/>
      <c r="R220"/>
      <c r="S220"/>
      <c r="U220"/>
    </row>
    <row r="221" spans="1:21">
      <c r="A221" t="s">
        <v>504</v>
      </c>
      <c r="B221"/>
      <c r="E221"/>
      <c r="H221"/>
      <c r="J221"/>
      <c r="K221" s="13">
        <v>32.08</v>
      </c>
      <c r="L221">
        <f>K225</f>
        <v>12.25</v>
      </c>
      <c r="M221" s="15">
        <f t="shared" si="36"/>
        <v>-0.24787499999999998</v>
      </c>
      <c r="N221" s="13">
        <v>140</v>
      </c>
      <c r="O221"/>
      <c r="P221"/>
      <c r="R221"/>
      <c r="S221"/>
      <c r="U221"/>
    </row>
    <row r="222" spans="1:21">
      <c r="A222" t="s">
        <v>366</v>
      </c>
      <c r="B222"/>
      <c r="E222"/>
      <c r="H222"/>
      <c r="J222"/>
      <c r="K222" s="13">
        <v>27.37</v>
      </c>
      <c r="L222">
        <v>8.39</v>
      </c>
      <c r="M222" s="15">
        <f t="shared" si="36"/>
        <v>-0.23725000000000002</v>
      </c>
      <c r="N222" s="13">
        <v>160</v>
      </c>
      <c r="O222"/>
      <c r="P222"/>
      <c r="R222"/>
      <c r="S222"/>
      <c r="U222"/>
    </row>
    <row r="223" spans="1:21">
      <c r="A223" t="s">
        <v>505</v>
      </c>
      <c r="B223"/>
      <c r="E223"/>
      <c r="H223"/>
      <c r="J223"/>
      <c r="K223" s="13">
        <v>17.809999999999999</v>
      </c>
      <c r="L223">
        <f>K227</f>
        <v>7.15</v>
      </c>
      <c r="M223" s="15">
        <f t="shared" si="36"/>
        <v>-0.13324999999999998</v>
      </c>
      <c r="N223" s="13">
        <v>180</v>
      </c>
      <c r="O223"/>
      <c r="P223"/>
      <c r="R223"/>
      <c r="S223"/>
      <c r="U223"/>
    </row>
    <row r="224" spans="1:21">
      <c r="A224" t="s">
        <v>367</v>
      </c>
      <c r="B224"/>
      <c r="E224"/>
      <c r="H224"/>
      <c r="J224"/>
      <c r="K224" s="13">
        <v>22.18</v>
      </c>
      <c r="L224">
        <v>7.53</v>
      </c>
      <c r="M224" s="15">
        <f t="shared" si="36"/>
        <v>-0.18312499999999998</v>
      </c>
      <c r="N224" s="13">
        <v>200</v>
      </c>
      <c r="O224"/>
      <c r="P224"/>
      <c r="R224"/>
      <c r="S224"/>
      <c r="U224"/>
    </row>
    <row r="225" spans="1:21">
      <c r="A225" t="s">
        <v>506</v>
      </c>
      <c r="B225"/>
      <c r="E225"/>
      <c r="H225"/>
      <c r="J225"/>
      <c r="K225" s="13">
        <v>12.25</v>
      </c>
      <c r="L225">
        <f>K229</f>
        <v>9.4499999999999993</v>
      </c>
      <c r="M225" s="15">
        <f t="shared" si="36"/>
        <v>-3.500000000000001E-2</v>
      </c>
      <c r="N225" s="13">
        <v>220</v>
      </c>
      <c r="O225"/>
      <c r="P225"/>
      <c r="R225"/>
      <c r="S225"/>
      <c r="U225"/>
    </row>
    <row r="226" spans="1:21">
      <c r="A226" t="s">
        <v>368</v>
      </c>
      <c r="B226"/>
      <c r="E226"/>
      <c r="H226"/>
      <c r="J226"/>
      <c r="K226" s="13">
        <v>8.39</v>
      </c>
      <c r="L226">
        <v>11.68</v>
      </c>
      <c r="M226" s="15">
        <f t="shared" si="36"/>
        <v>4.1124999999999988E-2</v>
      </c>
      <c r="N226" s="13">
        <v>240</v>
      </c>
      <c r="O226"/>
      <c r="P226"/>
      <c r="R226"/>
      <c r="S226"/>
      <c r="U226"/>
    </row>
    <row r="227" spans="1:21">
      <c r="A227" t="s">
        <v>507</v>
      </c>
      <c r="B227"/>
      <c r="E227"/>
      <c r="H227"/>
      <c r="J227"/>
      <c r="K227" s="13">
        <v>7.15</v>
      </c>
      <c r="L227">
        <f>K231</f>
        <v>8.68</v>
      </c>
      <c r="M227" s="15">
        <f t="shared" si="36"/>
        <v>1.9124999999999993E-2</v>
      </c>
      <c r="N227" s="13">
        <v>260</v>
      </c>
      <c r="O227"/>
      <c r="P227"/>
      <c r="R227"/>
      <c r="S227"/>
      <c r="U227"/>
    </row>
    <row r="228" spans="1:21">
      <c r="A228" t="s">
        <v>369</v>
      </c>
      <c r="B228"/>
      <c r="E228"/>
      <c r="H228"/>
      <c r="J228"/>
      <c r="K228" s="13">
        <v>7.53</v>
      </c>
      <c r="L228">
        <v>8.77</v>
      </c>
      <c r="M228" s="15">
        <f t="shared" si="36"/>
        <v>1.5499999999999991E-2</v>
      </c>
      <c r="N228" s="13">
        <v>280</v>
      </c>
      <c r="O228"/>
      <c r="P228"/>
      <c r="R228"/>
      <c r="S228"/>
      <c r="U228"/>
    </row>
    <row r="229" spans="1:21">
      <c r="A229" t="s">
        <v>508</v>
      </c>
      <c r="B229"/>
      <c r="E229"/>
      <c r="H229"/>
      <c r="J229"/>
      <c r="K229" s="13">
        <v>9.4499999999999993</v>
      </c>
      <c r="L229">
        <v>4.4800000000000004</v>
      </c>
      <c r="M229" s="15">
        <f t="shared" si="36"/>
        <v>-6.2124999999999986E-2</v>
      </c>
      <c r="N229" s="13">
        <v>300</v>
      </c>
      <c r="O229"/>
      <c r="P229"/>
      <c r="R229"/>
      <c r="S229"/>
      <c r="U229"/>
    </row>
    <row r="230" spans="1:21">
      <c r="A230" t="s">
        <v>370</v>
      </c>
      <c r="B230"/>
      <c r="E230"/>
      <c r="H230"/>
      <c r="J230"/>
      <c r="K230" s="13">
        <v>11.68</v>
      </c>
      <c r="L230">
        <v>4.16</v>
      </c>
      <c r="M230" s="15">
        <f t="shared" si="36"/>
        <v>-9.4E-2</v>
      </c>
      <c r="N230" s="13">
        <v>320</v>
      </c>
      <c r="O230"/>
      <c r="P230"/>
      <c r="R230"/>
      <c r="S230"/>
      <c r="U230"/>
    </row>
    <row r="231" spans="1:21">
      <c r="A231" t="s">
        <v>509</v>
      </c>
      <c r="B231"/>
      <c r="E231"/>
      <c r="H231"/>
      <c r="J231"/>
      <c r="K231" s="13">
        <v>8.68</v>
      </c>
      <c r="L231">
        <f>L232</f>
        <v>3.04</v>
      </c>
      <c r="M231" s="15">
        <f t="shared" si="36"/>
        <v>-7.0499999999999993E-2</v>
      </c>
      <c r="N231" s="13">
        <v>340</v>
      </c>
      <c r="O231"/>
      <c r="P231"/>
      <c r="R231"/>
      <c r="S231"/>
      <c r="U231"/>
    </row>
    <row r="232" spans="1:21">
      <c r="A232" t="s">
        <v>371</v>
      </c>
      <c r="B232" s="5"/>
      <c r="C232" s="5"/>
      <c r="D232" s="5"/>
      <c r="E232" s="5"/>
      <c r="F232" s="5"/>
      <c r="G232" s="5"/>
      <c r="H232" s="5"/>
      <c r="I232" s="5"/>
      <c r="J232" s="5"/>
      <c r="K232" s="13">
        <v>8.77</v>
      </c>
      <c r="L232">
        <v>3.04</v>
      </c>
      <c r="M232" s="15">
        <f t="shared" si="36"/>
        <v>-7.1624999999999994E-2</v>
      </c>
      <c r="N232" s="13">
        <v>360</v>
      </c>
      <c r="O232"/>
      <c r="P232"/>
      <c r="R232"/>
      <c r="S232"/>
      <c r="U232"/>
    </row>
    <row r="233" spans="1:21">
      <c r="A233" s="2" t="s">
        <v>511</v>
      </c>
      <c r="B233"/>
      <c r="E233"/>
      <c r="H233"/>
      <c r="J233"/>
      <c r="K233" s="1">
        <v>26.94</v>
      </c>
      <c r="L233" s="2">
        <f>K237</f>
        <v>21.91</v>
      </c>
      <c r="M233" s="3">
        <f>(L233-K233)/80</f>
        <v>-6.2875000000000014E-2</v>
      </c>
      <c r="N233" s="13">
        <v>20</v>
      </c>
      <c r="O233"/>
      <c r="P233"/>
      <c r="R233"/>
      <c r="S233"/>
      <c r="U233"/>
    </row>
    <row r="234" spans="1:21">
      <c r="A234" t="s">
        <v>372</v>
      </c>
      <c r="B234"/>
      <c r="E234"/>
      <c r="H234"/>
      <c r="J234"/>
      <c r="K234" s="13">
        <v>26.94</v>
      </c>
      <c r="L234">
        <v>23.95</v>
      </c>
      <c r="M234" s="15">
        <f>(L234-K234)/80</f>
        <v>-3.7375000000000026E-2</v>
      </c>
      <c r="N234" s="13">
        <v>40</v>
      </c>
      <c r="O234"/>
      <c r="P234"/>
      <c r="R234"/>
      <c r="S234"/>
      <c r="U234"/>
    </row>
    <row r="235" spans="1:21">
      <c r="A235" t="s">
        <v>510</v>
      </c>
      <c r="B235"/>
      <c r="E235"/>
      <c r="H235"/>
      <c r="J235"/>
      <c r="K235" s="13">
        <v>34.14</v>
      </c>
      <c r="L235">
        <f>K239</f>
        <v>16.239999999999998</v>
      </c>
      <c r="M235" s="15">
        <f t="shared" ref="M235:M344" si="37">(L235-K235)/80</f>
        <v>-0.22375000000000003</v>
      </c>
      <c r="N235" s="13">
        <v>60</v>
      </c>
      <c r="O235"/>
      <c r="P235"/>
      <c r="R235"/>
      <c r="S235"/>
      <c r="U235"/>
    </row>
    <row r="236" spans="1:21">
      <c r="A236" t="s">
        <v>373</v>
      </c>
      <c r="B236"/>
      <c r="E236"/>
      <c r="H236"/>
      <c r="J236"/>
      <c r="K236" s="13">
        <v>34.85</v>
      </c>
      <c r="L236">
        <v>12.23</v>
      </c>
      <c r="M236" s="15">
        <f t="shared" si="37"/>
        <v>-0.28275</v>
      </c>
      <c r="N236" s="13">
        <v>80</v>
      </c>
      <c r="O236"/>
      <c r="P236"/>
      <c r="R236"/>
      <c r="S236"/>
      <c r="U236"/>
    </row>
    <row r="237" spans="1:21">
      <c r="A237" t="s">
        <v>512</v>
      </c>
      <c r="B237"/>
      <c r="E237"/>
      <c r="H237"/>
      <c r="J237"/>
      <c r="K237" s="13">
        <v>21.91</v>
      </c>
      <c r="L237">
        <f>K241</f>
        <v>10.69</v>
      </c>
      <c r="M237" s="15">
        <f t="shared" si="37"/>
        <v>-0.14025000000000001</v>
      </c>
      <c r="N237" s="13">
        <v>100</v>
      </c>
      <c r="O237"/>
      <c r="P237"/>
      <c r="R237"/>
      <c r="S237"/>
      <c r="U237"/>
    </row>
    <row r="238" spans="1:21">
      <c r="A238" t="s">
        <v>374</v>
      </c>
      <c r="B238"/>
      <c r="E238"/>
      <c r="H238"/>
      <c r="J238"/>
      <c r="K238" s="13">
        <v>23.95</v>
      </c>
      <c r="L238">
        <v>9.15</v>
      </c>
      <c r="M238" s="15">
        <f t="shared" si="37"/>
        <v>-0.185</v>
      </c>
      <c r="N238" s="13">
        <v>120</v>
      </c>
      <c r="O238"/>
      <c r="P238"/>
      <c r="R238"/>
      <c r="S238"/>
      <c r="U238"/>
    </row>
    <row r="239" spans="1:21">
      <c r="A239" t="s">
        <v>513</v>
      </c>
      <c r="B239"/>
      <c r="E239"/>
      <c r="H239"/>
      <c r="J239"/>
      <c r="K239" s="13">
        <v>16.239999999999998</v>
      </c>
      <c r="L239">
        <v>17.03</v>
      </c>
      <c r="M239" s="15">
        <f t="shared" si="37"/>
        <v>9.8750000000000331E-3</v>
      </c>
      <c r="N239" s="13">
        <v>140</v>
      </c>
      <c r="O239"/>
      <c r="P239"/>
      <c r="R239"/>
      <c r="S239"/>
      <c r="U239"/>
    </row>
    <row r="240" spans="1:21">
      <c r="A240" t="s">
        <v>375</v>
      </c>
      <c r="B240"/>
      <c r="E240"/>
      <c r="H240"/>
      <c r="J240"/>
      <c r="K240" s="13">
        <v>12.23</v>
      </c>
      <c r="L240">
        <v>13.7</v>
      </c>
      <c r="M240" s="15">
        <f t="shared" si="37"/>
        <v>1.8374999999999985E-2</v>
      </c>
      <c r="N240" s="13">
        <v>160</v>
      </c>
      <c r="O240"/>
      <c r="P240"/>
      <c r="R240"/>
      <c r="S240"/>
      <c r="U240"/>
    </row>
    <row r="241" spans="1:21">
      <c r="A241" t="s">
        <v>514</v>
      </c>
      <c r="B241" s="5"/>
      <c r="C241" s="5"/>
      <c r="D241" s="5"/>
      <c r="E241" s="5"/>
      <c r="F241" s="5"/>
      <c r="G241" s="5"/>
      <c r="H241" s="5"/>
      <c r="I241" s="5"/>
      <c r="J241" s="5"/>
      <c r="K241" s="13">
        <v>10.69</v>
      </c>
      <c r="L241">
        <f>L242</f>
        <v>4.6500000000000004</v>
      </c>
      <c r="M241" s="15">
        <f t="shared" si="37"/>
        <v>-7.5499999999999984E-2</v>
      </c>
      <c r="N241" s="13">
        <v>180</v>
      </c>
      <c r="O241"/>
      <c r="P241"/>
      <c r="R241"/>
      <c r="S241"/>
      <c r="U241"/>
    </row>
    <row r="242" spans="1:21">
      <c r="A242" s="5" t="s">
        <v>376</v>
      </c>
      <c r="B242"/>
      <c r="E242"/>
      <c r="H242"/>
      <c r="J242"/>
      <c r="K242" s="4">
        <v>9.15</v>
      </c>
      <c r="L242" s="5">
        <v>4.6500000000000004</v>
      </c>
      <c r="M242" s="6">
        <f t="shared" si="37"/>
        <v>-5.6250000000000001E-2</v>
      </c>
      <c r="N242" s="13">
        <v>200</v>
      </c>
      <c r="O242"/>
      <c r="P242"/>
      <c r="R242"/>
      <c r="S242"/>
      <c r="U242"/>
    </row>
    <row r="243" spans="1:21">
      <c r="A243" t="s">
        <v>515</v>
      </c>
      <c r="B243"/>
      <c r="E243"/>
      <c r="H243"/>
      <c r="J243"/>
      <c r="K243" s="13">
        <f>K244</f>
        <v>24.1</v>
      </c>
      <c r="L243">
        <f>K247</f>
        <v>18.12</v>
      </c>
      <c r="M243" s="15">
        <f t="shared" si="37"/>
        <v>-7.4750000000000011E-2</v>
      </c>
      <c r="N243" s="13">
        <v>20</v>
      </c>
      <c r="O243"/>
      <c r="P243"/>
      <c r="R243"/>
      <c r="S243"/>
      <c r="U243"/>
    </row>
    <row r="244" spans="1:21">
      <c r="A244" t="s">
        <v>377</v>
      </c>
      <c r="B244"/>
      <c r="E244"/>
      <c r="H244"/>
      <c r="J244"/>
      <c r="K244" s="13">
        <v>24.1</v>
      </c>
      <c r="L244">
        <v>15.32</v>
      </c>
      <c r="M244" s="15">
        <f t="shared" si="37"/>
        <v>-0.10975000000000001</v>
      </c>
      <c r="N244" s="13">
        <v>40</v>
      </c>
      <c r="O244"/>
      <c r="P244"/>
      <c r="R244"/>
      <c r="S244"/>
      <c r="U244"/>
    </row>
    <row r="245" spans="1:21">
      <c r="A245" t="s">
        <v>516</v>
      </c>
      <c r="B245"/>
      <c r="E245"/>
      <c r="H245"/>
      <c r="J245"/>
      <c r="K245" s="13">
        <v>27.02</v>
      </c>
      <c r="L245">
        <v>13.41</v>
      </c>
      <c r="M245" s="15">
        <f t="shared" si="37"/>
        <v>-0.170125</v>
      </c>
      <c r="N245" s="13">
        <v>60</v>
      </c>
      <c r="O245"/>
      <c r="P245"/>
      <c r="R245"/>
      <c r="S245"/>
      <c r="U245"/>
    </row>
    <row r="246" spans="1:21">
      <c r="A246" t="s">
        <v>378</v>
      </c>
      <c r="B246"/>
      <c r="E246"/>
      <c r="H246"/>
      <c r="J246"/>
      <c r="K246" s="13">
        <v>29.84</v>
      </c>
      <c r="L246">
        <v>4.8099999999999996</v>
      </c>
      <c r="M246" s="15">
        <f t="shared" si="37"/>
        <v>-0.31287500000000001</v>
      </c>
      <c r="N246" s="13">
        <v>80</v>
      </c>
      <c r="O246"/>
      <c r="P246"/>
      <c r="R246"/>
      <c r="S246"/>
      <c r="U246"/>
    </row>
    <row r="247" spans="1:21">
      <c r="A247" t="s">
        <v>517</v>
      </c>
      <c r="B247" s="5"/>
      <c r="C247" s="5"/>
      <c r="D247" s="5"/>
      <c r="E247" s="5"/>
      <c r="F247" s="5"/>
      <c r="G247" s="5"/>
      <c r="H247" s="5"/>
      <c r="I247" s="5"/>
      <c r="J247" s="5"/>
      <c r="K247" s="13">
        <v>18.12</v>
      </c>
      <c r="L247">
        <f>L248</f>
        <v>1.62</v>
      </c>
      <c r="M247" s="15">
        <f t="shared" si="37"/>
        <v>-0.20624999999999999</v>
      </c>
      <c r="N247" s="13">
        <v>100</v>
      </c>
      <c r="O247"/>
      <c r="P247"/>
      <c r="R247"/>
      <c r="S247"/>
      <c r="U247"/>
    </row>
    <row r="248" spans="1:21">
      <c r="A248" t="s">
        <v>379</v>
      </c>
      <c r="B248"/>
      <c r="E248"/>
      <c r="H248"/>
      <c r="J248"/>
      <c r="K248" s="13">
        <v>15.32</v>
      </c>
      <c r="L248">
        <v>1.62</v>
      </c>
      <c r="M248" s="6">
        <f t="shared" si="37"/>
        <v>-0.17124999999999999</v>
      </c>
      <c r="N248" s="13">
        <v>120</v>
      </c>
      <c r="O248"/>
      <c r="P248"/>
      <c r="R248"/>
      <c r="S248"/>
      <c r="U248"/>
    </row>
    <row r="249" spans="1:21">
      <c r="A249" s="2" t="s">
        <v>521</v>
      </c>
      <c r="B249" s="2"/>
      <c r="C249" s="2"/>
      <c r="D249" s="2"/>
      <c r="E249" s="2"/>
      <c r="F249" s="2"/>
      <c r="G249" s="2"/>
      <c r="H249" s="2"/>
      <c r="I249" s="2"/>
      <c r="J249" s="2"/>
      <c r="K249" s="1">
        <f>K250</f>
        <v>19.63</v>
      </c>
      <c r="L249" s="2">
        <v>24.86</v>
      </c>
      <c r="M249" s="15">
        <f t="shared" si="37"/>
        <v>6.5375000000000003E-2</v>
      </c>
      <c r="N249" s="13">
        <v>20</v>
      </c>
      <c r="O249"/>
      <c r="P249"/>
      <c r="R249"/>
      <c r="S249"/>
      <c r="U249"/>
    </row>
    <row r="250" spans="1:21">
      <c r="A250" t="s">
        <v>380</v>
      </c>
      <c r="B250"/>
      <c r="E250"/>
      <c r="H250"/>
      <c r="J250"/>
      <c r="K250" s="13">
        <v>19.63</v>
      </c>
      <c r="L250">
        <v>25.09</v>
      </c>
      <c r="M250" s="15">
        <f t="shared" si="37"/>
        <v>6.8250000000000005E-2</v>
      </c>
      <c r="N250" s="13">
        <v>40</v>
      </c>
      <c r="O250"/>
      <c r="P250"/>
      <c r="R250"/>
      <c r="S250"/>
      <c r="U250"/>
    </row>
    <row r="251" spans="1:21">
      <c r="A251" t="s">
        <v>520</v>
      </c>
      <c r="B251"/>
      <c r="E251"/>
      <c r="H251"/>
      <c r="J251"/>
      <c r="K251" s="13">
        <v>30.95</v>
      </c>
      <c r="L251">
        <f>L252</f>
        <v>28.81</v>
      </c>
      <c r="M251" s="15">
        <f t="shared" si="37"/>
        <v>-2.6750000000000006E-2</v>
      </c>
      <c r="N251" s="13">
        <v>60</v>
      </c>
      <c r="O251"/>
      <c r="P251"/>
      <c r="R251"/>
      <c r="S251"/>
      <c r="U251"/>
    </row>
    <row r="252" spans="1:21">
      <c r="A252" s="5" t="s">
        <v>381</v>
      </c>
      <c r="B252" s="5"/>
      <c r="C252" s="5"/>
      <c r="D252" s="5"/>
      <c r="E252" s="5"/>
      <c r="F252" s="5"/>
      <c r="G252" s="5"/>
      <c r="H252" s="5"/>
      <c r="I252" s="5"/>
      <c r="J252" s="5"/>
      <c r="K252" s="4">
        <v>27.85</v>
      </c>
      <c r="L252" s="5">
        <v>28.81</v>
      </c>
      <c r="M252" s="6">
        <f t="shared" si="37"/>
        <v>1.1999999999999966E-2</v>
      </c>
      <c r="N252" s="13">
        <v>80</v>
      </c>
      <c r="O252"/>
      <c r="P252"/>
      <c r="R252"/>
      <c r="S252"/>
      <c r="U252"/>
    </row>
    <row r="253" spans="1:21">
      <c r="A253" t="s">
        <v>526</v>
      </c>
      <c r="B253"/>
      <c r="E253"/>
      <c r="H253"/>
      <c r="J253"/>
      <c r="K253" s="13">
        <f>K254</f>
        <v>26.7</v>
      </c>
      <c r="L253">
        <f>K257</f>
        <v>29.47</v>
      </c>
      <c r="M253" s="15">
        <f t="shared" si="37"/>
        <v>3.4624999999999996E-2</v>
      </c>
      <c r="N253" s="13">
        <v>20</v>
      </c>
      <c r="O253"/>
      <c r="P253"/>
      <c r="R253"/>
      <c r="S253"/>
      <c r="U253"/>
    </row>
    <row r="254" spans="1:21">
      <c r="A254" t="s">
        <v>382</v>
      </c>
      <c r="B254"/>
      <c r="E254"/>
      <c r="H254"/>
      <c r="J254"/>
      <c r="K254" s="13">
        <v>26.7</v>
      </c>
      <c r="L254">
        <v>36.54</v>
      </c>
      <c r="M254" s="15">
        <f t="shared" si="37"/>
        <v>0.123</v>
      </c>
      <c r="N254" s="13">
        <v>40</v>
      </c>
      <c r="O254"/>
      <c r="P254"/>
      <c r="R254"/>
      <c r="S254"/>
      <c r="U254"/>
    </row>
    <row r="255" spans="1:21">
      <c r="A255" t="s">
        <v>527</v>
      </c>
      <c r="B255"/>
      <c r="E255"/>
      <c r="H255"/>
      <c r="J255"/>
      <c r="K255" s="13">
        <v>27.99</v>
      </c>
      <c r="L255">
        <f>K259</f>
        <v>26.05</v>
      </c>
      <c r="M255" s="15">
        <f t="shared" si="37"/>
        <v>-2.4249999999999973E-2</v>
      </c>
      <c r="N255" s="13">
        <v>60</v>
      </c>
      <c r="O255"/>
      <c r="P255"/>
      <c r="R255"/>
      <c r="S255"/>
      <c r="U255"/>
    </row>
    <row r="256" spans="1:21">
      <c r="A256" t="s">
        <v>383</v>
      </c>
      <c r="B256"/>
      <c r="E256"/>
      <c r="H256"/>
      <c r="J256"/>
      <c r="K256" s="13">
        <v>34.17</v>
      </c>
      <c r="L256">
        <v>25.95</v>
      </c>
      <c r="M256" s="15">
        <f t="shared" si="37"/>
        <v>-0.10275000000000004</v>
      </c>
      <c r="N256" s="13">
        <v>80</v>
      </c>
      <c r="O256"/>
      <c r="P256"/>
      <c r="R256"/>
      <c r="S256"/>
      <c r="U256"/>
    </row>
    <row r="257" spans="1:21">
      <c r="A257" t="s">
        <v>528</v>
      </c>
      <c r="B257"/>
      <c r="E257"/>
      <c r="H257"/>
      <c r="J257"/>
      <c r="K257" s="13">
        <v>29.47</v>
      </c>
      <c r="L257">
        <f>K261</f>
        <v>25.11</v>
      </c>
      <c r="M257" s="15">
        <f t="shared" si="37"/>
        <v>-5.4499999999999993E-2</v>
      </c>
      <c r="N257" s="13">
        <v>100</v>
      </c>
      <c r="O257"/>
      <c r="P257"/>
      <c r="R257"/>
      <c r="S257"/>
      <c r="U257"/>
    </row>
    <row r="258" spans="1:21">
      <c r="A258" t="s">
        <v>384</v>
      </c>
      <c r="B258"/>
      <c r="E258"/>
      <c r="H258"/>
      <c r="J258"/>
      <c r="K258" s="13">
        <v>36.54</v>
      </c>
      <c r="L258">
        <v>20.59</v>
      </c>
      <c r="M258" s="15">
        <f t="shared" si="37"/>
        <v>-0.199375</v>
      </c>
      <c r="N258" s="13">
        <v>120</v>
      </c>
      <c r="O258"/>
      <c r="P258"/>
      <c r="R258"/>
      <c r="S258"/>
      <c r="U258"/>
    </row>
    <row r="259" spans="1:21">
      <c r="A259" t="s">
        <v>529</v>
      </c>
      <c r="B259"/>
      <c r="E259"/>
      <c r="H259"/>
      <c r="J259"/>
      <c r="K259" s="13">
        <v>26.05</v>
      </c>
      <c r="L259">
        <f>K263</f>
        <v>22.88</v>
      </c>
      <c r="M259" s="15">
        <f t="shared" si="37"/>
        <v>-3.9625000000000021E-2</v>
      </c>
      <c r="N259" s="13">
        <v>140</v>
      </c>
      <c r="O259"/>
      <c r="P259"/>
      <c r="R259"/>
      <c r="S259"/>
      <c r="U259"/>
    </row>
    <row r="260" spans="1:21">
      <c r="A260" t="s">
        <v>385</v>
      </c>
      <c r="B260"/>
      <c r="E260"/>
      <c r="H260"/>
      <c r="J260"/>
      <c r="K260" s="13">
        <v>25.95</v>
      </c>
      <c r="L260">
        <v>25.17</v>
      </c>
      <c r="M260" s="15">
        <f t="shared" si="37"/>
        <v>-9.7499999999999705E-3</v>
      </c>
      <c r="N260" s="13">
        <v>160</v>
      </c>
      <c r="O260"/>
      <c r="P260"/>
      <c r="R260"/>
      <c r="S260"/>
      <c r="U260"/>
    </row>
    <row r="261" spans="1:21">
      <c r="A261" t="s">
        <v>530</v>
      </c>
      <c r="B261"/>
      <c r="E261"/>
      <c r="H261"/>
      <c r="J261"/>
      <c r="K261" s="13">
        <v>25.11</v>
      </c>
      <c r="L261">
        <f>K265</f>
        <v>16.12</v>
      </c>
      <c r="M261" s="15">
        <f t="shared" si="37"/>
        <v>-0.11237499999999997</v>
      </c>
      <c r="N261" s="13">
        <v>180</v>
      </c>
      <c r="O261"/>
      <c r="P261"/>
      <c r="R261"/>
      <c r="S261"/>
      <c r="U261"/>
    </row>
    <row r="262" spans="1:21">
      <c r="A262" t="s">
        <v>386</v>
      </c>
      <c r="B262"/>
      <c r="E262"/>
      <c r="H262"/>
      <c r="J262"/>
      <c r="K262" s="13">
        <v>20.59</v>
      </c>
      <c r="L262">
        <v>9.24</v>
      </c>
      <c r="M262" s="15">
        <f t="shared" si="37"/>
        <v>-0.141875</v>
      </c>
      <c r="N262" s="13">
        <v>200</v>
      </c>
      <c r="O262"/>
      <c r="P262"/>
      <c r="R262"/>
      <c r="S262"/>
      <c r="U262"/>
    </row>
    <row r="263" spans="1:21">
      <c r="A263" t="s">
        <v>531</v>
      </c>
      <c r="B263"/>
      <c r="E263"/>
      <c r="H263"/>
      <c r="J263"/>
      <c r="K263" s="13">
        <v>22.88</v>
      </c>
      <c r="L263">
        <f>K267</f>
        <v>14.02</v>
      </c>
      <c r="M263" s="15">
        <f t="shared" si="37"/>
        <v>-0.11074999999999999</v>
      </c>
      <c r="N263" s="13">
        <v>220</v>
      </c>
      <c r="O263"/>
      <c r="P263"/>
      <c r="R263"/>
      <c r="S263"/>
      <c r="U263"/>
    </row>
    <row r="264" spans="1:21">
      <c r="A264" t="s">
        <v>387</v>
      </c>
      <c r="B264"/>
      <c r="E264"/>
      <c r="H264"/>
      <c r="J264"/>
      <c r="K264" s="13">
        <v>25.17</v>
      </c>
      <c r="L264">
        <v>10.47</v>
      </c>
      <c r="M264" s="15">
        <f t="shared" si="37"/>
        <v>-0.18375000000000002</v>
      </c>
      <c r="N264" s="13">
        <v>240</v>
      </c>
      <c r="O264"/>
      <c r="P264"/>
      <c r="R264"/>
      <c r="S264"/>
      <c r="U264"/>
    </row>
    <row r="265" spans="1:21">
      <c r="A265" t="s">
        <v>532</v>
      </c>
      <c r="B265"/>
      <c r="E265"/>
      <c r="H265"/>
      <c r="J265"/>
      <c r="K265" s="13">
        <v>16.12</v>
      </c>
      <c r="L265">
        <v>3.5</v>
      </c>
      <c r="M265" s="15">
        <f t="shared" si="37"/>
        <v>-0.15775</v>
      </c>
      <c r="N265" s="13">
        <v>260</v>
      </c>
      <c r="O265"/>
      <c r="P265"/>
      <c r="R265"/>
      <c r="S265"/>
      <c r="U265"/>
    </row>
    <row r="266" spans="1:21">
      <c r="A266" t="s">
        <v>388</v>
      </c>
      <c r="B266"/>
      <c r="E266"/>
      <c r="H266"/>
      <c r="J266"/>
      <c r="K266" s="13">
        <v>9.24</v>
      </c>
      <c r="L266">
        <v>4.16</v>
      </c>
      <c r="M266" s="15">
        <f t="shared" si="37"/>
        <v>-6.3500000000000001E-2</v>
      </c>
      <c r="N266" s="13">
        <v>280</v>
      </c>
      <c r="O266"/>
      <c r="P266"/>
      <c r="R266"/>
      <c r="S266"/>
      <c r="U266"/>
    </row>
    <row r="267" spans="1:21">
      <c r="A267" t="s">
        <v>533</v>
      </c>
      <c r="B267"/>
      <c r="E267"/>
      <c r="H267"/>
      <c r="J267"/>
      <c r="K267" s="13">
        <v>14.02</v>
      </c>
      <c r="L267">
        <f>L268</f>
        <v>4.7</v>
      </c>
      <c r="M267" s="15">
        <f t="shared" si="37"/>
        <v>-0.11650000000000001</v>
      </c>
      <c r="N267" s="13">
        <v>300</v>
      </c>
      <c r="O267"/>
      <c r="P267"/>
      <c r="R267"/>
      <c r="S267"/>
      <c r="U267"/>
    </row>
    <row r="268" spans="1:21">
      <c r="A268" s="5" t="s">
        <v>389</v>
      </c>
      <c r="B268" s="5"/>
      <c r="C268" s="5"/>
      <c r="D268" s="5"/>
      <c r="E268" s="5"/>
      <c r="F268" s="5"/>
      <c r="G268" s="5"/>
      <c r="H268" s="5"/>
      <c r="I268" s="5"/>
      <c r="J268" s="5"/>
      <c r="K268" s="4">
        <v>10.47</v>
      </c>
      <c r="L268" s="5">
        <v>4.7</v>
      </c>
      <c r="M268" s="6">
        <f t="shared" si="37"/>
        <v>-7.2125000000000009E-2</v>
      </c>
      <c r="N268" s="13">
        <v>320</v>
      </c>
      <c r="O268"/>
      <c r="P268"/>
      <c r="R268"/>
      <c r="S268"/>
      <c r="U268"/>
    </row>
    <row r="269" spans="1:21">
      <c r="A269" t="s">
        <v>534</v>
      </c>
      <c r="B269"/>
      <c r="E269"/>
      <c r="H269"/>
      <c r="J269"/>
      <c r="K269" s="13">
        <f>K270</f>
        <v>12.93</v>
      </c>
      <c r="L269">
        <f>K273</f>
        <v>22.78</v>
      </c>
      <c r="M269" s="15">
        <f t="shared" si="37"/>
        <v>0.12312500000000001</v>
      </c>
      <c r="N269" s="13">
        <v>20</v>
      </c>
      <c r="O269"/>
      <c r="P269"/>
      <c r="R269"/>
      <c r="S269"/>
      <c r="U269"/>
    </row>
    <row r="270" spans="1:21">
      <c r="A270" t="s">
        <v>390</v>
      </c>
      <c r="B270"/>
      <c r="E270"/>
      <c r="H270"/>
      <c r="J270"/>
      <c r="K270" s="13">
        <v>12.93</v>
      </c>
      <c r="L270">
        <v>42.28</v>
      </c>
      <c r="M270" s="15">
        <f t="shared" si="37"/>
        <v>0.36687500000000001</v>
      </c>
      <c r="N270" s="13">
        <v>40</v>
      </c>
      <c r="O270"/>
      <c r="P270"/>
      <c r="R270"/>
      <c r="S270"/>
      <c r="U270"/>
    </row>
    <row r="271" spans="1:21">
      <c r="A271" t="s">
        <v>535</v>
      </c>
      <c r="B271"/>
      <c r="E271"/>
      <c r="H271"/>
      <c r="J271"/>
      <c r="K271" s="13">
        <v>23.72</v>
      </c>
      <c r="L271">
        <f>K275</f>
        <v>28.75</v>
      </c>
      <c r="M271" s="15">
        <f t="shared" si="37"/>
        <v>6.2875000000000014E-2</v>
      </c>
      <c r="N271" s="13">
        <v>60</v>
      </c>
      <c r="O271"/>
      <c r="P271"/>
      <c r="R271"/>
      <c r="S271"/>
      <c r="U271"/>
    </row>
    <row r="272" spans="1:21">
      <c r="A272" t="s">
        <v>391</v>
      </c>
      <c r="B272"/>
      <c r="E272"/>
      <c r="H272"/>
      <c r="J272"/>
      <c r="K272" s="13">
        <v>30.95</v>
      </c>
      <c r="L272">
        <v>31.86</v>
      </c>
      <c r="M272" s="15">
        <f t="shared" si="37"/>
        <v>1.1375000000000001E-2</v>
      </c>
      <c r="N272" s="13">
        <v>80</v>
      </c>
      <c r="O272"/>
      <c r="P272"/>
      <c r="R272"/>
      <c r="S272"/>
      <c r="U272"/>
    </row>
    <row r="273" spans="1:21">
      <c r="A273" t="s">
        <v>536</v>
      </c>
      <c r="B273"/>
      <c r="E273"/>
      <c r="H273"/>
      <c r="J273"/>
      <c r="K273" s="13">
        <v>22.78</v>
      </c>
      <c r="L273">
        <f>K277</f>
        <v>35.25</v>
      </c>
      <c r="M273" s="15">
        <f t="shared" si="37"/>
        <v>0.15587499999999999</v>
      </c>
      <c r="N273" s="13">
        <v>100</v>
      </c>
      <c r="O273"/>
      <c r="P273"/>
      <c r="R273"/>
      <c r="S273"/>
      <c r="U273"/>
    </row>
    <row r="274" spans="1:21">
      <c r="A274" t="s">
        <v>392</v>
      </c>
      <c r="B274"/>
      <c r="E274"/>
      <c r="H274"/>
      <c r="J274"/>
      <c r="K274" s="13">
        <v>42.28</v>
      </c>
      <c r="L274">
        <v>30.56</v>
      </c>
      <c r="M274" s="15">
        <f t="shared" si="37"/>
        <v>-0.14650000000000002</v>
      </c>
      <c r="N274" s="13">
        <v>120</v>
      </c>
      <c r="O274"/>
      <c r="P274"/>
      <c r="R274"/>
      <c r="S274"/>
      <c r="U274"/>
    </row>
    <row r="275" spans="1:21">
      <c r="A275" t="s">
        <v>537</v>
      </c>
      <c r="B275"/>
      <c r="E275"/>
      <c r="H275"/>
      <c r="J275"/>
      <c r="K275" s="13">
        <v>28.75</v>
      </c>
      <c r="L275">
        <f>K279</f>
        <v>26.21</v>
      </c>
      <c r="M275" s="15">
        <f t="shared" si="37"/>
        <v>-3.1749999999999987E-2</v>
      </c>
      <c r="N275" s="13">
        <v>140</v>
      </c>
      <c r="O275"/>
      <c r="P275"/>
      <c r="R275"/>
      <c r="S275"/>
      <c r="U275"/>
    </row>
    <row r="276" spans="1:21">
      <c r="A276" t="s">
        <v>393</v>
      </c>
      <c r="B276"/>
      <c r="E276"/>
      <c r="H276"/>
      <c r="J276"/>
      <c r="K276" s="13">
        <v>31.86</v>
      </c>
      <c r="L276">
        <v>20.67</v>
      </c>
      <c r="M276" s="15">
        <f t="shared" si="37"/>
        <v>-0.13987499999999997</v>
      </c>
      <c r="N276" s="13">
        <v>160</v>
      </c>
      <c r="O276"/>
      <c r="P276"/>
      <c r="R276"/>
      <c r="S276"/>
      <c r="U276"/>
    </row>
    <row r="277" spans="1:21">
      <c r="A277" t="s">
        <v>538</v>
      </c>
      <c r="B277"/>
      <c r="E277"/>
      <c r="H277"/>
      <c r="J277"/>
      <c r="K277" s="13">
        <v>35.25</v>
      </c>
      <c r="L277">
        <f>K281</f>
        <v>14.38</v>
      </c>
      <c r="M277" s="15">
        <f t="shared" si="37"/>
        <v>-0.26087499999999997</v>
      </c>
      <c r="N277" s="13">
        <v>180</v>
      </c>
      <c r="O277"/>
      <c r="P277"/>
      <c r="R277"/>
      <c r="S277"/>
      <c r="U277"/>
    </row>
    <row r="278" spans="1:21">
      <c r="A278" t="s">
        <v>394</v>
      </c>
      <c r="B278"/>
      <c r="E278"/>
      <c r="H278"/>
      <c r="J278"/>
      <c r="K278" s="13">
        <v>30.56</v>
      </c>
      <c r="L278">
        <v>17.82</v>
      </c>
      <c r="M278" s="15">
        <f t="shared" si="37"/>
        <v>-0.15924999999999997</v>
      </c>
      <c r="N278" s="13">
        <v>200</v>
      </c>
      <c r="O278"/>
      <c r="P278"/>
      <c r="R278"/>
      <c r="S278"/>
      <c r="U278"/>
    </row>
    <row r="279" spans="1:21">
      <c r="A279" t="s">
        <v>539</v>
      </c>
      <c r="B279"/>
      <c r="E279"/>
      <c r="H279"/>
      <c r="J279"/>
      <c r="K279" s="13">
        <v>26.21</v>
      </c>
      <c r="L279">
        <f>K283</f>
        <v>10.11</v>
      </c>
      <c r="M279" s="15">
        <f t="shared" si="37"/>
        <v>-0.20125000000000001</v>
      </c>
      <c r="N279" s="13">
        <v>220</v>
      </c>
      <c r="O279"/>
      <c r="P279"/>
      <c r="R279"/>
      <c r="S279"/>
      <c r="U279"/>
    </row>
    <row r="280" spans="1:21">
      <c r="A280" t="s">
        <v>395</v>
      </c>
      <c r="B280"/>
      <c r="E280"/>
      <c r="H280"/>
      <c r="J280"/>
      <c r="K280" s="13">
        <v>20.67</v>
      </c>
      <c r="L280">
        <v>7.16</v>
      </c>
      <c r="M280" s="15">
        <f t="shared" si="37"/>
        <v>-0.16887500000000003</v>
      </c>
      <c r="N280" s="13">
        <v>240</v>
      </c>
      <c r="O280"/>
      <c r="P280"/>
      <c r="R280"/>
      <c r="S280"/>
      <c r="U280"/>
    </row>
    <row r="281" spans="1:21">
      <c r="A281" t="s">
        <v>540</v>
      </c>
      <c r="B281"/>
      <c r="E281"/>
      <c r="H281"/>
      <c r="J281"/>
      <c r="K281" s="13">
        <v>14.38</v>
      </c>
      <c r="L281">
        <v>4.2699999999999996</v>
      </c>
      <c r="M281" s="15">
        <f t="shared" si="37"/>
        <v>-0.12637500000000002</v>
      </c>
      <c r="N281" s="13">
        <v>260</v>
      </c>
      <c r="O281"/>
      <c r="P281"/>
      <c r="R281"/>
      <c r="S281"/>
      <c r="U281"/>
    </row>
    <row r="282" spans="1:21">
      <c r="A282" t="s">
        <v>396</v>
      </c>
      <c r="B282"/>
      <c r="E282"/>
      <c r="H282"/>
      <c r="J282"/>
      <c r="K282" s="13">
        <v>17.82</v>
      </c>
      <c r="L282">
        <v>6.07</v>
      </c>
      <c r="M282" s="15">
        <f t="shared" si="37"/>
        <v>-0.14687500000000001</v>
      </c>
      <c r="N282" s="13">
        <v>280</v>
      </c>
      <c r="O282"/>
      <c r="P282"/>
      <c r="R282"/>
      <c r="S282"/>
      <c r="U282"/>
    </row>
    <row r="283" spans="1:21">
      <c r="A283" t="s">
        <v>541</v>
      </c>
      <c r="B283"/>
      <c r="E283"/>
      <c r="H283"/>
      <c r="J283"/>
      <c r="K283" s="13">
        <v>10.11</v>
      </c>
      <c r="L283">
        <f>L284</f>
        <v>4.04</v>
      </c>
      <c r="M283" s="15">
        <f t="shared" si="37"/>
        <v>-7.5874999999999998E-2</v>
      </c>
      <c r="N283" s="13">
        <v>300</v>
      </c>
      <c r="O283"/>
      <c r="P283"/>
      <c r="R283"/>
      <c r="S283"/>
      <c r="U283"/>
    </row>
    <row r="284" spans="1:21">
      <c r="A284" s="5" t="s">
        <v>397</v>
      </c>
      <c r="B284" s="5"/>
      <c r="C284" s="5"/>
      <c r="D284" s="5"/>
      <c r="E284" s="5"/>
      <c r="F284" s="5"/>
      <c r="G284" s="5"/>
      <c r="H284" s="5"/>
      <c r="I284" s="5"/>
      <c r="J284" s="5"/>
      <c r="K284" s="4">
        <v>7.16</v>
      </c>
      <c r="L284" s="5">
        <v>4.04</v>
      </c>
      <c r="M284" s="6">
        <f t="shared" si="37"/>
        <v>-3.9E-2</v>
      </c>
      <c r="N284" s="13">
        <v>320</v>
      </c>
      <c r="O284"/>
      <c r="P284"/>
      <c r="R284"/>
      <c r="S284"/>
      <c r="U284"/>
    </row>
    <row r="285" spans="1:21">
      <c r="A285" t="s">
        <v>542</v>
      </c>
      <c r="B285"/>
      <c r="E285"/>
      <c r="H285"/>
      <c r="J285"/>
      <c r="K285" s="13">
        <f>K286</f>
        <v>17.5</v>
      </c>
      <c r="L285">
        <f>K289</f>
        <v>30.72</v>
      </c>
      <c r="M285" s="15">
        <f t="shared" si="37"/>
        <v>0.16524999999999998</v>
      </c>
      <c r="N285" s="13">
        <v>20</v>
      </c>
      <c r="O285"/>
      <c r="P285"/>
      <c r="R285"/>
      <c r="S285"/>
      <c r="U285"/>
    </row>
    <row r="286" spans="1:21">
      <c r="A286" t="s">
        <v>398</v>
      </c>
      <c r="B286"/>
      <c r="E286"/>
      <c r="H286"/>
      <c r="J286"/>
      <c r="K286" s="13">
        <v>17.5</v>
      </c>
      <c r="L286">
        <v>36.74</v>
      </c>
      <c r="M286" s="15">
        <f t="shared" si="37"/>
        <v>0.24050000000000002</v>
      </c>
      <c r="N286" s="13">
        <v>40</v>
      </c>
      <c r="O286"/>
      <c r="P286"/>
      <c r="R286"/>
      <c r="S286"/>
      <c r="U286"/>
    </row>
    <row r="287" spans="1:21">
      <c r="A287" t="s">
        <v>543</v>
      </c>
      <c r="B287"/>
      <c r="E287"/>
      <c r="H287"/>
      <c r="J287"/>
      <c r="K287" s="13">
        <v>30.17</v>
      </c>
      <c r="L287">
        <f>K291</f>
        <v>35.86</v>
      </c>
      <c r="M287" s="15">
        <f t="shared" si="37"/>
        <v>7.1124999999999966E-2</v>
      </c>
      <c r="N287" s="13">
        <v>60</v>
      </c>
      <c r="O287"/>
      <c r="P287"/>
      <c r="R287"/>
      <c r="S287"/>
      <c r="U287"/>
    </row>
    <row r="288" spans="1:21">
      <c r="A288" t="s">
        <v>399</v>
      </c>
      <c r="B288"/>
      <c r="E288"/>
      <c r="H288"/>
      <c r="J288"/>
      <c r="K288" s="13">
        <v>31.24</v>
      </c>
      <c r="L288">
        <v>35.22</v>
      </c>
      <c r="M288" s="15">
        <f t="shared" si="37"/>
        <v>4.9750000000000003E-2</v>
      </c>
      <c r="N288" s="13">
        <v>80</v>
      </c>
      <c r="O288"/>
      <c r="P288"/>
      <c r="R288"/>
      <c r="S288"/>
      <c r="U288"/>
    </row>
    <row r="289" spans="1:21">
      <c r="A289" t="s">
        <v>544</v>
      </c>
      <c r="B289"/>
      <c r="E289"/>
      <c r="H289"/>
      <c r="J289"/>
      <c r="K289" s="13">
        <v>30.72</v>
      </c>
      <c r="L289">
        <f>K293</f>
        <v>46.2</v>
      </c>
      <c r="M289" s="15">
        <f t="shared" si="37"/>
        <v>0.19350000000000006</v>
      </c>
      <c r="N289" s="13">
        <v>100</v>
      </c>
      <c r="O289"/>
      <c r="P289"/>
      <c r="R289"/>
      <c r="S289"/>
      <c r="U289"/>
    </row>
    <row r="290" spans="1:21">
      <c r="A290" t="s">
        <v>400</v>
      </c>
      <c r="B290"/>
      <c r="E290"/>
      <c r="H290"/>
      <c r="J290"/>
      <c r="K290" s="13">
        <v>36.74</v>
      </c>
      <c r="L290">
        <v>39.79</v>
      </c>
      <c r="M290" s="15">
        <f t="shared" si="37"/>
        <v>3.8124999999999964E-2</v>
      </c>
      <c r="N290" s="13">
        <v>120</v>
      </c>
      <c r="O290"/>
      <c r="P290"/>
      <c r="R290"/>
      <c r="S290"/>
      <c r="U290"/>
    </row>
    <row r="291" spans="1:21">
      <c r="A291" t="s">
        <v>545</v>
      </c>
      <c r="B291"/>
      <c r="E291"/>
      <c r="H291"/>
      <c r="J291"/>
      <c r="K291" s="13">
        <v>35.86</v>
      </c>
      <c r="L291">
        <f>K295</f>
        <v>25.77</v>
      </c>
      <c r="M291" s="15">
        <f t="shared" si="37"/>
        <v>-0.12612499999999999</v>
      </c>
      <c r="N291" s="13">
        <v>140</v>
      </c>
      <c r="O291"/>
      <c r="P291"/>
      <c r="R291"/>
      <c r="S291"/>
      <c r="U291"/>
    </row>
    <row r="292" spans="1:21">
      <c r="A292" t="s">
        <v>401</v>
      </c>
      <c r="B292"/>
      <c r="E292"/>
      <c r="H292"/>
      <c r="J292"/>
      <c r="K292" s="13">
        <v>35.22</v>
      </c>
      <c r="L292">
        <v>22.23</v>
      </c>
      <c r="M292" s="15">
        <f t="shared" si="37"/>
        <v>-0.16237499999999999</v>
      </c>
      <c r="N292" s="13">
        <v>160</v>
      </c>
      <c r="O292"/>
      <c r="P292"/>
      <c r="R292"/>
      <c r="S292"/>
      <c r="U292"/>
    </row>
    <row r="293" spans="1:21">
      <c r="A293" t="s">
        <v>546</v>
      </c>
      <c r="B293"/>
      <c r="E293"/>
      <c r="H293"/>
      <c r="J293"/>
      <c r="K293" s="13">
        <v>46.2</v>
      </c>
      <c r="L293">
        <f>K297</f>
        <v>12.6</v>
      </c>
      <c r="M293" s="15">
        <f t="shared" si="37"/>
        <v>-0.42000000000000004</v>
      </c>
      <c r="N293" s="13">
        <v>180</v>
      </c>
      <c r="O293"/>
      <c r="P293"/>
      <c r="R293"/>
      <c r="S293"/>
      <c r="U293"/>
    </row>
    <row r="294" spans="1:21">
      <c r="A294" t="s">
        <v>402</v>
      </c>
      <c r="B294"/>
      <c r="E294"/>
      <c r="H294"/>
      <c r="J294"/>
      <c r="K294" s="13">
        <v>39.79</v>
      </c>
      <c r="L294">
        <v>5.0999999999999996</v>
      </c>
      <c r="M294" s="15">
        <f t="shared" si="37"/>
        <v>-0.43362499999999998</v>
      </c>
      <c r="N294" s="13">
        <v>200</v>
      </c>
      <c r="O294"/>
      <c r="P294"/>
      <c r="R294"/>
      <c r="S294"/>
      <c r="U294"/>
    </row>
    <row r="295" spans="1:21">
      <c r="A295" t="s">
        <v>547</v>
      </c>
      <c r="B295"/>
      <c r="E295"/>
      <c r="H295"/>
      <c r="J295"/>
      <c r="K295" s="13">
        <v>25.77</v>
      </c>
      <c r="L295">
        <v>1.8</v>
      </c>
      <c r="M295" s="15">
        <f t="shared" si="37"/>
        <v>-0.29962499999999997</v>
      </c>
      <c r="N295" s="13">
        <v>220</v>
      </c>
      <c r="O295"/>
      <c r="P295"/>
      <c r="R295"/>
      <c r="S295"/>
      <c r="U295"/>
    </row>
    <row r="296" spans="1:21">
      <c r="A296" t="s">
        <v>403</v>
      </c>
      <c r="B296"/>
      <c r="E296"/>
      <c r="H296"/>
      <c r="J296"/>
      <c r="K296" s="13">
        <v>22.23</v>
      </c>
      <c r="L296">
        <v>1.78</v>
      </c>
      <c r="M296" s="15">
        <f t="shared" si="37"/>
        <v>-0.25562499999999999</v>
      </c>
      <c r="N296" s="13">
        <v>240</v>
      </c>
      <c r="O296"/>
      <c r="P296"/>
      <c r="R296"/>
      <c r="S296"/>
      <c r="U296"/>
    </row>
    <row r="297" spans="1:21">
      <c r="A297" t="s">
        <v>548</v>
      </c>
      <c r="B297"/>
      <c r="E297"/>
      <c r="H297"/>
      <c r="J297"/>
      <c r="K297" s="13">
        <v>12.6</v>
      </c>
      <c r="L297">
        <f>L298</f>
        <v>1.35</v>
      </c>
      <c r="M297" s="15">
        <f t="shared" si="37"/>
        <v>-0.140625</v>
      </c>
      <c r="N297" s="13">
        <v>260</v>
      </c>
      <c r="O297"/>
      <c r="P297"/>
      <c r="R297"/>
      <c r="S297"/>
      <c r="U297"/>
    </row>
    <row r="298" spans="1:21">
      <c r="A298" s="5" t="s">
        <v>429</v>
      </c>
      <c r="B298" s="5"/>
      <c r="C298" s="5"/>
      <c r="D298" s="5"/>
      <c r="E298" s="5"/>
      <c r="F298" s="5"/>
      <c r="G298" s="5"/>
      <c r="H298" s="5"/>
      <c r="I298" s="5"/>
      <c r="J298" s="5"/>
      <c r="K298" s="4">
        <v>5.0999999999999996</v>
      </c>
      <c r="L298" s="5">
        <v>1.35</v>
      </c>
      <c r="M298" s="6">
        <f t="shared" si="37"/>
        <v>-4.6874999999999993E-2</v>
      </c>
      <c r="N298" s="13">
        <v>280</v>
      </c>
      <c r="O298"/>
      <c r="P298"/>
      <c r="R298"/>
      <c r="S298"/>
      <c r="U298"/>
    </row>
    <row r="299" spans="1:21">
      <c r="A299" t="s">
        <v>549</v>
      </c>
      <c r="B299"/>
      <c r="E299"/>
      <c r="H299"/>
      <c r="J299"/>
      <c r="K299" s="13">
        <f>K300</f>
        <v>14.7</v>
      </c>
      <c r="L299">
        <f>K303</f>
        <v>61.92</v>
      </c>
      <c r="M299" s="15">
        <f t="shared" si="37"/>
        <v>0.59024999999999994</v>
      </c>
      <c r="N299" s="13">
        <v>20</v>
      </c>
      <c r="O299"/>
      <c r="P299"/>
      <c r="R299"/>
      <c r="S299"/>
      <c r="U299"/>
    </row>
    <row r="300" spans="1:21">
      <c r="A300" t="s">
        <v>404</v>
      </c>
      <c r="B300"/>
      <c r="E300"/>
      <c r="H300"/>
      <c r="J300"/>
      <c r="K300" s="13">
        <v>14.7</v>
      </c>
      <c r="L300">
        <v>45.91</v>
      </c>
      <c r="M300" s="15">
        <f t="shared" si="37"/>
        <v>0.39012499999999994</v>
      </c>
      <c r="N300" s="13">
        <v>40</v>
      </c>
      <c r="O300"/>
      <c r="P300"/>
      <c r="R300"/>
      <c r="S300"/>
      <c r="U300"/>
    </row>
    <row r="301" spans="1:21">
      <c r="A301" t="s">
        <v>550</v>
      </c>
      <c r="B301"/>
      <c r="E301"/>
      <c r="H301"/>
      <c r="J301"/>
      <c r="K301" s="13">
        <v>33.450000000000003</v>
      </c>
      <c r="L301">
        <f>K305</f>
        <v>21.01</v>
      </c>
      <c r="M301" s="15">
        <f t="shared" si="37"/>
        <v>-0.15550000000000003</v>
      </c>
      <c r="N301" s="13">
        <v>60</v>
      </c>
      <c r="O301"/>
      <c r="P301"/>
      <c r="R301"/>
      <c r="S301"/>
      <c r="U301"/>
    </row>
    <row r="302" spans="1:21">
      <c r="A302" t="s">
        <v>405</v>
      </c>
      <c r="B302"/>
      <c r="E302"/>
      <c r="H302"/>
      <c r="J302"/>
      <c r="K302" s="13">
        <v>34.74</v>
      </c>
      <c r="L302">
        <v>20.28</v>
      </c>
      <c r="M302" s="15">
        <f t="shared" si="37"/>
        <v>-0.18075000000000002</v>
      </c>
      <c r="N302" s="13">
        <v>80</v>
      </c>
      <c r="O302"/>
      <c r="P302"/>
      <c r="R302"/>
      <c r="S302"/>
      <c r="U302"/>
    </row>
    <row r="303" spans="1:21">
      <c r="A303" t="s">
        <v>551</v>
      </c>
      <c r="B303"/>
      <c r="E303"/>
      <c r="H303"/>
      <c r="J303"/>
      <c r="K303" s="13">
        <v>61.92</v>
      </c>
      <c r="L303">
        <f>K307</f>
        <v>5.95</v>
      </c>
      <c r="M303" s="15">
        <f t="shared" si="37"/>
        <v>-0.69962499999999994</v>
      </c>
      <c r="N303" s="13">
        <v>100</v>
      </c>
      <c r="O303"/>
      <c r="P303"/>
      <c r="R303"/>
      <c r="S303"/>
      <c r="U303"/>
    </row>
    <row r="304" spans="1:21">
      <c r="A304" t="s">
        <v>406</v>
      </c>
      <c r="B304"/>
      <c r="E304"/>
      <c r="H304"/>
      <c r="J304"/>
      <c r="K304" s="13">
        <v>45.91</v>
      </c>
      <c r="L304">
        <v>1.3</v>
      </c>
      <c r="M304" s="15">
        <f t="shared" si="37"/>
        <v>-0.55762500000000004</v>
      </c>
      <c r="N304" s="13">
        <v>120</v>
      </c>
      <c r="O304"/>
      <c r="P304"/>
      <c r="R304"/>
      <c r="S304"/>
      <c r="U304"/>
    </row>
    <row r="305" spans="1:21">
      <c r="A305" t="s">
        <v>552</v>
      </c>
      <c r="B305"/>
      <c r="E305"/>
      <c r="H305"/>
      <c r="J305"/>
      <c r="K305" s="13">
        <v>21.01</v>
      </c>
      <c r="L305">
        <v>2.38</v>
      </c>
      <c r="M305" s="15">
        <f t="shared" si="37"/>
        <v>-0.23287500000000003</v>
      </c>
      <c r="N305" s="13">
        <v>140</v>
      </c>
      <c r="O305"/>
      <c r="P305"/>
      <c r="R305"/>
      <c r="S305"/>
      <c r="U305"/>
    </row>
    <row r="306" spans="1:21">
      <c r="A306" t="s">
        <v>407</v>
      </c>
      <c r="B306"/>
      <c r="E306"/>
      <c r="H306"/>
      <c r="J306"/>
      <c r="K306" s="13">
        <v>20.28</v>
      </c>
      <c r="L306">
        <v>0.9</v>
      </c>
      <c r="M306" s="15">
        <f t="shared" si="37"/>
        <v>-0.24225000000000002</v>
      </c>
      <c r="N306" s="13">
        <v>160</v>
      </c>
      <c r="O306"/>
      <c r="P306"/>
      <c r="R306"/>
      <c r="S306"/>
      <c r="U306"/>
    </row>
    <row r="307" spans="1:21">
      <c r="A307" t="s">
        <v>553</v>
      </c>
      <c r="B307"/>
      <c r="E307"/>
      <c r="H307"/>
      <c r="J307"/>
      <c r="K307" s="13">
        <v>5.95</v>
      </c>
      <c r="L307">
        <f>L308</f>
        <v>3.86</v>
      </c>
      <c r="M307" s="15">
        <f t="shared" si="37"/>
        <v>-2.6125000000000002E-2</v>
      </c>
      <c r="N307" s="13">
        <v>180</v>
      </c>
      <c r="O307"/>
      <c r="P307"/>
      <c r="R307"/>
      <c r="S307"/>
      <c r="U307"/>
    </row>
    <row r="308" spans="1:21">
      <c r="A308" s="5" t="s">
        <v>408</v>
      </c>
      <c r="B308" s="5"/>
      <c r="C308" s="5"/>
      <c r="D308" s="5"/>
      <c r="E308" s="5"/>
      <c r="F308" s="5"/>
      <c r="G308" s="5"/>
      <c r="H308" s="5"/>
      <c r="I308" s="5"/>
      <c r="J308" s="5"/>
      <c r="K308" s="4">
        <v>1.3</v>
      </c>
      <c r="L308" s="5">
        <v>3.86</v>
      </c>
      <c r="M308" s="6">
        <f t="shared" si="37"/>
        <v>3.1999999999999994E-2</v>
      </c>
      <c r="N308" s="13">
        <v>200</v>
      </c>
      <c r="O308"/>
      <c r="P308"/>
      <c r="R308"/>
      <c r="S308"/>
      <c r="U308"/>
    </row>
    <row r="309" spans="1:21">
      <c r="A309" t="s">
        <v>554</v>
      </c>
      <c r="B309"/>
      <c r="E309"/>
      <c r="H309"/>
      <c r="J309"/>
      <c r="K309" s="13">
        <f>K310</f>
        <v>28.55</v>
      </c>
      <c r="L309">
        <f>K313</f>
        <v>20.85</v>
      </c>
      <c r="M309" s="15">
        <f t="shared" si="37"/>
        <v>-9.6249999999999988E-2</v>
      </c>
      <c r="N309" s="13">
        <v>20</v>
      </c>
      <c r="O309"/>
      <c r="P309"/>
      <c r="R309"/>
      <c r="S309"/>
      <c r="U309"/>
    </row>
    <row r="310" spans="1:21">
      <c r="A310" t="s">
        <v>409</v>
      </c>
      <c r="B310"/>
      <c r="E310"/>
      <c r="H310"/>
      <c r="J310"/>
      <c r="K310" s="13">
        <v>28.55</v>
      </c>
      <c r="L310">
        <v>18.21</v>
      </c>
      <c r="M310" s="15">
        <f t="shared" si="37"/>
        <v>-0.12925</v>
      </c>
      <c r="N310" s="13">
        <v>40</v>
      </c>
      <c r="O310"/>
      <c r="P310"/>
      <c r="R310"/>
      <c r="S310"/>
      <c r="U310"/>
    </row>
    <row r="311" spans="1:21">
      <c r="A311" t="s">
        <v>555</v>
      </c>
      <c r="B311"/>
      <c r="E311"/>
      <c r="H311"/>
      <c r="J311"/>
      <c r="K311" s="13">
        <v>45.39</v>
      </c>
      <c r="L311">
        <f>K315</f>
        <v>11.76</v>
      </c>
      <c r="M311" s="15">
        <f t="shared" si="37"/>
        <v>-0.42037500000000005</v>
      </c>
      <c r="N311" s="13">
        <v>60</v>
      </c>
      <c r="O311"/>
      <c r="P311"/>
      <c r="R311"/>
      <c r="S311"/>
      <c r="U311"/>
    </row>
    <row r="312" spans="1:21">
      <c r="A312" t="s">
        <v>410</v>
      </c>
      <c r="B312"/>
      <c r="E312"/>
      <c r="H312"/>
      <c r="J312"/>
      <c r="K312" s="13">
        <v>39.229999999999997</v>
      </c>
      <c r="L312">
        <v>0.15</v>
      </c>
      <c r="M312" s="15">
        <f t="shared" si="37"/>
        <v>-0.48849999999999999</v>
      </c>
      <c r="N312" s="13">
        <v>80</v>
      </c>
      <c r="O312"/>
      <c r="P312"/>
      <c r="R312"/>
      <c r="S312"/>
      <c r="U312"/>
    </row>
    <row r="313" spans="1:21">
      <c r="A313" t="s">
        <v>556</v>
      </c>
      <c r="B313"/>
      <c r="E313"/>
      <c r="H313"/>
      <c r="J313"/>
      <c r="K313" s="13">
        <v>20.85</v>
      </c>
      <c r="L313">
        <f>K317</f>
        <v>1.44</v>
      </c>
      <c r="M313" s="15">
        <f t="shared" si="37"/>
        <v>-0.24262500000000001</v>
      </c>
      <c r="N313" s="13">
        <v>100</v>
      </c>
      <c r="O313"/>
      <c r="P313"/>
      <c r="R313"/>
      <c r="S313"/>
      <c r="U313"/>
    </row>
    <row r="314" spans="1:21">
      <c r="A314" t="s">
        <v>411</v>
      </c>
      <c r="B314"/>
      <c r="E314"/>
      <c r="H314"/>
      <c r="J314"/>
      <c r="K314" s="13">
        <v>18.21</v>
      </c>
      <c r="L314">
        <v>1.1599999999999999</v>
      </c>
      <c r="M314" s="15">
        <f t="shared" si="37"/>
        <v>-0.21312500000000001</v>
      </c>
      <c r="N314" s="13">
        <v>120</v>
      </c>
      <c r="O314"/>
      <c r="P314"/>
      <c r="R314"/>
      <c r="S314"/>
      <c r="U314"/>
    </row>
    <row r="315" spans="1:21">
      <c r="A315" t="s">
        <v>558</v>
      </c>
      <c r="B315"/>
      <c r="E315"/>
      <c r="H315"/>
      <c r="J315"/>
      <c r="K315" s="13">
        <v>11.76</v>
      </c>
      <c r="L315">
        <v>2.25</v>
      </c>
      <c r="M315" s="15">
        <f t="shared" si="37"/>
        <v>-0.11887499999999999</v>
      </c>
      <c r="N315" s="13">
        <v>140</v>
      </c>
      <c r="O315"/>
      <c r="P315"/>
      <c r="R315"/>
      <c r="S315"/>
      <c r="U315"/>
    </row>
    <row r="316" spans="1:21">
      <c r="A316" t="s">
        <v>412</v>
      </c>
      <c r="B316"/>
      <c r="E316"/>
      <c r="H316"/>
      <c r="J316"/>
      <c r="K316" s="13">
        <v>0.15</v>
      </c>
      <c r="L316">
        <v>2.85</v>
      </c>
      <c r="M316" s="15">
        <f t="shared" si="37"/>
        <v>3.3750000000000002E-2</v>
      </c>
      <c r="N316" s="13">
        <v>160</v>
      </c>
      <c r="O316"/>
      <c r="P316"/>
      <c r="R316"/>
      <c r="S316"/>
      <c r="U316"/>
    </row>
    <row r="317" spans="1:21">
      <c r="A317" t="s">
        <v>557</v>
      </c>
      <c r="B317"/>
      <c r="E317"/>
      <c r="H317"/>
      <c r="J317"/>
      <c r="K317" s="13">
        <v>1.44</v>
      </c>
      <c r="L317">
        <f>L318</f>
        <v>2.23</v>
      </c>
      <c r="M317" s="15">
        <f t="shared" si="37"/>
        <v>9.8750000000000001E-3</v>
      </c>
      <c r="N317" s="13">
        <v>180</v>
      </c>
      <c r="O317"/>
      <c r="P317"/>
      <c r="R317"/>
      <c r="S317"/>
      <c r="U317"/>
    </row>
    <row r="318" spans="1:21">
      <c r="A318" s="5" t="s">
        <v>413</v>
      </c>
      <c r="B318" s="5"/>
      <c r="C318" s="5"/>
      <c r="D318" s="5"/>
      <c r="E318" s="5"/>
      <c r="F318" s="5"/>
      <c r="G318" s="5"/>
      <c r="H318" s="5"/>
      <c r="I318" s="5"/>
      <c r="J318" s="5"/>
      <c r="K318" s="4">
        <v>1.1599999999999999</v>
      </c>
      <c r="L318" s="5">
        <v>2.23</v>
      </c>
      <c r="M318" s="6">
        <f t="shared" si="37"/>
        <v>1.3375000000000001E-2</v>
      </c>
      <c r="N318" s="13">
        <v>200</v>
      </c>
      <c r="O318"/>
      <c r="P318"/>
      <c r="R318"/>
      <c r="S318"/>
      <c r="U318"/>
    </row>
    <row r="319" spans="1:21">
      <c r="A319" t="s">
        <v>559</v>
      </c>
      <c r="B319"/>
      <c r="E319"/>
      <c r="H319"/>
      <c r="J319"/>
      <c r="K319" s="13">
        <f>K320</f>
        <v>12.08</v>
      </c>
      <c r="L319">
        <f>K323</f>
        <v>16.75</v>
      </c>
      <c r="M319" s="15">
        <f t="shared" si="37"/>
        <v>5.8374999999999996E-2</v>
      </c>
      <c r="N319" s="13">
        <v>20</v>
      </c>
      <c r="O319"/>
      <c r="P319"/>
      <c r="R319"/>
      <c r="S319"/>
      <c r="U319"/>
    </row>
    <row r="320" spans="1:21">
      <c r="A320" t="s">
        <v>414</v>
      </c>
      <c r="B320"/>
      <c r="E320"/>
      <c r="H320"/>
      <c r="J320"/>
      <c r="K320" s="13">
        <v>12.08</v>
      </c>
      <c r="L320">
        <v>14.22</v>
      </c>
      <c r="M320" s="15">
        <f t="shared" si="37"/>
        <v>2.6750000000000006E-2</v>
      </c>
      <c r="N320" s="13">
        <v>40</v>
      </c>
      <c r="O320"/>
      <c r="P320"/>
      <c r="R320"/>
      <c r="S320"/>
      <c r="U320"/>
    </row>
    <row r="321" spans="1:21">
      <c r="A321" t="s">
        <v>560</v>
      </c>
      <c r="B321"/>
      <c r="E321"/>
      <c r="H321"/>
      <c r="J321"/>
      <c r="K321" s="13">
        <v>45.59</v>
      </c>
      <c r="L321">
        <f>K325</f>
        <v>4.8499999999999996</v>
      </c>
      <c r="M321" s="15">
        <f t="shared" si="37"/>
        <v>-0.50924999999999998</v>
      </c>
      <c r="N321" s="13">
        <v>60</v>
      </c>
      <c r="O321"/>
      <c r="P321"/>
      <c r="R321"/>
      <c r="S321"/>
      <c r="U321"/>
    </row>
    <row r="322" spans="1:21">
      <c r="A322" t="s">
        <v>417</v>
      </c>
      <c r="B322"/>
      <c r="E322"/>
      <c r="H322"/>
      <c r="J322"/>
      <c r="K322" s="13">
        <v>24.21</v>
      </c>
      <c r="L322">
        <v>2.2599999999999998</v>
      </c>
      <c r="M322" s="15">
        <f t="shared" si="37"/>
        <v>-0.27437500000000004</v>
      </c>
      <c r="N322" s="13">
        <v>80</v>
      </c>
      <c r="O322"/>
      <c r="P322"/>
      <c r="R322"/>
      <c r="S322"/>
      <c r="U322"/>
    </row>
    <row r="323" spans="1:21">
      <c r="A323" t="s">
        <v>561</v>
      </c>
      <c r="B323"/>
      <c r="E323"/>
      <c r="H323"/>
      <c r="J323"/>
      <c r="K323" s="13">
        <v>16.75</v>
      </c>
      <c r="L323">
        <v>2.74</v>
      </c>
      <c r="M323" s="15">
        <f t="shared" si="37"/>
        <v>-0.175125</v>
      </c>
      <c r="N323" s="13">
        <v>100</v>
      </c>
      <c r="O323"/>
      <c r="P323"/>
      <c r="R323"/>
      <c r="S323"/>
      <c r="U323"/>
    </row>
    <row r="324" spans="1:21">
      <c r="A324" t="s">
        <v>415</v>
      </c>
      <c r="B324"/>
      <c r="E324"/>
      <c r="H324"/>
      <c r="J324"/>
      <c r="K324" s="13">
        <v>14.22</v>
      </c>
      <c r="L324">
        <v>1.46</v>
      </c>
      <c r="M324" s="15">
        <f t="shared" si="37"/>
        <v>-0.15950000000000003</v>
      </c>
      <c r="N324" s="13">
        <v>120</v>
      </c>
      <c r="O324"/>
      <c r="P324"/>
      <c r="R324"/>
      <c r="S324"/>
      <c r="U324"/>
    </row>
    <row r="325" spans="1:21">
      <c r="A325" t="s">
        <v>562</v>
      </c>
      <c r="B325"/>
      <c r="E325"/>
      <c r="H325"/>
      <c r="J325"/>
      <c r="K325" s="13">
        <v>4.8499999999999996</v>
      </c>
      <c r="L325">
        <f>L326</f>
        <v>1.87</v>
      </c>
      <c r="M325" s="15">
        <f t="shared" si="37"/>
        <v>-3.7249999999999991E-2</v>
      </c>
      <c r="N325" s="13">
        <v>140</v>
      </c>
      <c r="O325"/>
      <c r="P325"/>
      <c r="R325"/>
      <c r="S325"/>
      <c r="U325"/>
    </row>
    <row r="326" spans="1:21">
      <c r="A326" s="5" t="s">
        <v>416</v>
      </c>
      <c r="B326" s="5"/>
      <c r="C326" s="5"/>
      <c r="D326" s="5"/>
      <c r="E326" s="5"/>
      <c r="F326" s="5"/>
      <c r="G326" s="5"/>
      <c r="H326" s="5"/>
      <c r="I326" s="5"/>
      <c r="J326" s="5"/>
      <c r="K326" s="4">
        <v>2.2599999999999998</v>
      </c>
      <c r="L326" s="5">
        <v>1.87</v>
      </c>
      <c r="M326" s="6">
        <f t="shared" si="37"/>
        <v>-4.8749999999999957E-3</v>
      </c>
      <c r="N326" s="13">
        <v>160</v>
      </c>
      <c r="O326"/>
      <c r="P326"/>
      <c r="R326"/>
      <c r="S326"/>
      <c r="U326"/>
    </row>
    <row r="327" spans="1:21">
      <c r="A327" t="s">
        <v>563</v>
      </c>
      <c r="B327"/>
      <c r="E327"/>
      <c r="H327"/>
      <c r="J327"/>
      <c r="K327" s="13">
        <f>K328</f>
        <v>4.8</v>
      </c>
      <c r="L327">
        <f>-K331</f>
        <v>-25.05</v>
      </c>
      <c r="M327" s="15">
        <f t="shared" si="37"/>
        <v>-0.37312500000000004</v>
      </c>
      <c r="N327" s="13">
        <v>20</v>
      </c>
      <c r="O327"/>
      <c r="P327"/>
      <c r="R327"/>
      <c r="S327"/>
      <c r="U327"/>
    </row>
    <row r="328" spans="1:21">
      <c r="A328" t="s">
        <v>418</v>
      </c>
      <c r="B328"/>
      <c r="E328"/>
      <c r="H328"/>
      <c r="J328"/>
      <c r="K328" s="13">
        <v>4.8</v>
      </c>
      <c r="L328">
        <v>6.19</v>
      </c>
      <c r="M328" s="15">
        <f t="shared" si="37"/>
        <v>1.7375000000000008E-2</v>
      </c>
      <c r="N328" s="13">
        <v>40</v>
      </c>
      <c r="O328"/>
      <c r="P328"/>
      <c r="R328"/>
      <c r="S328"/>
      <c r="U328"/>
    </row>
    <row r="329" spans="1:21">
      <c r="A329" t="s">
        <v>564</v>
      </c>
      <c r="B329"/>
      <c r="E329"/>
      <c r="H329"/>
      <c r="J329"/>
      <c r="K329" s="13">
        <v>41.99</v>
      </c>
      <c r="L329">
        <v>3.62</v>
      </c>
      <c r="M329" s="15">
        <f t="shared" si="37"/>
        <v>-0.47962500000000008</v>
      </c>
      <c r="N329" s="13">
        <v>60</v>
      </c>
      <c r="O329"/>
      <c r="P329"/>
      <c r="R329"/>
      <c r="S329"/>
      <c r="U329"/>
    </row>
    <row r="330" spans="1:21">
      <c r="A330" t="s">
        <v>419</v>
      </c>
      <c r="B330"/>
      <c r="E330"/>
      <c r="H330"/>
      <c r="J330"/>
      <c r="K330" s="13">
        <v>21.41</v>
      </c>
      <c r="L330">
        <v>2.0099999999999998</v>
      </c>
      <c r="M330" s="15">
        <f t="shared" si="37"/>
        <v>-0.24249999999999999</v>
      </c>
      <c r="N330" s="13">
        <v>80</v>
      </c>
      <c r="O330"/>
      <c r="P330"/>
      <c r="R330"/>
      <c r="S330"/>
      <c r="U330"/>
    </row>
    <row r="331" spans="1:21">
      <c r="A331" t="s">
        <v>565</v>
      </c>
      <c r="B331"/>
      <c r="E331"/>
      <c r="H331"/>
      <c r="J331"/>
      <c r="K331" s="13">
        <v>25.05</v>
      </c>
      <c r="L331">
        <f>L332</f>
        <v>1.76</v>
      </c>
      <c r="M331" s="15">
        <f t="shared" si="37"/>
        <v>-0.29112499999999997</v>
      </c>
      <c r="N331" s="13">
        <v>100</v>
      </c>
      <c r="O331"/>
      <c r="P331"/>
      <c r="R331"/>
      <c r="S331"/>
      <c r="U331"/>
    </row>
    <row r="332" spans="1:21">
      <c r="A332" s="5" t="s">
        <v>420</v>
      </c>
      <c r="B332" s="5"/>
      <c r="C332" s="5"/>
      <c r="D332" s="5"/>
      <c r="E332" s="5"/>
      <c r="F332" s="5"/>
      <c r="G332" s="5"/>
      <c r="H332" s="5"/>
      <c r="I332" s="5"/>
      <c r="J332" s="5"/>
      <c r="K332" s="4">
        <v>6.19</v>
      </c>
      <c r="L332" s="5">
        <v>1.76</v>
      </c>
      <c r="M332" s="6">
        <f t="shared" si="37"/>
        <v>-5.5375000000000008E-2</v>
      </c>
      <c r="N332" s="13">
        <v>120</v>
      </c>
      <c r="O332"/>
      <c r="P332"/>
      <c r="R332"/>
      <c r="S332"/>
      <c r="U332"/>
    </row>
    <row r="333" spans="1:21">
      <c r="A333" t="s">
        <v>566</v>
      </c>
      <c r="B333"/>
      <c r="E333"/>
      <c r="H333"/>
      <c r="J333"/>
      <c r="K333" s="13">
        <f>K334</f>
        <v>25.27</v>
      </c>
      <c r="L333">
        <f>K337</f>
        <v>9.99</v>
      </c>
      <c r="M333" s="15">
        <f t="shared" si="37"/>
        <v>-0.191</v>
      </c>
      <c r="N333" s="13">
        <v>20</v>
      </c>
      <c r="O333"/>
      <c r="P333"/>
      <c r="R333"/>
      <c r="S333"/>
      <c r="U333"/>
    </row>
    <row r="334" spans="1:21">
      <c r="A334" t="s">
        <v>421</v>
      </c>
      <c r="B334"/>
      <c r="E334"/>
      <c r="H334"/>
      <c r="J334"/>
      <c r="K334" s="13">
        <v>25.27</v>
      </c>
      <c r="L334">
        <v>3.75</v>
      </c>
      <c r="M334" s="15">
        <f t="shared" si="37"/>
        <v>-0.26900000000000002</v>
      </c>
      <c r="N334" s="13">
        <v>40</v>
      </c>
      <c r="O334"/>
      <c r="P334"/>
      <c r="R334"/>
      <c r="S334"/>
      <c r="U334"/>
    </row>
    <row r="335" spans="1:21">
      <c r="A335" t="s">
        <v>567</v>
      </c>
      <c r="B335"/>
      <c r="E335"/>
      <c r="H335"/>
      <c r="J335"/>
      <c r="K335" s="13">
        <v>22.34</v>
      </c>
      <c r="L335">
        <f>K339</f>
        <v>4.68</v>
      </c>
      <c r="M335" s="15">
        <f t="shared" si="37"/>
        <v>-0.22075</v>
      </c>
      <c r="N335" s="13">
        <v>60</v>
      </c>
      <c r="O335"/>
      <c r="P335"/>
      <c r="R335"/>
      <c r="S335"/>
      <c r="U335"/>
    </row>
    <row r="336" spans="1:21">
      <c r="A336" t="s">
        <v>422</v>
      </c>
      <c r="B336"/>
      <c r="E336"/>
      <c r="H336"/>
      <c r="J336"/>
      <c r="K336" s="13">
        <v>21.8</v>
      </c>
      <c r="L336">
        <v>3.12</v>
      </c>
      <c r="M336" s="15">
        <f t="shared" si="37"/>
        <v>-0.23349999999999999</v>
      </c>
      <c r="N336" s="13">
        <v>80</v>
      </c>
      <c r="O336"/>
      <c r="P336"/>
      <c r="R336"/>
      <c r="S336"/>
      <c r="U336"/>
    </row>
    <row r="337" spans="1:21">
      <c r="A337" t="s">
        <v>568</v>
      </c>
      <c r="B337"/>
      <c r="E337"/>
      <c r="H337"/>
      <c r="J337"/>
      <c r="K337" s="13">
        <v>9.99</v>
      </c>
      <c r="L337">
        <v>1.87</v>
      </c>
      <c r="M337" s="15">
        <f t="shared" si="37"/>
        <v>-0.10150000000000001</v>
      </c>
      <c r="N337" s="13">
        <v>100</v>
      </c>
      <c r="O337"/>
      <c r="P337"/>
      <c r="R337"/>
      <c r="S337"/>
      <c r="U337"/>
    </row>
    <row r="338" spans="1:21">
      <c r="A338" t="s">
        <v>423</v>
      </c>
      <c r="B338"/>
      <c r="E338"/>
      <c r="H338"/>
      <c r="J338"/>
      <c r="K338" s="13">
        <v>3.75</v>
      </c>
      <c r="L338">
        <v>4.21</v>
      </c>
      <c r="M338" s="15">
        <f t="shared" si="37"/>
        <v>5.7499999999999999E-3</v>
      </c>
      <c r="N338" s="13">
        <v>120</v>
      </c>
      <c r="O338"/>
      <c r="P338"/>
      <c r="R338"/>
      <c r="S338"/>
      <c r="U338"/>
    </row>
    <row r="339" spans="1:21">
      <c r="A339" t="s">
        <v>569</v>
      </c>
      <c r="B339"/>
      <c r="E339"/>
      <c r="H339"/>
      <c r="J339"/>
      <c r="K339" s="13">
        <v>4.68</v>
      </c>
      <c r="L339">
        <f>L340</f>
        <v>2.08</v>
      </c>
      <c r="M339" s="15">
        <f t="shared" si="37"/>
        <v>-3.2499999999999994E-2</v>
      </c>
      <c r="N339" s="13">
        <v>140</v>
      </c>
      <c r="O339"/>
      <c r="P339"/>
      <c r="R339"/>
      <c r="S339"/>
      <c r="U339"/>
    </row>
    <row r="340" spans="1:21">
      <c r="A340" s="5" t="s">
        <v>424</v>
      </c>
      <c r="B340" s="5"/>
      <c r="C340" s="5"/>
      <c r="D340" s="5"/>
      <c r="E340" s="5"/>
      <c r="F340" s="5"/>
      <c r="G340" s="5"/>
      <c r="H340" s="5"/>
      <c r="I340" s="5"/>
      <c r="J340" s="5"/>
      <c r="K340" s="4">
        <v>3.12</v>
      </c>
      <c r="L340" s="5">
        <v>2.08</v>
      </c>
      <c r="M340" s="6">
        <f t="shared" si="37"/>
        <v>-1.3000000000000001E-2</v>
      </c>
      <c r="N340" s="13">
        <v>160</v>
      </c>
      <c r="O340"/>
      <c r="P340"/>
      <c r="R340"/>
      <c r="S340"/>
      <c r="U340"/>
    </row>
    <row r="341" spans="1:21">
      <c r="A341" t="s">
        <v>570</v>
      </c>
      <c r="B341"/>
      <c r="E341"/>
      <c r="H341"/>
      <c r="J341"/>
      <c r="K341" s="13">
        <f>K342</f>
        <v>22.3</v>
      </c>
      <c r="L341">
        <f>K345</f>
        <v>4.4400000000000004</v>
      </c>
      <c r="M341" s="15">
        <f t="shared" si="37"/>
        <v>-0.22325</v>
      </c>
      <c r="N341" s="13">
        <v>20</v>
      </c>
      <c r="O341"/>
      <c r="P341"/>
      <c r="R341"/>
      <c r="S341"/>
      <c r="U341"/>
    </row>
    <row r="342" spans="1:21">
      <c r="A342" t="s">
        <v>425</v>
      </c>
      <c r="B342"/>
      <c r="E342"/>
      <c r="H342"/>
      <c r="J342"/>
      <c r="K342" s="13">
        <v>22.3</v>
      </c>
      <c r="L342">
        <v>1.8</v>
      </c>
      <c r="M342" s="15">
        <f t="shared" si="37"/>
        <v>-0.25624999999999998</v>
      </c>
      <c r="N342" s="13">
        <v>40</v>
      </c>
      <c r="O342"/>
      <c r="P342"/>
      <c r="R342"/>
      <c r="S342"/>
      <c r="U342"/>
    </row>
    <row r="343" spans="1:21">
      <c r="A343" t="s">
        <v>571</v>
      </c>
      <c r="B343"/>
      <c r="E343"/>
      <c r="H343"/>
      <c r="J343"/>
      <c r="K343" s="13">
        <v>27.99</v>
      </c>
      <c r="L343">
        <f>K347</f>
        <v>2</v>
      </c>
      <c r="M343" s="15">
        <f t="shared" si="37"/>
        <v>-0.32487499999999997</v>
      </c>
      <c r="N343" s="13">
        <v>60</v>
      </c>
      <c r="O343"/>
      <c r="P343"/>
      <c r="R343"/>
      <c r="S343"/>
      <c r="U343"/>
    </row>
    <row r="344" spans="1:21">
      <c r="A344" t="s">
        <v>426</v>
      </c>
      <c r="B344"/>
      <c r="E344"/>
      <c r="H344"/>
      <c r="J344"/>
      <c r="K344" s="13">
        <v>11.5</v>
      </c>
      <c r="L344">
        <v>1.66</v>
      </c>
      <c r="M344" s="15">
        <f t="shared" si="37"/>
        <v>-0.123</v>
      </c>
      <c r="N344" s="13">
        <v>80</v>
      </c>
      <c r="O344"/>
      <c r="P344"/>
      <c r="R344"/>
      <c r="S344"/>
      <c r="U344"/>
    </row>
    <row r="345" spans="1:21">
      <c r="A345" t="s">
        <v>572</v>
      </c>
      <c r="B345"/>
      <c r="E345"/>
      <c r="H345"/>
      <c r="J345"/>
      <c r="K345" s="13">
        <v>4.4400000000000004</v>
      </c>
      <c r="L345">
        <v>2.4</v>
      </c>
      <c r="M345" s="15">
        <f t="shared" ref="M345:M348" si="38">(L345-K345)/80</f>
        <v>-2.5500000000000005E-2</v>
      </c>
      <c r="N345" s="13">
        <v>100</v>
      </c>
      <c r="O345"/>
      <c r="P345"/>
      <c r="R345"/>
      <c r="S345"/>
      <c r="U345"/>
    </row>
    <row r="346" spans="1:21">
      <c r="A346" t="s">
        <v>427</v>
      </c>
      <c r="B346"/>
      <c r="E346"/>
      <c r="H346"/>
      <c r="J346"/>
      <c r="K346" s="13">
        <v>1.8</v>
      </c>
      <c r="L346">
        <v>1.33</v>
      </c>
      <c r="M346" s="15">
        <f t="shared" si="38"/>
        <v>-5.875E-3</v>
      </c>
      <c r="N346" s="13">
        <v>120</v>
      </c>
      <c r="O346"/>
      <c r="P346"/>
      <c r="R346"/>
      <c r="S346"/>
      <c r="U346"/>
    </row>
    <row r="347" spans="1:21">
      <c r="A347" t="s">
        <v>573</v>
      </c>
      <c r="B347"/>
      <c r="E347"/>
      <c r="H347"/>
      <c r="J347"/>
      <c r="K347" s="13">
        <v>2</v>
      </c>
      <c r="L347">
        <f>L348</f>
        <v>4.08</v>
      </c>
      <c r="M347" s="15">
        <f t="shared" si="38"/>
        <v>2.6000000000000002E-2</v>
      </c>
      <c r="N347" s="13">
        <v>140</v>
      </c>
      <c r="O347"/>
      <c r="P347"/>
      <c r="R347"/>
      <c r="S347"/>
      <c r="U347"/>
    </row>
    <row r="348" spans="1:21">
      <c r="A348" s="5" t="s">
        <v>428</v>
      </c>
      <c r="B348" s="5"/>
      <c r="C348" s="5"/>
      <c r="D348" s="5"/>
      <c r="E348" s="5"/>
      <c r="F348" s="5"/>
      <c r="G348" s="5"/>
      <c r="H348" s="5"/>
      <c r="I348" s="5"/>
      <c r="J348" s="5"/>
      <c r="K348" s="4">
        <v>1.66</v>
      </c>
      <c r="L348" s="5">
        <v>4.08</v>
      </c>
      <c r="M348" s="6">
        <f t="shared" si="38"/>
        <v>3.0249999999999999E-2</v>
      </c>
      <c r="N348" s="13">
        <v>160</v>
      </c>
      <c r="O348"/>
      <c r="P348"/>
      <c r="R348"/>
      <c r="S348"/>
      <c r="U348"/>
    </row>
    <row r="349" spans="1:21">
      <c r="B349"/>
      <c r="E349"/>
      <c r="H349"/>
      <c r="J349"/>
      <c r="K349"/>
      <c r="M349"/>
      <c r="O349"/>
      <c r="P349"/>
      <c r="R349"/>
      <c r="S349"/>
      <c r="U349"/>
    </row>
    <row r="350" spans="1:21">
      <c r="B350"/>
      <c r="E350"/>
      <c r="H350"/>
      <c r="J350"/>
      <c r="K350"/>
      <c r="M350"/>
      <c r="O350"/>
      <c r="P350"/>
      <c r="R350"/>
      <c r="S350"/>
      <c r="U350"/>
    </row>
    <row r="351" spans="1:21">
      <c r="B351"/>
      <c r="E351"/>
      <c r="H351"/>
      <c r="J351"/>
      <c r="K351"/>
      <c r="M351"/>
      <c r="O351"/>
      <c r="P351"/>
      <c r="R351"/>
      <c r="S351"/>
      <c r="U351"/>
    </row>
    <row r="352" spans="1:21">
      <c r="B352"/>
      <c r="E352"/>
      <c r="H352"/>
      <c r="J352"/>
      <c r="K352"/>
      <c r="M352"/>
      <c r="O352"/>
      <c r="P352"/>
      <c r="R352"/>
      <c r="S352"/>
      <c r="U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spans="2:21">
      <c r="B1377"/>
      <c r="E1377"/>
      <c r="H1377"/>
      <c r="J1377"/>
      <c r="K1377"/>
      <c r="M1377"/>
      <c r="O1377"/>
      <c r="P1377"/>
      <c r="R1377"/>
      <c r="S1377"/>
      <c r="U1377"/>
    </row>
    <row r="1378" spans="2:21">
      <c r="B1378"/>
      <c r="E1378"/>
      <c r="H1378"/>
      <c r="J1378"/>
      <c r="K1378"/>
      <c r="M1378"/>
      <c r="O1378"/>
      <c r="P1378"/>
      <c r="R1378"/>
      <c r="S1378"/>
      <c r="U1378"/>
    </row>
    <row r="1379" spans="2:21">
      <c r="B1379"/>
      <c r="E1379"/>
      <c r="H1379"/>
      <c r="J1379"/>
      <c r="K1379"/>
      <c r="M1379"/>
      <c r="O1379"/>
      <c r="P1379"/>
      <c r="R1379"/>
      <c r="S1379"/>
      <c r="U1379"/>
    </row>
    <row r="1380" spans="2:21">
      <c r="B1380"/>
      <c r="E1380"/>
      <c r="H1380"/>
      <c r="J1380"/>
      <c r="K1380"/>
      <c r="M1380"/>
      <c r="O1380"/>
      <c r="P1380"/>
      <c r="R1380"/>
      <c r="S1380"/>
      <c r="U1380"/>
    </row>
    <row r="1381" spans="2:21">
      <c r="B1381"/>
      <c r="E1381"/>
      <c r="H1381"/>
      <c r="J1381"/>
      <c r="K1381"/>
      <c r="M1381"/>
      <c r="O1381"/>
      <c r="P1381"/>
      <c r="R1381"/>
      <c r="S1381"/>
      <c r="U1381"/>
    </row>
    <row r="1382" spans="2:21">
      <c r="B1382"/>
      <c r="E1382"/>
      <c r="H1382"/>
      <c r="J1382"/>
      <c r="K1382"/>
      <c r="M1382"/>
      <c r="O1382"/>
      <c r="P1382"/>
      <c r="R1382"/>
      <c r="S1382"/>
      <c r="U1382"/>
    </row>
    <row r="1383" spans="2:21">
      <c r="B1383"/>
      <c r="E1383"/>
      <c r="H1383"/>
      <c r="J1383"/>
      <c r="K1383"/>
      <c r="M1383"/>
      <c r="O1383"/>
      <c r="P1383"/>
      <c r="R1383"/>
      <c r="S1383"/>
      <c r="U1383"/>
    </row>
    <row r="1384" spans="2:21">
      <c r="B1384"/>
      <c r="E1384"/>
      <c r="H1384"/>
      <c r="J1384"/>
      <c r="K1384"/>
      <c r="M1384"/>
      <c r="O1384"/>
      <c r="P1384"/>
      <c r="R1384"/>
      <c r="S1384"/>
      <c r="U1384"/>
    </row>
    <row r="1385" spans="2:21">
      <c r="B1385"/>
      <c r="E1385"/>
      <c r="H1385"/>
      <c r="J1385"/>
      <c r="K1385"/>
      <c r="M1385"/>
      <c r="O1385"/>
      <c r="P1385"/>
      <c r="R1385"/>
      <c r="S1385"/>
      <c r="U1385"/>
    </row>
    <row r="1386" spans="2:21">
      <c r="B1386"/>
      <c r="E1386"/>
      <c r="H1386"/>
      <c r="J1386"/>
      <c r="K1386"/>
      <c r="M1386"/>
      <c r="O1386"/>
      <c r="P1386"/>
      <c r="R1386"/>
      <c r="S1386"/>
      <c r="U1386"/>
    </row>
    <row r="1387" spans="2:21">
      <c r="O1387"/>
      <c r="P1387"/>
      <c r="R1387"/>
      <c r="S1387"/>
      <c r="U1387"/>
    </row>
    <row r="1388" spans="2:21">
      <c r="O1388"/>
      <c r="P1388"/>
      <c r="R1388"/>
      <c r="S1388"/>
      <c r="U1388"/>
    </row>
    <row r="1389" spans="2:21">
      <c r="O1389"/>
      <c r="P1389"/>
      <c r="R1389"/>
      <c r="S1389"/>
      <c r="U1389"/>
    </row>
    <row r="1390" spans="2:21">
      <c r="O1390"/>
      <c r="P1390"/>
      <c r="R1390"/>
      <c r="S1390"/>
      <c r="U1390"/>
    </row>
    <row r="1391" spans="2:21">
      <c r="O1391"/>
      <c r="P1391"/>
      <c r="R1391"/>
      <c r="S1391"/>
      <c r="U1391"/>
    </row>
    <row r="1392" spans="2:21">
      <c r="O1392"/>
      <c r="P1392"/>
      <c r="R1392"/>
      <c r="S1392"/>
      <c r="U1392"/>
    </row>
    <row r="1393" spans="15:21">
      <c r="O1393"/>
      <c r="P1393"/>
      <c r="R1393"/>
      <c r="S1393"/>
      <c r="U1393"/>
    </row>
    <row r="1394" spans="15:21">
      <c r="O1394"/>
      <c r="P1394"/>
      <c r="R1394"/>
      <c r="S1394"/>
      <c r="U1394"/>
    </row>
    <row r="1395" spans="15:21">
      <c r="O1395"/>
      <c r="P1395"/>
      <c r="R1395"/>
      <c r="S1395"/>
      <c r="U1395"/>
    </row>
    <row r="1396" spans="15:21">
      <c r="O1396"/>
      <c r="P1396"/>
      <c r="R1396"/>
      <c r="S1396"/>
      <c r="U1396"/>
    </row>
    <row r="1397" spans="15:21">
      <c r="O1397"/>
      <c r="P1397"/>
      <c r="R1397"/>
      <c r="S1397"/>
      <c r="U1397"/>
    </row>
    <row r="1398" spans="15:21">
      <c r="O1398"/>
      <c r="P1398"/>
      <c r="R1398"/>
      <c r="S1398"/>
      <c r="U1398"/>
    </row>
    <row r="1399" spans="15:21">
      <c r="O1399"/>
      <c r="P1399"/>
      <c r="R1399"/>
      <c r="S1399"/>
      <c r="U1399"/>
    </row>
    <row r="1400" spans="15:21">
      <c r="O1400"/>
      <c r="P1400"/>
      <c r="R1400"/>
      <c r="S1400"/>
      <c r="U1400"/>
    </row>
    <row r="1401" spans="15:21">
      <c r="O1401"/>
      <c r="P1401"/>
      <c r="R1401"/>
      <c r="S1401"/>
      <c r="U1401"/>
    </row>
    <row r="1402" spans="15:21">
      <c r="O1402"/>
      <c r="P1402"/>
      <c r="R1402"/>
      <c r="S1402"/>
      <c r="U1402"/>
    </row>
    <row r="1403" spans="15:21">
      <c r="O1403"/>
      <c r="P1403"/>
      <c r="R1403"/>
      <c r="S1403"/>
      <c r="U1403"/>
    </row>
    <row r="1404" spans="15:21">
      <c r="O1404"/>
      <c r="P1404"/>
      <c r="R1404"/>
      <c r="S1404"/>
      <c r="U1404"/>
    </row>
    <row r="1405" spans="15:21">
      <c r="O1405"/>
      <c r="P1405"/>
      <c r="R1405"/>
      <c r="S1405"/>
      <c r="U1405"/>
    </row>
    <row r="1406" spans="15:21">
      <c r="O1406"/>
      <c r="P1406"/>
      <c r="R1406"/>
      <c r="S1406"/>
      <c r="U1406"/>
    </row>
    <row r="1407" spans="15:21">
      <c r="O1407"/>
      <c r="P1407"/>
      <c r="R1407"/>
      <c r="S1407"/>
      <c r="U1407"/>
    </row>
    <row r="1408" spans="15:21">
      <c r="O1408"/>
      <c r="P1408"/>
      <c r="R1408"/>
      <c r="S1408"/>
      <c r="U1408"/>
    </row>
    <row r="1409" spans="15:21">
      <c r="O1409"/>
      <c r="P1409"/>
      <c r="R1409"/>
      <c r="S1409"/>
      <c r="U1409"/>
    </row>
    <row r="1410" spans="15:21">
      <c r="O1410"/>
      <c r="P1410"/>
      <c r="R1410"/>
      <c r="S1410"/>
      <c r="U1410"/>
    </row>
    <row r="1411" spans="15:21">
      <c r="O1411"/>
      <c r="P1411"/>
      <c r="R1411"/>
      <c r="S1411"/>
      <c r="U1411"/>
    </row>
    <row r="1412" spans="15:21">
      <c r="O1412"/>
      <c r="P1412"/>
      <c r="R1412"/>
      <c r="S1412"/>
      <c r="U1412"/>
    </row>
    <row r="1413" spans="15:21">
      <c r="O1413"/>
      <c r="P1413"/>
      <c r="R1413"/>
      <c r="S1413"/>
      <c r="U1413"/>
    </row>
    <row r="1414" spans="15:21">
      <c r="O1414"/>
      <c r="P1414"/>
      <c r="R1414"/>
      <c r="S1414"/>
      <c r="U1414"/>
    </row>
    <row r="1415" spans="15:21">
      <c r="O1415"/>
      <c r="P1415"/>
      <c r="R1415"/>
      <c r="S1415"/>
      <c r="U1415"/>
    </row>
    <row r="1416" spans="15:21">
      <c r="O1416"/>
      <c r="P1416"/>
      <c r="R1416"/>
      <c r="S1416"/>
      <c r="U1416"/>
    </row>
    <row r="1417" spans="15:21">
      <c r="O1417"/>
      <c r="P1417"/>
      <c r="R1417"/>
      <c r="S1417"/>
      <c r="U1417"/>
    </row>
    <row r="1418" spans="15:21">
      <c r="O1418"/>
      <c r="P1418"/>
      <c r="R1418"/>
      <c r="S1418"/>
      <c r="U1418"/>
    </row>
    <row r="1419" spans="15:21">
      <c r="O1419"/>
      <c r="P1419"/>
      <c r="R1419"/>
      <c r="S1419"/>
      <c r="U1419"/>
    </row>
    <row r="1420" spans="15:21">
      <c r="O1420"/>
      <c r="P1420"/>
      <c r="R1420"/>
      <c r="S1420"/>
      <c r="U1420"/>
    </row>
    <row r="1421" spans="15:21">
      <c r="O1421"/>
      <c r="P1421"/>
      <c r="R1421"/>
      <c r="S1421"/>
      <c r="U1421"/>
    </row>
    <row r="1422" spans="15:21">
      <c r="O1422"/>
      <c r="P1422"/>
      <c r="R1422"/>
      <c r="S1422"/>
      <c r="U1422"/>
    </row>
    <row r="1423" spans="15:21">
      <c r="O1423"/>
      <c r="P1423"/>
      <c r="R1423"/>
      <c r="S1423"/>
      <c r="U1423"/>
    </row>
    <row r="1424" spans="15:21">
      <c r="O1424"/>
      <c r="P1424"/>
      <c r="R1424"/>
      <c r="S1424"/>
      <c r="U1424"/>
    </row>
    <row r="1425" spans="15:21">
      <c r="O1425"/>
      <c r="P1425"/>
      <c r="R1425"/>
      <c r="S1425"/>
      <c r="U1425"/>
    </row>
    <row r="1426" spans="15:21">
      <c r="O1426"/>
      <c r="P1426"/>
      <c r="R1426"/>
      <c r="S1426"/>
      <c r="U1426"/>
    </row>
    <row r="1427" spans="15:21">
      <c r="O1427"/>
      <c r="P1427"/>
      <c r="R1427"/>
      <c r="S1427"/>
      <c r="U1427"/>
    </row>
    <row r="1428" spans="15:21">
      <c r="O1428"/>
      <c r="P1428"/>
      <c r="R1428"/>
      <c r="S1428"/>
      <c r="U1428"/>
    </row>
    <row r="1429" spans="15:21">
      <c r="O1429"/>
      <c r="P1429"/>
      <c r="R1429"/>
      <c r="S1429"/>
      <c r="U1429"/>
    </row>
    <row r="1430" spans="15:21">
      <c r="O1430"/>
      <c r="P1430"/>
      <c r="R1430"/>
      <c r="S1430"/>
      <c r="U1430"/>
    </row>
    <row r="1431" spans="15:21">
      <c r="O1431"/>
      <c r="P1431"/>
      <c r="R1431"/>
      <c r="S1431"/>
      <c r="U1431"/>
    </row>
    <row r="1432" spans="15:21">
      <c r="O1432"/>
      <c r="P1432"/>
      <c r="R1432"/>
      <c r="S1432"/>
      <c r="U1432"/>
    </row>
    <row r="1433" spans="15:21">
      <c r="O1433"/>
      <c r="P1433"/>
      <c r="R1433"/>
      <c r="S1433"/>
      <c r="U1433"/>
    </row>
    <row r="1434" spans="15:21">
      <c r="O1434"/>
      <c r="P1434"/>
      <c r="R1434"/>
      <c r="S1434"/>
      <c r="U1434"/>
    </row>
    <row r="1435" spans="15:21">
      <c r="O1435"/>
      <c r="P1435"/>
      <c r="R1435"/>
      <c r="S1435"/>
      <c r="U1435"/>
    </row>
    <row r="1436" spans="15:21">
      <c r="O1436"/>
      <c r="P1436"/>
      <c r="R1436"/>
      <c r="S1436"/>
      <c r="U1436"/>
    </row>
    <row r="1437" spans="15:21">
      <c r="O1437"/>
      <c r="P1437"/>
      <c r="R1437"/>
      <c r="S1437"/>
      <c r="U1437"/>
    </row>
    <row r="1438" spans="15:21">
      <c r="O1438"/>
      <c r="P1438"/>
      <c r="R1438"/>
      <c r="S1438"/>
      <c r="U1438"/>
    </row>
    <row r="1439" spans="15:21">
      <c r="O1439"/>
      <c r="P1439"/>
      <c r="R1439"/>
      <c r="S1439"/>
      <c r="U1439"/>
    </row>
    <row r="1440" spans="15:21">
      <c r="O1440"/>
      <c r="P1440"/>
      <c r="R1440"/>
      <c r="S1440"/>
      <c r="U1440"/>
    </row>
    <row r="1441" spans="15:21">
      <c r="O1441"/>
      <c r="P1441"/>
      <c r="R1441"/>
      <c r="S1441"/>
      <c r="U1441"/>
    </row>
    <row r="1442" spans="15:21">
      <c r="O1442"/>
      <c r="P1442"/>
      <c r="R1442"/>
      <c r="S1442"/>
      <c r="U1442"/>
    </row>
    <row r="1443" spans="15:21">
      <c r="O1443"/>
      <c r="P1443"/>
      <c r="R1443"/>
      <c r="S1443"/>
      <c r="U1443"/>
    </row>
    <row r="1444" spans="15:21">
      <c r="O1444"/>
      <c r="P1444"/>
      <c r="R1444"/>
      <c r="S1444"/>
      <c r="U1444"/>
    </row>
    <row r="1445" spans="15:21">
      <c r="O1445"/>
      <c r="P1445"/>
      <c r="R1445"/>
      <c r="S1445"/>
      <c r="U1445"/>
    </row>
    <row r="1446" spans="15:21">
      <c r="O1446"/>
      <c r="P1446"/>
      <c r="R1446"/>
      <c r="S1446"/>
      <c r="U1446"/>
    </row>
    <row r="1447" spans="15:21">
      <c r="O1447"/>
      <c r="P1447"/>
      <c r="R1447"/>
      <c r="S1447"/>
      <c r="U1447"/>
    </row>
    <row r="1448" spans="15:21">
      <c r="O1448"/>
      <c r="P1448"/>
      <c r="R1448"/>
      <c r="S1448"/>
      <c r="U1448"/>
    </row>
    <row r="1449" spans="15:21">
      <c r="O1449"/>
      <c r="P1449"/>
      <c r="R1449"/>
      <c r="S1449"/>
      <c r="U1449"/>
    </row>
    <row r="1450" spans="15:21">
      <c r="O1450"/>
      <c r="P1450"/>
      <c r="R1450"/>
      <c r="S1450"/>
      <c r="U1450"/>
    </row>
    <row r="1451" spans="15:21">
      <c r="O1451"/>
      <c r="P1451"/>
      <c r="R1451"/>
      <c r="S1451"/>
      <c r="U1451"/>
    </row>
    <row r="1452" spans="15:21">
      <c r="O1452"/>
      <c r="P1452"/>
      <c r="R1452"/>
      <c r="S1452"/>
      <c r="U1452"/>
    </row>
    <row r="1453" spans="15:21">
      <c r="O1453"/>
      <c r="P1453"/>
      <c r="R1453"/>
      <c r="S1453"/>
      <c r="U1453"/>
    </row>
    <row r="1454" spans="15:21">
      <c r="O1454"/>
      <c r="P1454"/>
      <c r="R1454"/>
      <c r="S1454"/>
      <c r="U1454"/>
    </row>
    <row r="1455" spans="15:21">
      <c r="O1455"/>
      <c r="P1455"/>
      <c r="R1455"/>
      <c r="S1455"/>
      <c r="U1455"/>
    </row>
    <row r="1456" spans="15:21">
      <c r="O1456"/>
      <c r="P1456"/>
      <c r="R1456"/>
      <c r="S1456"/>
      <c r="U1456"/>
    </row>
    <row r="1457" spans="15:21">
      <c r="O1457"/>
      <c r="P1457"/>
      <c r="R1457"/>
      <c r="S1457"/>
      <c r="U1457"/>
    </row>
    <row r="1458" spans="15:21">
      <c r="O1458"/>
      <c r="P1458"/>
      <c r="R1458"/>
      <c r="S1458"/>
      <c r="U1458"/>
    </row>
    <row r="1459" spans="15:21">
      <c r="O1459"/>
      <c r="P1459"/>
      <c r="R1459"/>
      <c r="S1459"/>
      <c r="U1459"/>
    </row>
    <row r="1460" spans="15:21">
      <c r="O1460"/>
      <c r="P1460"/>
      <c r="R1460"/>
      <c r="S1460"/>
      <c r="U1460"/>
    </row>
    <row r="1461" spans="15:21">
      <c r="O1461"/>
      <c r="P1461"/>
      <c r="R1461"/>
      <c r="S1461"/>
      <c r="U1461"/>
    </row>
    <row r="1462" spans="15:21">
      <c r="O1462"/>
      <c r="P1462"/>
      <c r="R1462"/>
      <c r="S1462"/>
      <c r="U1462"/>
    </row>
    <row r="1463" spans="15:21">
      <c r="O1463"/>
      <c r="P1463"/>
      <c r="R1463"/>
      <c r="S1463"/>
      <c r="U1463"/>
    </row>
    <row r="1464" spans="15:21">
      <c r="O1464"/>
      <c r="P1464"/>
      <c r="R1464"/>
      <c r="S1464"/>
      <c r="U1464"/>
    </row>
    <row r="1465" spans="15:21">
      <c r="O1465"/>
      <c r="P1465"/>
      <c r="R1465"/>
      <c r="S1465"/>
      <c r="U1465"/>
    </row>
    <row r="1466" spans="15:21">
      <c r="O1466"/>
      <c r="P1466"/>
      <c r="R1466"/>
      <c r="S1466"/>
      <c r="U1466"/>
    </row>
    <row r="1467" spans="15:21">
      <c r="O1467"/>
      <c r="P1467"/>
      <c r="R1467"/>
      <c r="S1467"/>
      <c r="U1467"/>
    </row>
    <row r="1468" spans="15:21">
      <c r="O1468"/>
      <c r="P1468"/>
      <c r="R1468"/>
      <c r="S1468"/>
      <c r="U1468"/>
    </row>
    <row r="1469" spans="15:21">
      <c r="O1469"/>
      <c r="P1469"/>
      <c r="R1469"/>
      <c r="S1469"/>
      <c r="U1469"/>
    </row>
    <row r="1470" spans="15:21">
      <c r="O1470"/>
      <c r="P1470"/>
      <c r="R1470"/>
      <c r="S1470"/>
      <c r="U1470"/>
    </row>
    <row r="1471" spans="15:21">
      <c r="O1471"/>
      <c r="P1471"/>
      <c r="R1471"/>
      <c r="S1471"/>
      <c r="U1471"/>
    </row>
    <row r="1472" spans="15:21">
      <c r="O1472"/>
      <c r="P1472"/>
      <c r="R1472"/>
      <c r="S1472"/>
      <c r="U1472"/>
    </row>
    <row r="1473" spans="15:21">
      <c r="O1473"/>
      <c r="P1473"/>
      <c r="R1473"/>
      <c r="S1473"/>
      <c r="U1473"/>
    </row>
    <row r="1474" spans="15:21">
      <c r="O1474"/>
      <c r="P1474"/>
      <c r="R1474"/>
      <c r="S1474"/>
      <c r="U1474"/>
    </row>
    <row r="1475" spans="15:21">
      <c r="O1475"/>
      <c r="P1475"/>
      <c r="R1475"/>
      <c r="S1475"/>
      <c r="U1475"/>
    </row>
    <row r="1476" spans="15:21">
      <c r="O1476"/>
      <c r="P1476"/>
      <c r="R1476"/>
      <c r="S1476"/>
      <c r="U1476"/>
    </row>
    <row r="1477" spans="15:21">
      <c r="O1477"/>
      <c r="P1477"/>
      <c r="R1477"/>
      <c r="S1477"/>
      <c r="U1477"/>
    </row>
    <row r="1478" spans="15:21">
      <c r="O1478"/>
      <c r="P1478"/>
      <c r="R1478"/>
      <c r="S1478"/>
      <c r="U1478"/>
    </row>
    <row r="1479" spans="15:21">
      <c r="O1479"/>
      <c r="P1479"/>
      <c r="R1479"/>
      <c r="S1479"/>
      <c r="U1479"/>
    </row>
    <row r="1480" spans="15:21">
      <c r="O1480"/>
      <c r="P1480"/>
      <c r="R1480"/>
      <c r="S1480"/>
      <c r="U1480"/>
    </row>
    <row r="1481" spans="15:21">
      <c r="O1481"/>
      <c r="P1481"/>
      <c r="R1481"/>
      <c r="S1481"/>
      <c r="U1481"/>
    </row>
    <row r="1482" spans="15:21">
      <c r="O1482"/>
      <c r="P1482"/>
      <c r="R1482"/>
      <c r="S1482"/>
      <c r="U1482"/>
    </row>
    <row r="1483" spans="15:21">
      <c r="O1483"/>
      <c r="P1483"/>
      <c r="R1483"/>
      <c r="S1483"/>
      <c r="U1483"/>
    </row>
    <row r="1484" spans="15:21">
      <c r="O1484"/>
      <c r="P1484"/>
      <c r="R1484"/>
      <c r="S1484"/>
      <c r="U1484"/>
    </row>
    <row r="1485" spans="15:21">
      <c r="O1485"/>
      <c r="P1485"/>
      <c r="R1485"/>
      <c r="S1485"/>
      <c r="U1485"/>
    </row>
    <row r="1486" spans="15:21">
      <c r="O1486"/>
      <c r="P1486"/>
      <c r="R1486"/>
      <c r="S1486"/>
      <c r="U1486"/>
    </row>
    <row r="1487" spans="15:21">
      <c r="O1487"/>
      <c r="P1487"/>
      <c r="R1487"/>
      <c r="S1487"/>
      <c r="U1487"/>
    </row>
    <row r="1488" spans="15:21">
      <c r="O1488"/>
      <c r="P1488"/>
      <c r="R1488"/>
      <c r="S1488"/>
      <c r="U1488"/>
    </row>
    <row r="1489" spans="15:21">
      <c r="O1489"/>
      <c r="P1489"/>
      <c r="R1489"/>
      <c r="S1489"/>
      <c r="U1489"/>
    </row>
    <row r="1490" spans="15:21">
      <c r="O1490"/>
      <c r="P1490"/>
      <c r="R1490"/>
      <c r="S1490"/>
      <c r="U1490"/>
    </row>
    <row r="1491" spans="15:21">
      <c r="O1491"/>
      <c r="P1491"/>
      <c r="R1491"/>
      <c r="S1491"/>
      <c r="U1491"/>
    </row>
    <row r="1492" spans="15:21">
      <c r="O1492"/>
      <c r="P1492"/>
      <c r="R1492"/>
      <c r="S1492"/>
      <c r="U1492"/>
    </row>
    <row r="1493" spans="15:21">
      <c r="O1493"/>
      <c r="P1493"/>
      <c r="R1493"/>
      <c r="S1493"/>
      <c r="U1493"/>
    </row>
    <row r="1494" spans="15:21">
      <c r="O1494"/>
      <c r="P1494"/>
      <c r="R1494"/>
      <c r="S1494"/>
      <c r="U1494"/>
    </row>
    <row r="1495" spans="15:21">
      <c r="O1495"/>
      <c r="P1495"/>
      <c r="R1495"/>
      <c r="S1495"/>
      <c r="U1495"/>
    </row>
    <row r="1496" spans="15:21">
      <c r="O1496"/>
      <c r="P1496"/>
      <c r="R1496"/>
      <c r="S1496"/>
      <c r="U1496"/>
    </row>
    <row r="1497" spans="15:21">
      <c r="O1497"/>
      <c r="P1497"/>
      <c r="R1497"/>
      <c r="S1497"/>
      <c r="U1497"/>
    </row>
    <row r="1498" spans="15:21">
      <c r="O1498"/>
      <c r="P1498"/>
      <c r="R1498"/>
      <c r="S1498"/>
      <c r="U1498"/>
    </row>
    <row r="1499" spans="15:21">
      <c r="O1499"/>
      <c r="P1499"/>
      <c r="R1499"/>
      <c r="S1499"/>
      <c r="U1499"/>
    </row>
    <row r="1500" spans="15:21">
      <c r="O1500"/>
      <c r="P1500"/>
      <c r="R1500"/>
      <c r="S1500"/>
      <c r="U1500"/>
    </row>
    <row r="1501" spans="15:21">
      <c r="O1501"/>
      <c r="P1501"/>
      <c r="R1501"/>
      <c r="S1501"/>
      <c r="U1501"/>
    </row>
    <row r="1502" spans="15:21">
      <c r="O1502"/>
      <c r="P1502"/>
      <c r="R1502"/>
      <c r="S1502"/>
      <c r="U1502"/>
    </row>
    <row r="1503" spans="15:21">
      <c r="O1503"/>
      <c r="P1503"/>
      <c r="R1503"/>
      <c r="S1503"/>
      <c r="U1503"/>
    </row>
    <row r="1504" spans="15:21">
      <c r="O1504"/>
      <c r="P1504"/>
      <c r="R1504"/>
      <c r="S1504"/>
      <c r="U1504"/>
    </row>
    <row r="1505" spans="15:21">
      <c r="O1505"/>
      <c r="P1505"/>
      <c r="R1505"/>
      <c r="S1505"/>
      <c r="U1505"/>
    </row>
    <row r="1506" spans="15:21">
      <c r="O1506"/>
      <c r="P1506"/>
      <c r="R1506"/>
      <c r="S1506"/>
      <c r="U1506"/>
    </row>
    <row r="1507" spans="15:21">
      <c r="O1507"/>
      <c r="P1507"/>
      <c r="R1507"/>
      <c r="S1507"/>
      <c r="U1507"/>
    </row>
    <row r="1508" spans="15:21">
      <c r="O1508"/>
      <c r="P1508"/>
      <c r="R1508"/>
      <c r="S1508"/>
      <c r="U1508"/>
    </row>
    <row r="1509" spans="15:21">
      <c r="O1509"/>
      <c r="P1509"/>
      <c r="R1509"/>
      <c r="S1509"/>
      <c r="U1509"/>
    </row>
    <row r="1510" spans="15:21">
      <c r="O1510"/>
      <c r="P1510"/>
      <c r="R1510"/>
      <c r="S1510"/>
      <c r="U1510"/>
    </row>
    <row r="1511" spans="15:21">
      <c r="O1511"/>
      <c r="P1511"/>
      <c r="R1511"/>
      <c r="S1511"/>
      <c r="U1511"/>
    </row>
    <row r="1512" spans="15:21">
      <c r="O1512"/>
      <c r="P1512"/>
      <c r="R1512"/>
      <c r="S1512"/>
      <c r="U1512"/>
    </row>
    <row r="1513" spans="15:21">
      <c r="O1513"/>
      <c r="P1513"/>
      <c r="R1513"/>
      <c r="S1513"/>
      <c r="U1513"/>
    </row>
    <row r="1514" spans="15:21">
      <c r="O1514"/>
      <c r="P1514"/>
      <c r="R1514"/>
      <c r="S1514"/>
      <c r="U1514"/>
    </row>
    <row r="1515" spans="15:21">
      <c r="O1515"/>
      <c r="P1515"/>
      <c r="R1515"/>
      <c r="S1515"/>
      <c r="U1515"/>
    </row>
    <row r="1516" spans="15:21">
      <c r="O1516"/>
      <c r="P1516"/>
      <c r="R1516"/>
      <c r="S1516"/>
      <c r="U1516"/>
    </row>
    <row r="1517" spans="15:21">
      <c r="O1517"/>
      <c r="P1517"/>
      <c r="R1517"/>
      <c r="S1517"/>
      <c r="U1517"/>
    </row>
    <row r="1518" spans="15:21">
      <c r="O1518"/>
      <c r="P1518"/>
      <c r="R1518"/>
      <c r="S1518"/>
      <c r="U1518"/>
    </row>
    <row r="1519" spans="15:21">
      <c r="O1519"/>
      <c r="P1519"/>
      <c r="R1519"/>
      <c r="S1519"/>
      <c r="U1519"/>
    </row>
    <row r="1520" spans="15:21">
      <c r="O1520"/>
      <c r="P1520"/>
      <c r="R1520"/>
      <c r="S1520"/>
      <c r="U1520"/>
    </row>
    <row r="1521" spans="15:21">
      <c r="O1521"/>
      <c r="P1521"/>
      <c r="R1521"/>
      <c r="S1521"/>
      <c r="U1521"/>
    </row>
    <row r="1522" spans="15:21">
      <c r="O1522"/>
      <c r="P1522"/>
      <c r="R1522"/>
      <c r="S1522"/>
      <c r="U1522"/>
    </row>
    <row r="1523" spans="15:21">
      <c r="O1523"/>
      <c r="P1523"/>
      <c r="R1523"/>
      <c r="S1523"/>
      <c r="U1523"/>
    </row>
    <row r="1524" spans="15:21">
      <c r="O1524"/>
      <c r="P1524"/>
      <c r="R1524"/>
      <c r="S1524"/>
      <c r="U1524"/>
    </row>
    <row r="1525" spans="15:21">
      <c r="O1525"/>
      <c r="P1525"/>
      <c r="R1525"/>
      <c r="S1525"/>
      <c r="U1525"/>
    </row>
    <row r="1526" spans="15:21">
      <c r="O1526"/>
      <c r="P1526"/>
      <c r="R1526"/>
      <c r="S1526"/>
      <c r="U1526"/>
    </row>
    <row r="1527" spans="15:21">
      <c r="O1527"/>
      <c r="P1527"/>
      <c r="R1527"/>
      <c r="S1527"/>
      <c r="U1527"/>
    </row>
    <row r="1528" spans="15:21">
      <c r="O1528"/>
      <c r="P1528"/>
      <c r="R1528"/>
      <c r="S1528"/>
      <c r="U1528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6640625" defaultRowHeight="14.4"/>
  <cols>
    <col min="2" max="2" width="16.6640625" bestFit="1" customWidth="1"/>
    <col min="3" max="4" width="16.6640625" customWidth="1"/>
    <col min="5" max="5" width="7.6640625" bestFit="1" customWidth="1"/>
    <col min="8" max="8" width="16.6640625" bestFit="1" customWidth="1"/>
    <col min="9" max="10" width="16.6640625" customWidth="1"/>
    <col min="13" max="13" width="8.6640625" style="15"/>
    <col min="15" max="15" width="12.44140625" customWidth="1"/>
    <col min="16" max="16" width="12.109375" customWidth="1"/>
    <col min="20" max="20" width="12.33203125" customWidth="1"/>
    <col min="21" max="21" width="12.6640625" customWidth="1"/>
  </cols>
  <sheetData>
    <row r="1" spans="1:24">
      <c r="A1" s="50" t="s">
        <v>264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/>
      <c r="N1" s="50" t="s">
        <v>265</v>
      </c>
      <c r="O1" s="50"/>
      <c r="P1" s="50"/>
      <c r="Q1" s="50"/>
      <c r="R1" s="50"/>
      <c r="S1" s="50"/>
      <c r="T1" s="50"/>
      <c r="U1" s="50"/>
      <c r="V1" s="50"/>
      <c r="W1" s="50"/>
      <c r="X1" s="52"/>
    </row>
    <row r="2" spans="1:24">
      <c r="B2" t="s">
        <v>208</v>
      </c>
      <c r="C2" t="s">
        <v>257</v>
      </c>
      <c r="D2" t="s">
        <v>252</v>
      </c>
      <c r="E2" t="s">
        <v>207</v>
      </c>
      <c r="F2" t="s">
        <v>206</v>
      </c>
      <c r="H2" t="s">
        <v>205</v>
      </c>
      <c r="I2" t="s">
        <v>258</v>
      </c>
      <c r="J2" t="s">
        <v>259</v>
      </c>
      <c r="K2" t="s">
        <v>204</v>
      </c>
      <c r="L2" t="s">
        <v>203</v>
      </c>
      <c r="O2" t="s">
        <v>257</v>
      </c>
      <c r="P2" t="s">
        <v>252</v>
      </c>
      <c r="Q2" t="s">
        <v>207</v>
      </c>
      <c r="R2" t="s">
        <v>206</v>
      </c>
      <c r="T2" t="s">
        <v>258</v>
      </c>
      <c r="U2" t="s">
        <v>259</v>
      </c>
      <c r="V2" t="s">
        <v>204</v>
      </c>
      <c r="W2" t="s">
        <v>203</v>
      </c>
      <c r="X2" s="15"/>
    </row>
    <row r="3" spans="1:24">
      <c r="A3" s="41" t="s">
        <v>202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202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201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201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200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200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199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199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198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198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197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664062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6640625" bestFit="1" customWidth="1"/>
    <col min="19" max="19" width="11.109375" customWidth="1"/>
    <col min="20" max="20" width="13.109375" customWidth="1"/>
    <col min="21" max="21" width="16.6640625" bestFit="1" customWidth="1"/>
    <col min="23" max="23" width="12" bestFit="1" customWidth="1"/>
  </cols>
  <sheetData>
    <row r="1" spans="1:23">
      <c r="A1" t="s">
        <v>209</v>
      </c>
      <c r="B1" t="s">
        <v>210</v>
      </c>
      <c r="C1" t="s">
        <v>257</v>
      </c>
      <c r="D1" t="s">
        <v>252</v>
      </c>
      <c r="E1" t="s">
        <v>207</v>
      </c>
      <c r="F1" t="s">
        <v>206</v>
      </c>
      <c r="G1" t="s">
        <v>260</v>
      </c>
      <c r="H1" t="s">
        <v>261</v>
      </c>
      <c r="I1" t="s">
        <v>204</v>
      </c>
      <c r="J1" t="s">
        <v>203</v>
      </c>
      <c r="L1" t="s">
        <v>211</v>
      </c>
      <c r="M1" t="s">
        <v>251</v>
      </c>
      <c r="N1" t="s">
        <v>252</v>
      </c>
      <c r="O1" t="s">
        <v>208</v>
      </c>
      <c r="P1" t="s">
        <v>207</v>
      </c>
      <c r="Q1" t="s">
        <v>206</v>
      </c>
      <c r="S1" t="s">
        <v>249</v>
      </c>
      <c r="T1" t="s">
        <v>250</v>
      </c>
      <c r="U1" t="s">
        <v>205</v>
      </c>
      <c r="V1" t="s">
        <v>204</v>
      </c>
      <c r="W1" t="s">
        <v>203</v>
      </c>
    </row>
    <row r="2" spans="1:23">
      <c r="A2" t="s">
        <v>212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212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213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213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214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214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215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215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216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217</v>
      </c>
      <c r="V12">
        <v>44.8</v>
      </c>
      <c r="W12">
        <v>53.2</v>
      </c>
    </row>
    <row r="17" spans="1:23">
      <c r="A17" t="s">
        <v>197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218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219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6640625" defaultRowHeight="14.4"/>
  <cols>
    <col min="1" max="1" width="15.109375" bestFit="1" customWidth="1"/>
    <col min="4" max="4" width="10" customWidth="1"/>
  </cols>
  <sheetData>
    <row r="1" spans="1:5">
      <c r="A1" t="s">
        <v>209</v>
      </c>
      <c r="B1" t="s">
        <v>220</v>
      </c>
      <c r="C1" t="s">
        <v>221</v>
      </c>
      <c r="D1">
        <v>1500</v>
      </c>
      <c r="E1" t="s">
        <v>222</v>
      </c>
    </row>
    <row r="2" spans="1:5">
      <c r="A2" t="s">
        <v>212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213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214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215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6640625" defaultRowHeight="14.4"/>
  <cols>
    <col min="1" max="1" width="23.6640625" bestFit="1" customWidth="1"/>
    <col min="2" max="2" width="8.6640625" style="42"/>
    <col min="4" max="4" width="23.109375" bestFit="1" customWidth="1"/>
    <col min="5" max="5" width="8.6640625" style="42"/>
    <col min="7" max="7" width="26.109375" bestFit="1" customWidth="1"/>
    <col min="8" max="8" width="8.6640625" style="42"/>
    <col min="9" max="9" width="24.6640625" style="42" customWidth="1"/>
    <col min="10" max="10" width="8.6640625" style="42"/>
    <col min="11" max="11" width="24" style="42" customWidth="1"/>
    <col min="12" max="12" width="8.6640625" style="42"/>
    <col min="14" max="14" width="26.109375" bestFit="1" customWidth="1"/>
    <col min="15" max="15" width="8.6640625" style="42"/>
    <col min="17" max="17" width="26.109375" bestFit="1" customWidth="1"/>
    <col min="18" max="18" width="8.6640625" style="42"/>
    <col min="20" max="20" width="26.109375" bestFit="1" customWidth="1"/>
    <col min="21" max="21" width="8.6640625" style="42"/>
    <col min="22" max="22" width="24.6640625" customWidth="1"/>
    <col min="24" max="24" width="24" customWidth="1"/>
  </cols>
  <sheetData>
    <row r="1" spans="1:25">
      <c r="A1" s="41" t="s">
        <v>223</v>
      </c>
      <c r="B1" s="43" t="s">
        <v>224</v>
      </c>
      <c r="D1" s="41" t="s">
        <v>225</v>
      </c>
      <c r="E1" s="43" t="s">
        <v>224</v>
      </c>
      <c r="G1" s="41" t="s">
        <v>226</v>
      </c>
      <c r="H1" s="43" t="s">
        <v>224</v>
      </c>
      <c r="I1" s="43" t="s">
        <v>253</v>
      </c>
      <c r="J1" s="43" t="s">
        <v>224</v>
      </c>
      <c r="K1" s="43" t="s">
        <v>254</v>
      </c>
      <c r="L1" s="43" t="s">
        <v>224</v>
      </c>
      <c r="N1" s="41" t="s">
        <v>227</v>
      </c>
      <c r="O1" s="43" t="s">
        <v>224</v>
      </c>
      <c r="Q1" s="41" t="s">
        <v>228</v>
      </c>
      <c r="R1" s="43" t="s">
        <v>224</v>
      </c>
      <c r="T1" s="41" t="s">
        <v>229</v>
      </c>
      <c r="U1" s="43" t="s">
        <v>224</v>
      </c>
      <c r="V1" s="43" t="s">
        <v>256</v>
      </c>
      <c r="W1" s="43" t="s">
        <v>224</v>
      </c>
      <c r="X1" s="43" t="s">
        <v>255</v>
      </c>
      <c r="Y1" s="43" t="s">
        <v>224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6640625" defaultRowHeight="14.4"/>
  <cols>
    <col min="1" max="1" width="22.33203125" customWidth="1"/>
    <col min="4" max="4" width="21.664062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1" t="s">
        <v>223</v>
      </c>
      <c r="B1" s="43" t="s">
        <v>224</v>
      </c>
      <c r="D1" s="41" t="s">
        <v>225</v>
      </c>
      <c r="E1" s="43" t="s">
        <v>224</v>
      </c>
      <c r="G1" s="43" t="s">
        <v>253</v>
      </c>
      <c r="H1" s="43" t="s">
        <v>224</v>
      </c>
      <c r="I1" s="43" t="s">
        <v>254</v>
      </c>
      <c r="J1" s="43" t="s">
        <v>224</v>
      </c>
      <c r="L1" s="41" t="s">
        <v>227</v>
      </c>
      <c r="M1" s="43" t="s">
        <v>224</v>
      </c>
      <c r="O1" s="41" t="s">
        <v>228</v>
      </c>
      <c r="P1" s="43" t="s">
        <v>224</v>
      </c>
      <c r="R1" s="43" t="s">
        <v>256</v>
      </c>
      <c r="S1" s="43" t="s">
        <v>224</v>
      </c>
      <c r="T1" s="43" t="s">
        <v>255</v>
      </c>
      <c r="U1" s="43" t="s">
        <v>224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6640625" customWidth="1"/>
  </cols>
  <sheetData>
    <row r="1" spans="1:19" ht="15.6">
      <c r="A1" s="36" t="s">
        <v>182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6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6">
      <c r="A3" s="36" t="s">
        <v>183</v>
      </c>
      <c r="B3" s="38" t="s">
        <v>184</v>
      </c>
      <c r="C3" s="38" t="s">
        <v>185</v>
      </c>
      <c r="D3" s="38" t="s">
        <v>186</v>
      </c>
      <c r="E3" s="38" t="s">
        <v>187</v>
      </c>
      <c r="F3" s="38" t="s">
        <v>188</v>
      </c>
      <c r="G3" s="38" t="s">
        <v>189</v>
      </c>
      <c r="H3" s="38" t="s">
        <v>190</v>
      </c>
      <c r="I3" s="38" t="s">
        <v>191</v>
      </c>
      <c r="J3" s="38" t="s">
        <v>192</v>
      </c>
      <c r="K3" s="38" t="s">
        <v>193</v>
      </c>
      <c r="L3" s="37"/>
      <c r="M3" s="38" t="s">
        <v>194</v>
      </c>
      <c r="N3" s="37"/>
      <c r="O3" s="37"/>
      <c r="P3" s="37"/>
      <c r="Q3" s="37"/>
      <c r="R3" s="37"/>
    </row>
    <row r="4" spans="1:19" ht="15.6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195</v>
      </c>
      <c r="R4" s="38" t="s">
        <v>196</v>
      </c>
      <c r="S4" t="s">
        <v>262</v>
      </c>
    </row>
    <row r="5" spans="1:19" ht="15.6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6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6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6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6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6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6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6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6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6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6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6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6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6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6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6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6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6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6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6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6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6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6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6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6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6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6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6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6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6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6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6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6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6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6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6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6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6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6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6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6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6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6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6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6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6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6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6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6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6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6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6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6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6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6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6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6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6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6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6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6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6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6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6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6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6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6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6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6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6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6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6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6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6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6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6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6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6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6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6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6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6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6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6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6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6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6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6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6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6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6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6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6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6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6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6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6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6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6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6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6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6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6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6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6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6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6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6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6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6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6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6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6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6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6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6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6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6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6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6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6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6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6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6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6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6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6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6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6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6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6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6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6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6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6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6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6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6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6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6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6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6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6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6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6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6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6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6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6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6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6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6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6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6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6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6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6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6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6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6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6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6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6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6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6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6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6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6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6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6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6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6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6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6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6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6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6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6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6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6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6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6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6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6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6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6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6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6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6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6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6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6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6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6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6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6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6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6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6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6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6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6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6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6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6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6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6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6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6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6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6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6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6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6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6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6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6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6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6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6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6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6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6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6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6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6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6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6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6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6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6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6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6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6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6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6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6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6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6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6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6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6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6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6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6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6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6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6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6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6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6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6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6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6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6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6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6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6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6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6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6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6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6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6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6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6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6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6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6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6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6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6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6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6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6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6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6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6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6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6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6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6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6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6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6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6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6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6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6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6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6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6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6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6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6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6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6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6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6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6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6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6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6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6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6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6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6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6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6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6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6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6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6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6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6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6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6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6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6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6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6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6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6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6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6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6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6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6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6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6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6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6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6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6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6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6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6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6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6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6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6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6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6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6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6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6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6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6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6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6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6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6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6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6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6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6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6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6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6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6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6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6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6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6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6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6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6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6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6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6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6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6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6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6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6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6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6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6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6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6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6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6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6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6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6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6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6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6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6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6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6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6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6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6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6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6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6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6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6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6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6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6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6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6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6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6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6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6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6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6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6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6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6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6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6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6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6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6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6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6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6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6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6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6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6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6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6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6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6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6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6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6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6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6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6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6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6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6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6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6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6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6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6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6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6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6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6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6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6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6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6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6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6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6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6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6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6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6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6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6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6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6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6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6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6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6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6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6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6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6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6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6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6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6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6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6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6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6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6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6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6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6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6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6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6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6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6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6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6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6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6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6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6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6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6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6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6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6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6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6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6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6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6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6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6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6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6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6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6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6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6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6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6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6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6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6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6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6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6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6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6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6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6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6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6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6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6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6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6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6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6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6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6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6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6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6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6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6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6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6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6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6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6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6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6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6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6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6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6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6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6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6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6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6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6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6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6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6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6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6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6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6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6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6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6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6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6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6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6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6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6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6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6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6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6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6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6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6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6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6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6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6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6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6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6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6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6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6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6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6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6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6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6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6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6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6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6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6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6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6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6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6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6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6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6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6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6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6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6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6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6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6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6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6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6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6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6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6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6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6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6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6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6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6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6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6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6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6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6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6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6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6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6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6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6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6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6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6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6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6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6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6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6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6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6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6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6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6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6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6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6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6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6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6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6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6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6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6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6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6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6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6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6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6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6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6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6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6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6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6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6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6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6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6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6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6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6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6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6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6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6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6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6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6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6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6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6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6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6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6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6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6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6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6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6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6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6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6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6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6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6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6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6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6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6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6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6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6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6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6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6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6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6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6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6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6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6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6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6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6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6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6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6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6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6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6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6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6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6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6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6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6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6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6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6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6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6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6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6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6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6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6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6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6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6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6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6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6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6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6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6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6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6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6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6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6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6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6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6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6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6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6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6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6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6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6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6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6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6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6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6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6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6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6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6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6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6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6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6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6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6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6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6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6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6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6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6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6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6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6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6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6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6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6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6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6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6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6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6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6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6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6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6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6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6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6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6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6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6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6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6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6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6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6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6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6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6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6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6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6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6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6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6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6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6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6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6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6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6640625" defaultRowHeight="14.4"/>
  <cols>
    <col min="15" max="15" width="12" bestFit="1" customWidth="1"/>
    <col min="20" max="20" width="20.44140625" bestFit="1" customWidth="1"/>
  </cols>
  <sheetData>
    <row r="4" spans="1:22">
      <c r="B4" t="s">
        <v>230</v>
      </c>
      <c r="O4" s="65" t="s">
        <v>231</v>
      </c>
      <c r="P4" t="s">
        <v>194</v>
      </c>
    </row>
    <row r="5" spans="1:22">
      <c r="B5" t="s">
        <v>183</v>
      </c>
      <c r="C5" t="s">
        <v>184</v>
      </c>
      <c r="D5" t="s">
        <v>185</v>
      </c>
      <c r="E5" t="s">
        <v>186</v>
      </c>
      <c r="F5" t="s">
        <v>187</v>
      </c>
      <c r="G5" t="s">
        <v>188</v>
      </c>
      <c r="H5" t="s">
        <v>189</v>
      </c>
      <c r="I5" t="s">
        <v>190</v>
      </c>
      <c r="J5" t="s">
        <v>191</v>
      </c>
      <c r="K5" t="s">
        <v>192</v>
      </c>
      <c r="L5" t="s">
        <v>193</v>
      </c>
      <c r="O5" s="65"/>
      <c r="P5">
        <f>0.004963421241^2</f>
        <v>2.4635550415609982E-5</v>
      </c>
      <c r="T5" t="s">
        <v>232</v>
      </c>
      <c r="U5" t="s">
        <v>196</v>
      </c>
      <c r="V5" t="s">
        <v>262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664062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230</v>
      </c>
    </row>
    <row r="4" spans="1:26" ht="25.2" customHeight="1">
      <c r="A4" t="s">
        <v>233</v>
      </c>
      <c r="C4" t="s">
        <v>183</v>
      </c>
      <c r="D4" t="s">
        <v>184</v>
      </c>
      <c r="E4" t="s">
        <v>185</v>
      </c>
      <c r="F4" t="s">
        <v>186</v>
      </c>
      <c r="G4" t="s">
        <v>187</v>
      </c>
      <c r="H4" t="s">
        <v>188</v>
      </c>
      <c r="I4" t="s">
        <v>189</v>
      </c>
      <c r="J4" t="s">
        <v>190</v>
      </c>
      <c r="K4" t="s">
        <v>191</v>
      </c>
      <c r="L4" t="s">
        <v>192</v>
      </c>
      <c r="M4" t="s">
        <v>193</v>
      </c>
      <c r="O4" s="44" t="s">
        <v>234</v>
      </c>
      <c r="P4" t="s">
        <v>235</v>
      </c>
      <c r="U4" t="s">
        <v>195</v>
      </c>
      <c r="V4" t="s">
        <v>236</v>
      </c>
      <c r="W4" t="s">
        <v>263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209</v>
      </c>
      <c r="U9" s="39">
        <f t="shared" si="0"/>
        <v>262.20969001368229</v>
      </c>
      <c r="W9" s="39">
        <f>E9*V5</f>
        <v>344.62338507064203</v>
      </c>
      <c r="Y9" t="s">
        <v>237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212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212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213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213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214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214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215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215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238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239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240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241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664062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230</v>
      </c>
    </row>
    <row r="5" spans="2:22">
      <c r="B5" t="s">
        <v>183</v>
      </c>
      <c r="C5" t="s">
        <v>184</v>
      </c>
      <c r="D5" t="s">
        <v>185</v>
      </c>
      <c r="E5" t="s">
        <v>186</v>
      </c>
      <c r="F5" t="s">
        <v>187</v>
      </c>
      <c r="G5" t="s">
        <v>188</v>
      </c>
      <c r="H5" t="s">
        <v>189</v>
      </c>
      <c r="I5" t="s">
        <v>190</v>
      </c>
      <c r="J5" t="s">
        <v>191</v>
      </c>
      <c r="K5" t="s">
        <v>192</v>
      </c>
      <c r="L5" t="s">
        <v>193</v>
      </c>
      <c r="N5" t="s">
        <v>242</v>
      </c>
      <c r="O5" t="s">
        <v>235</v>
      </c>
      <c r="T5" t="s">
        <v>195</v>
      </c>
      <c r="U5" t="s">
        <v>236</v>
      </c>
      <c r="V5" t="s">
        <v>262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209</v>
      </c>
      <c r="Q9" t="s">
        <v>221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212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213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214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215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6640625" defaultRowHeight="14.4"/>
  <sheetData>
    <row r="4" spans="15:25">
      <c r="O4" t="s">
        <v>234</v>
      </c>
      <c r="V4" t="s">
        <v>195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209</v>
      </c>
      <c r="R9" t="s">
        <v>221</v>
      </c>
      <c r="V9">
        <v>311.77196219595214</v>
      </c>
      <c r="X9" t="s">
        <v>243</v>
      </c>
      <c r="Y9" t="s">
        <v>221</v>
      </c>
    </row>
    <row r="10" spans="15:25">
      <c r="O10">
        <v>7.0447481603754095E-2</v>
      </c>
      <c r="Q10" t="s">
        <v>212</v>
      </c>
      <c r="R10">
        <f>AVERAGE(O:O)</f>
        <v>0.10433270075399846</v>
      </c>
      <c r="V10">
        <v>348.57979098002789</v>
      </c>
      <c r="X10" t="s">
        <v>212</v>
      </c>
      <c r="Y10">
        <f>AVERAGE(V:V)</f>
        <v>260.47643868438541</v>
      </c>
    </row>
    <row r="11" spans="15:25">
      <c r="O11">
        <v>3.0438628843886206E-2</v>
      </c>
      <c r="Q11" t="s">
        <v>213</v>
      </c>
      <c r="R11">
        <f>MEDIAN(O:O)</f>
        <v>3.9811455814500005E-2</v>
      </c>
      <c r="V11">
        <v>118.56287334829223</v>
      </c>
      <c r="X11" t="s">
        <v>213</v>
      </c>
      <c r="Y11">
        <f>MEDIAN(V:V)</f>
        <v>198.09837738830407</v>
      </c>
    </row>
    <row r="12" spans="15:25">
      <c r="O12">
        <v>6.8719524507812962E-2</v>
      </c>
      <c r="Q12" t="s">
        <v>214</v>
      </c>
      <c r="R12">
        <f>STDEV(O:O)</f>
        <v>0.213408022737443</v>
      </c>
      <c r="V12">
        <v>412.61907010258989</v>
      </c>
      <c r="X12" t="s">
        <v>214</v>
      </c>
      <c r="Y12">
        <f>STDEV(V:V)</f>
        <v>177.02063162475872</v>
      </c>
    </row>
    <row r="13" spans="15:25">
      <c r="O13">
        <v>9.6898517149314606E-2</v>
      </c>
      <c r="Q13" t="s">
        <v>215</v>
      </c>
      <c r="R13">
        <f>VAR(O:O)</f>
        <v>4.5542984168704989E-2</v>
      </c>
      <c r="V13">
        <v>117.61298188434691</v>
      </c>
      <c r="X13" t="s">
        <v>215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AAA5D-6C19-4CA9-9A27-185C4DB2F7BA}">
  <dimension ref="A1:C348"/>
  <sheetViews>
    <sheetView topLeftCell="A178" zoomScale="120" zoomScaleNormal="120" workbookViewId="0">
      <selection activeCell="N323" sqref="N323"/>
    </sheetView>
  </sheetViews>
  <sheetFormatPr defaultRowHeight="14.4"/>
  <cols>
    <col min="1" max="1" width="18.5546875" customWidth="1"/>
  </cols>
  <sheetData>
    <row r="1" spans="1:3">
      <c r="B1" t="s">
        <v>432</v>
      </c>
    </row>
    <row r="2" spans="1:3">
      <c r="A2" t="s">
        <v>51</v>
      </c>
      <c r="C2" t="s">
        <v>170</v>
      </c>
    </row>
    <row r="3" spans="1:3">
      <c r="A3" t="s">
        <v>72</v>
      </c>
      <c r="B3">
        <v>20</v>
      </c>
      <c r="C3">
        <v>0.41037499999999999</v>
      </c>
    </row>
    <row r="4" spans="1:3">
      <c r="A4" t="s">
        <v>73</v>
      </c>
      <c r="B4">
        <v>40</v>
      </c>
      <c r="C4">
        <v>0.55587500000000001</v>
      </c>
    </row>
    <row r="5" spans="1:3">
      <c r="A5" t="s">
        <v>74</v>
      </c>
      <c r="B5">
        <v>60</v>
      </c>
      <c r="C5">
        <v>-0.31825000000000003</v>
      </c>
    </row>
    <row r="6" spans="1:3">
      <c r="A6" t="s">
        <v>75</v>
      </c>
      <c r="B6">
        <v>80</v>
      </c>
      <c r="C6">
        <v>-0.47074999999999995</v>
      </c>
    </row>
    <row r="7" spans="1:3">
      <c r="A7" t="s">
        <v>76</v>
      </c>
      <c r="B7">
        <v>100</v>
      </c>
      <c r="C7">
        <v>-0.30074999999999996</v>
      </c>
    </row>
    <row r="8" spans="1:3">
      <c r="A8" t="s">
        <v>88</v>
      </c>
      <c r="B8">
        <v>20</v>
      </c>
      <c r="C8">
        <v>-0.16762500000000005</v>
      </c>
    </row>
    <row r="9" spans="1:3">
      <c r="A9" t="s">
        <v>89</v>
      </c>
      <c r="B9">
        <v>40</v>
      </c>
      <c r="C9">
        <v>-0.52787500000000009</v>
      </c>
    </row>
    <row r="10" spans="1:3">
      <c r="A10" t="s">
        <v>90</v>
      </c>
      <c r="B10">
        <v>60</v>
      </c>
      <c r="C10">
        <v>-0.1845</v>
      </c>
    </row>
    <row r="11" spans="1:3">
      <c r="A11" t="s">
        <v>91</v>
      </c>
      <c r="B11">
        <v>80</v>
      </c>
      <c r="C11">
        <v>0.44424999999999998</v>
      </c>
    </row>
    <row r="12" spans="1:3">
      <c r="A12" t="s">
        <v>92</v>
      </c>
      <c r="B12">
        <v>100</v>
      </c>
      <c r="C12">
        <v>-0.42787499999999995</v>
      </c>
    </row>
    <row r="13" spans="1:3">
      <c r="A13" t="s">
        <v>93</v>
      </c>
      <c r="B13">
        <v>120</v>
      </c>
      <c r="C13">
        <v>-0.43312500000000009</v>
      </c>
    </row>
    <row r="14" spans="1:3">
      <c r="A14" t="s">
        <v>94</v>
      </c>
      <c r="B14">
        <v>140</v>
      </c>
      <c r="C14">
        <v>0.96312500000000001</v>
      </c>
    </row>
    <row r="15" spans="1:3">
      <c r="A15" t="s">
        <v>95</v>
      </c>
      <c r="B15">
        <v>160</v>
      </c>
      <c r="C15">
        <v>-8.2874999999999949E-2</v>
      </c>
    </row>
    <row r="16" spans="1:3">
      <c r="A16" t="s">
        <v>96</v>
      </c>
      <c r="B16">
        <v>180</v>
      </c>
      <c r="C16">
        <v>0.79962499999999992</v>
      </c>
    </row>
    <row r="17" spans="1:3">
      <c r="A17" t="s">
        <v>97</v>
      </c>
      <c r="B17">
        <v>200</v>
      </c>
      <c r="C17">
        <v>0.39112500000000006</v>
      </c>
    </row>
    <row r="18" spans="1:3">
      <c r="A18" t="s">
        <v>98</v>
      </c>
      <c r="B18">
        <v>220</v>
      </c>
      <c r="C18">
        <v>-0.767625</v>
      </c>
    </row>
    <row r="19" spans="1:3">
      <c r="A19" t="s">
        <v>174</v>
      </c>
      <c r="B19">
        <v>240</v>
      </c>
      <c r="C19">
        <v>-0.72700000000000009</v>
      </c>
    </row>
    <row r="20" spans="1:3">
      <c r="A20" t="s">
        <v>103</v>
      </c>
      <c r="B20">
        <v>20</v>
      </c>
      <c r="C20">
        <v>0.35537500000000005</v>
      </c>
    </row>
    <row r="21" spans="1:3">
      <c r="A21" t="s">
        <v>104</v>
      </c>
      <c r="B21">
        <v>40</v>
      </c>
      <c r="C21">
        <v>0.97624999999999995</v>
      </c>
    </row>
    <row r="22" spans="1:3">
      <c r="A22" t="s">
        <v>105</v>
      </c>
      <c r="B22">
        <v>60</v>
      </c>
      <c r="C22">
        <v>-0.22237499999999991</v>
      </c>
    </row>
    <row r="23" spans="1:3">
      <c r="A23" t="s">
        <v>106</v>
      </c>
      <c r="B23">
        <v>80</v>
      </c>
      <c r="C23">
        <v>1.0749999999999992E-2</v>
      </c>
    </row>
    <row r="24" spans="1:3">
      <c r="A24" t="s">
        <v>107</v>
      </c>
      <c r="B24">
        <v>100</v>
      </c>
      <c r="C24">
        <v>5.9249999999999935E-2</v>
      </c>
    </row>
    <row r="25" spans="1:3">
      <c r="A25" t="s">
        <v>109</v>
      </c>
      <c r="B25">
        <v>120</v>
      </c>
      <c r="C25">
        <v>0.63112500000000016</v>
      </c>
    </row>
    <row r="26" spans="1:3">
      <c r="A26" t="s">
        <v>108</v>
      </c>
      <c r="B26">
        <v>140</v>
      </c>
      <c r="C26">
        <v>-0.424875</v>
      </c>
    </row>
    <row r="27" spans="1:3">
      <c r="A27" t="s">
        <v>110</v>
      </c>
      <c r="B27">
        <v>160</v>
      </c>
      <c r="C27">
        <v>-0.27524999999999994</v>
      </c>
    </row>
    <row r="28" spans="1:3">
      <c r="A28" t="s">
        <v>111</v>
      </c>
      <c r="B28">
        <v>180</v>
      </c>
      <c r="C28">
        <v>-0.5891249999999999</v>
      </c>
    </row>
    <row r="29" spans="1:3">
      <c r="A29" t="s">
        <v>112</v>
      </c>
      <c r="B29">
        <v>200</v>
      </c>
      <c r="C29">
        <v>-1.48325</v>
      </c>
    </row>
    <row r="30" spans="1:3">
      <c r="A30" t="s">
        <v>113</v>
      </c>
      <c r="B30">
        <v>220</v>
      </c>
      <c r="C30">
        <v>-0.26775000000000004</v>
      </c>
    </row>
    <row r="31" spans="1:3">
      <c r="A31" t="s">
        <v>114</v>
      </c>
      <c r="B31">
        <v>240</v>
      </c>
      <c r="C31">
        <v>8.7374999999999939E-2</v>
      </c>
    </row>
    <row r="32" spans="1:3">
      <c r="A32" t="s">
        <v>115</v>
      </c>
      <c r="B32">
        <v>260</v>
      </c>
      <c r="C32">
        <v>1.0728750000000002</v>
      </c>
    </row>
    <row r="33" spans="1:3">
      <c r="A33" t="s">
        <v>117</v>
      </c>
      <c r="B33">
        <v>280</v>
      </c>
      <c r="C33">
        <v>-0.20962500000000003</v>
      </c>
    </row>
    <row r="34" spans="1:3">
      <c r="A34" t="s">
        <v>116</v>
      </c>
      <c r="B34">
        <v>300</v>
      </c>
      <c r="C34">
        <v>-0.17724999999999999</v>
      </c>
    </row>
    <row r="35" spans="1:3">
      <c r="A35" t="s">
        <v>125</v>
      </c>
      <c r="B35">
        <v>20</v>
      </c>
      <c r="C35">
        <v>-0.175625</v>
      </c>
    </row>
    <row r="36" spans="1:3">
      <c r="A36" t="s">
        <v>126</v>
      </c>
      <c r="B36">
        <v>40</v>
      </c>
      <c r="C36">
        <v>-0.20812499999999998</v>
      </c>
    </row>
    <row r="37" spans="1:3">
      <c r="A37" t="s">
        <v>127</v>
      </c>
      <c r="B37">
        <v>60</v>
      </c>
      <c r="C37">
        <v>0.28912499999999997</v>
      </c>
    </row>
    <row r="38" spans="1:3">
      <c r="A38" t="s">
        <v>128</v>
      </c>
      <c r="B38">
        <v>80</v>
      </c>
      <c r="C38">
        <v>-0.270625</v>
      </c>
    </row>
    <row r="39" spans="1:3">
      <c r="A39" t="s">
        <v>129</v>
      </c>
      <c r="B39">
        <v>100</v>
      </c>
      <c r="C39">
        <v>-1.1624999999999996E-2</v>
      </c>
    </row>
    <row r="40" spans="1:3">
      <c r="A40" t="s">
        <v>130</v>
      </c>
      <c r="B40">
        <v>120</v>
      </c>
      <c r="C40">
        <v>0.17487499999999997</v>
      </c>
    </row>
    <row r="41" spans="1:3">
      <c r="A41" t="s">
        <v>131</v>
      </c>
      <c r="B41">
        <v>140</v>
      </c>
      <c r="C41">
        <v>-0.52037499999999992</v>
      </c>
    </row>
    <row r="42" spans="1:3">
      <c r="A42" t="s">
        <v>132</v>
      </c>
      <c r="B42">
        <v>20</v>
      </c>
      <c r="C42">
        <v>-9.1250000000000012E-2</v>
      </c>
    </row>
    <row r="43" spans="1:3">
      <c r="A43" t="s">
        <v>133</v>
      </c>
      <c r="B43">
        <v>40</v>
      </c>
      <c r="C43">
        <v>0.47462499999999996</v>
      </c>
    </row>
    <row r="44" spans="1:3">
      <c r="A44" t="s">
        <v>134</v>
      </c>
      <c r="B44">
        <v>60</v>
      </c>
      <c r="C44">
        <v>0.62650000000000006</v>
      </c>
    </row>
    <row r="45" spans="1:3">
      <c r="A45" t="s">
        <v>135</v>
      </c>
      <c r="B45">
        <v>80</v>
      </c>
      <c r="C45">
        <v>-0.484375</v>
      </c>
    </row>
    <row r="46" spans="1:3">
      <c r="A46" t="s">
        <v>136</v>
      </c>
      <c r="B46">
        <v>100</v>
      </c>
      <c r="C46">
        <v>-4.9249999999999974E-2</v>
      </c>
    </row>
    <row r="47" spans="1:3">
      <c r="A47" t="s">
        <v>137</v>
      </c>
      <c r="B47">
        <v>120</v>
      </c>
      <c r="C47">
        <v>-0.67100000000000004</v>
      </c>
    </row>
    <row r="48" spans="1:3">
      <c r="A48" t="s">
        <v>138</v>
      </c>
      <c r="B48">
        <v>140</v>
      </c>
      <c r="C48">
        <v>-0.760625</v>
      </c>
    </row>
    <row r="49" spans="1:3">
      <c r="A49" t="s">
        <v>139</v>
      </c>
      <c r="B49">
        <v>20</v>
      </c>
      <c r="C49">
        <v>0.104625</v>
      </c>
    </row>
    <row r="50" spans="1:3">
      <c r="A50" t="s">
        <v>319</v>
      </c>
      <c r="B50">
        <v>40</v>
      </c>
      <c r="C50">
        <v>-2.749999999999999E-2</v>
      </c>
    </row>
    <row r="51" spans="1:3">
      <c r="A51" t="s">
        <v>320</v>
      </c>
      <c r="B51">
        <v>60</v>
      </c>
      <c r="C51">
        <v>-0.33474999999999999</v>
      </c>
    </row>
    <row r="52" spans="1:3">
      <c r="A52" t="s">
        <v>321</v>
      </c>
      <c r="B52">
        <v>80</v>
      </c>
      <c r="C52">
        <v>-0.29275000000000001</v>
      </c>
    </row>
    <row r="53" spans="1:3">
      <c r="A53" t="s">
        <v>322</v>
      </c>
      <c r="B53">
        <v>100</v>
      </c>
      <c r="C53">
        <v>-0.21224999999999997</v>
      </c>
    </row>
    <row r="54" spans="1:3">
      <c r="A54" t="s">
        <v>323</v>
      </c>
      <c r="B54">
        <v>120</v>
      </c>
      <c r="C54">
        <v>-8.0125000000000002E-2</v>
      </c>
    </row>
    <row r="55" spans="1:3">
      <c r="A55" t="s">
        <v>140</v>
      </c>
      <c r="B55">
        <v>20</v>
      </c>
      <c r="C55">
        <v>0.65187499999999998</v>
      </c>
    </row>
    <row r="56" spans="1:3">
      <c r="A56" t="s">
        <v>141</v>
      </c>
      <c r="B56">
        <v>40</v>
      </c>
      <c r="C56">
        <v>0.26024999999999998</v>
      </c>
    </row>
    <row r="57" spans="1:3">
      <c r="A57" t="s">
        <v>142</v>
      </c>
      <c r="B57">
        <v>60</v>
      </c>
      <c r="C57">
        <v>-0.29300000000000004</v>
      </c>
    </row>
    <row r="58" spans="1:3">
      <c r="A58" t="s">
        <v>143</v>
      </c>
      <c r="B58">
        <v>80</v>
      </c>
      <c r="C58">
        <v>-0.16250000000000001</v>
      </c>
    </row>
    <row r="59" spans="1:3">
      <c r="A59" t="s">
        <v>144</v>
      </c>
      <c r="B59">
        <v>100</v>
      </c>
      <c r="C59">
        <v>7.3749999999999982E-2</v>
      </c>
    </row>
    <row r="60" spans="1:3">
      <c r="A60" t="s">
        <v>145</v>
      </c>
      <c r="B60">
        <v>120</v>
      </c>
      <c r="C60">
        <v>7.2874999999999981E-2</v>
      </c>
    </row>
    <row r="61" spans="1:3">
      <c r="A61" t="s">
        <v>146</v>
      </c>
      <c r="B61">
        <v>140</v>
      </c>
      <c r="C61">
        <v>-0.18112499999999998</v>
      </c>
    </row>
    <row r="62" spans="1:3">
      <c r="A62" t="s">
        <v>147</v>
      </c>
      <c r="B62">
        <v>160</v>
      </c>
      <c r="C62">
        <v>-0.40350000000000003</v>
      </c>
    </row>
    <row r="63" spans="1:3">
      <c r="A63" t="s">
        <v>148</v>
      </c>
      <c r="B63">
        <v>180</v>
      </c>
      <c r="C63">
        <v>-0.27537499999999993</v>
      </c>
    </row>
    <row r="64" spans="1:3">
      <c r="A64" t="s">
        <v>149</v>
      </c>
      <c r="B64">
        <v>200</v>
      </c>
      <c r="C64">
        <v>8.2500000000000018E-2</v>
      </c>
    </row>
    <row r="65" spans="1:3">
      <c r="A65" t="s">
        <v>150</v>
      </c>
      <c r="B65">
        <v>220</v>
      </c>
      <c r="C65">
        <v>1.937500000000001E-2</v>
      </c>
    </row>
    <row r="66" spans="1:3">
      <c r="A66" t="s">
        <v>151</v>
      </c>
      <c r="B66">
        <v>240</v>
      </c>
      <c r="C66">
        <v>-0.20224999999999999</v>
      </c>
    </row>
    <row r="67" spans="1:3">
      <c r="A67" t="s">
        <v>152</v>
      </c>
      <c r="B67">
        <v>260</v>
      </c>
      <c r="C67">
        <v>-0.389625</v>
      </c>
    </row>
    <row r="68" spans="1:3">
      <c r="A68" t="s">
        <v>153</v>
      </c>
      <c r="B68">
        <v>280</v>
      </c>
      <c r="C68">
        <v>-0.355375</v>
      </c>
    </row>
    <row r="69" spans="1:3">
      <c r="A69" t="s">
        <v>154</v>
      </c>
      <c r="B69">
        <v>20</v>
      </c>
      <c r="C69">
        <v>-0.83125000000000004</v>
      </c>
    </row>
    <row r="70" spans="1:3">
      <c r="A70" t="s">
        <v>155</v>
      </c>
      <c r="B70">
        <v>40</v>
      </c>
      <c r="C70">
        <v>-0.68149999999999999</v>
      </c>
    </row>
    <row r="71" spans="1:3">
      <c r="A71" t="s">
        <v>156</v>
      </c>
      <c r="B71">
        <v>60</v>
      </c>
      <c r="C71">
        <v>-0.42075000000000007</v>
      </c>
    </row>
    <row r="72" spans="1:3">
      <c r="A72" t="s">
        <v>157</v>
      </c>
      <c r="B72">
        <v>80</v>
      </c>
      <c r="C72">
        <v>0.42162500000000003</v>
      </c>
    </row>
    <row r="73" spans="1:3">
      <c r="A73" t="s">
        <v>158</v>
      </c>
      <c r="B73">
        <v>100</v>
      </c>
      <c r="C73">
        <v>0.12612499999999999</v>
      </c>
    </row>
    <row r="74" spans="1:3">
      <c r="A74" t="s">
        <v>159</v>
      </c>
      <c r="B74">
        <v>120</v>
      </c>
      <c r="C74">
        <v>0.43325000000000002</v>
      </c>
    </row>
    <row r="75" spans="1:3">
      <c r="A75" t="s">
        <v>160</v>
      </c>
      <c r="B75">
        <v>140</v>
      </c>
      <c r="C75">
        <v>1.2499999999999735E-4</v>
      </c>
    </row>
    <row r="76" spans="1:3">
      <c r="A76" t="s">
        <v>161</v>
      </c>
      <c r="B76">
        <v>160</v>
      </c>
      <c r="C76">
        <v>-0.42750000000000005</v>
      </c>
    </row>
    <row r="77" spans="1:3">
      <c r="A77" t="s">
        <v>162</v>
      </c>
      <c r="B77">
        <v>180</v>
      </c>
      <c r="C77">
        <v>-0.105625</v>
      </c>
    </row>
    <row r="78" spans="1:3">
      <c r="A78" t="s">
        <v>163</v>
      </c>
      <c r="B78">
        <v>200</v>
      </c>
      <c r="C78">
        <v>-0.46275000000000005</v>
      </c>
    </row>
    <row r="79" spans="1:3">
      <c r="A79" t="s">
        <v>164</v>
      </c>
      <c r="B79">
        <v>220</v>
      </c>
      <c r="C79">
        <v>0.19024999999999997</v>
      </c>
    </row>
    <row r="80" spans="1:3">
      <c r="A80" t="s">
        <v>433</v>
      </c>
      <c r="B80">
        <v>20</v>
      </c>
      <c r="C80">
        <v>0.13037500000000002</v>
      </c>
    </row>
    <row r="81" spans="1:3">
      <c r="A81" t="s">
        <v>292</v>
      </c>
      <c r="B81">
        <v>40</v>
      </c>
      <c r="C81">
        <v>0.34887500000000005</v>
      </c>
    </row>
    <row r="82" spans="1:3">
      <c r="A82" t="s">
        <v>434</v>
      </c>
      <c r="B82">
        <v>60</v>
      </c>
      <c r="C82">
        <v>-0.14024999999999999</v>
      </c>
    </row>
    <row r="83" spans="1:3">
      <c r="A83" t="s">
        <v>293</v>
      </c>
      <c r="B83">
        <v>80</v>
      </c>
      <c r="C83">
        <v>0.10562499999999994</v>
      </c>
    </row>
    <row r="84" spans="1:3">
      <c r="A84" t="s">
        <v>435</v>
      </c>
      <c r="B84">
        <v>100</v>
      </c>
      <c r="C84">
        <v>0.21112499999999995</v>
      </c>
    </row>
    <row r="85" spans="1:3">
      <c r="A85" t="s">
        <v>294</v>
      </c>
      <c r="B85">
        <v>120</v>
      </c>
      <c r="C85">
        <v>-7.375000000000043E-3</v>
      </c>
    </row>
    <row r="86" spans="1:3">
      <c r="A86" t="s">
        <v>438</v>
      </c>
      <c r="B86">
        <v>20</v>
      </c>
      <c r="C86">
        <v>-1.2250000000000049E-2</v>
      </c>
    </row>
    <row r="87" spans="1:3">
      <c r="A87" t="s">
        <v>296</v>
      </c>
      <c r="B87">
        <v>40</v>
      </c>
      <c r="C87">
        <v>-2.1250000000000036E-2</v>
      </c>
    </row>
    <row r="88" spans="1:3">
      <c r="A88" t="s">
        <v>439</v>
      </c>
      <c r="B88">
        <v>60</v>
      </c>
      <c r="C88">
        <v>0.11187499999999999</v>
      </c>
    </row>
    <row r="89" spans="1:3">
      <c r="A89" t="s">
        <v>295</v>
      </c>
      <c r="B89">
        <v>80</v>
      </c>
      <c r="C89">
        <v>0.13900000000000001</v>
      </c>
    </row>
    <row r="90" spans="1:3">
      <c r="A90" t="s">
        <v>440</v>
      </c>
      <c r="B90">
        <v>100</v>
      </c>
      <c r="C90">
        <v>0.11050000000000004</v>
      </c>
    </row>
    <row r="91" spans="1:3">
      <c r="A91" t="s">
        <v>297</v>
      </c>
      <c r="B91">
        <v>120</v>
      </c>
      <c r="C91">
        <v>2.9625000000000058E-2</v>
      </c>
    </row>
    <row r="92" spans="1:3">
      <c r="A92" t="s">
        <v>441</v>
      </c>
      <c r="B92">
        <v>140</v>
      </c>
      <c r="C92">
        <v>3.7500000000000532E-3</v>
      </c>
    </row>
    <row r="93" spans="1:3">
      <c r="A93" t="s">
        <v>298</v>
      </c>
      <c r="B93">
        <v>160</v>
      </c>
      <c r="C93">
        <v>-8.6624999999999994E-2</v>
      </c>
    </row>
    <row r="94" spans="1:3">
      <c r="A94" t="s">
        <v>442</v>
      </c>
      <c r="B94">
        <v>180</v>
      </c>
      <c r="C94">
        <v>3.6624999999999998E-2</v>
      </c>
    </row>
    <row r="95" spans="1:3">
      <c r="A95" t="s">
        <v>299</v>
      </c>
      <c r="B95">
        <v>200</v>
      </c>
      <c r="C95">
        <v>-8.8750000000000114E-3</v>
      </c>
    </row>
    <row r="96" spans="1:3">
      <c r="A96" t="s">
        <v>443</v>
      </c>
      <c r="B96">
        <v>220</v>
      </c>
      <c r="C96">
        <v>-0.24862500000000004</v>
      </c>
    </row>
    <row r="97" spans="1:3">
      <c r="A97" t="s">
        <v>300</v>
      </c>
      <c r="B97">
        <v>240</v>
      </c>
      <c r="C97">
        <v>-0.24737499999999998</v>
      </c>
    </row>
    <row r="98" spans="1:3">
      <c r="A98" t="s">
        <v>525</v>
      </c>
      <c r="B98">
        <v>260</v>
      </c>
      <c r="C98">
        <v>-0.395625</v>
      </c>
    </row>
    <row r="99" spans="1:3">
      <c r="A99" t="s">
        <v>444</v>
      </c>
      <c r="B99">
        <v>20</v>
      </c>
      <c r="C99">
        <v>0.32100000000000006</v>
      </c>
    </row>
    <row r="100" spans="1:3">
      <c r="A100" t="s">
        <v>301</v>
      </c>
      <c r="B100">
        <v>40</v>
      </c>
      <c r="C100">
        <v>0.175625</v>
      </c>
    </row>
    <row r="101" spans="1:3">
      <c r="A101" t="s">
        <v>445</v>
      </c>
      <c r="B101">
        <v>60</v>
      </c>
      <c r="C101">
        <v>9.3749999999999997E-3</v>
      </c>
    </row>
    <row r="102" spans="1:3">
      <c r="A102" t="s">
        <v>302</v>
      </c>
      <c r="B102">
        <v>80</v>
      </c>
      <c r="C102">
        <v>-6.3249999999999987E-2</v>
      </c>
    </row>
    <row r="103" spans="1:3">
      <c r="A103" t="s">
        <v>446</v>
      </c>
      <c r="B103">
        <v>100</v>
      </c>
      <c r="C103">
        <v>-0.32600000000000001</v>
      </c>
    </row>
    <row r="104" spans="1:3">
      <c r="A104" t="s">
        <v>303</v>
      </c>
      <c r="B104">
        <v>120</v>
      </c>
      <c r="C104">
        <v>-0.20099999999999998</v>
      </c>
    </row>
    <row r="105" spans="1:3">
      <c r="A105" t="s">
        <v>447</v>
      </c>
      <c r="B105">
        <v>140</v>
      </c>
      <c r="C105">
        <v>-0.16262500000000002</v>
      </c>
    </row>
    <row r="106" spans="1:3">
      <c r="A106" t="s">
        <v>304</v>
      </c>
      <c r="B106">
        <v>160</v>
      </c>
      <c r="C106">
        <v>-0.156</v>
      </c>
    </row>
    <row r="107" spans="1:3">
      <c r="A107" t="s">
        <v>448</v>
      </c>
      <c r="B107">
        <v>180</v>
      </c>
      <c r="C107">
        <v>-6.5874999999999989E-2</v>
      </c>
    </row>
    <row r="108" spans="1:3">
      <c r="A108" t="s">
        <v>305</v>
      </c>
      <c r="B108">
        <v>200</v>
      </c>
      <c r="C108">
        <v>-0.10837500000000003</v>
      </c>
    </row>
    <row r="109" spans="1:3">
      <c r="A109" t="s">
        <v>449</v>
      </c>
      <c r="B109">
        <v>220</v>
      </c>
      <c r="C109">
        <v>-5.4624999999999993E-2</v>
      </c>
    </row>
    <row r="110" spans="1:3">
      <c r="A110" t="s">
        <v>306</v>
      </c>
      <c r="B110">
        <v>240</v>
      </c>
      <c r="C110">
        <v>-3.2874999999999988E-2</v>
      </c>
    </row>
    <row r="111" spans="1:3">
      <c r="A111" t="s">
        <v>450</v>
      </c>
      <c r="B111">
        <v>260</v>
      </c>
      <c r="C111">
        <v>-8.5125000000000006E-2</v>
      </c>
    </row>
    <row r="112" spans="1:3">
      <c r="A112" t="s">
        <v>307</v>
      </c>
      <c r="B112">
        <v>280</v>
      </c>
      <c r="C112">
        <v>5.0250000000000017E-2</v>
      </c>
    </row>
    <row r="113" spans="1:3">
      <c r="A113" t="s">
        <v>451</v>
      </c>
      <c r="B113">
        <v>300</v>
      </c>
      <c r="C113">
        <v>-7.1250000000000008E-2</v>
      </c>
    </row>
    <row r="114" spans="1:3">
      <c r="A114" t="s">
        <v>308</v>
      </c>
      <c r="B114">
        <v>320</v>
      </c>
      <c r="C114">
        <v>-8.3000000000000004E-2</v>
      </c>
    </row>
    <row r="115" spans="1:3">
      <c r="A115" t="s">
        <v>452</v>
      </c>
      <c r="B115">
        <v>340</v>
      </c>
      <c r="C115">
        <v>-3.0499999999999992E-2</v>
      </c>
    </row>
    <row r="116" spans="1:3">
      <c r="A116" t="s">
        <v>309</v>
      </c>
      <c r="B116">
        <v>360</v>
      </c>
      <c r="C116">
        <v>-2.5250000000000015E-2</v>
      </c>
    </row>
    <row r="117" spans="1:3">
      <c r="A117" t="s">
        <v>523</v>
      </c>
      <c r="B117">
        <v>380</v>
      </c>
      <c r="C117">
        <v>5.7124999999999995E-2</v>
      </c>
    </row>
    <row r="118" spans="1:3">
      <c r="A118" t="s">
        <v>453</v>
      </c>
      <c r="B118">
        <v>20</v>
      </c>
      <c r="C118">
        <v>0.11512500000000006</v>
      </c>
    </row>
    <row r="119" spans="1:3">
      <c r="A119" t="s">
        <v>312</v>
      </c>
      <c r="B119">
        <v>40</v>
      </c>
      <c r="C119">
        <v>-5.0875000000000004E-2</v>
      </c>
    </row>
    <row r="120" spans="1:3">
      <c r="A120" t="s">
        <v>454</v>
      </c>
      <c r="B120">
        <v>60</v>
      </c>
      <c r="C120">
        <v>-0.13187499999999996</v>
      </c>
    </row>
    <row r="121" spans="1:3">
      <c r="A121" t="s">
        <v>310</v>
      </c>
      <c r="B121">
        <v>80</v>
      </c>
      <c r="C121">
        <v>-8.3749999999999991E-2</v>
      </c>
    </row>
    <row r="122" spans="1:3">
      <c r="A122" t="s">
        <v>455</v>
      </c>
      <c r="B122">
        <v>100</v>
      </c>
      <c r="C122">
        <v>-0.22725000000000004</v>
      </c>
    </row>
    <row r="123" spans="1:3">
      <c r="A123" t="s">
        <v>311</v>
      </c>
      <c r="B123">
        <v>120</v>
      </c>
      <c r="C123">
        <v>-0.10087499999999998</v>
      </c>
    </row>
    <row r="124" spans="1:3">
      <c r="A124" t="s">
        <v>456</v>
      </c>
      <c r="B124">
        <v>140</v>
      </c>
      <c r="C124">
        <v>-0.13162500000000002</v>
      </c>
    </row>
    <row r="125" spans="1:3">
      <c r="A125" t="s">
        <v>313</v>
      </c>
      <c r="B125">
        <v>160</v>
      </c>
      <c r="C125">
        <v>-3.125E-2</v>
      </c>
    </row>
    <row r="126" spans="1:3">
      <c r="A126" t="s">
        <v>457</v>
      </c>
      <c r="B126">
        <v>180</v>
      </c>
      <c r="C126">
        <v>-4.0375000000000008E-2</v>
      </c>
    </row>
    <row r="127" spans="1:3">
      <c r="A127" t="s">
        <v>314</v>
      </c>
      <c r="B127">
        <v>200</v>
      </c>
      <c r="C127">
        <v>-5.5625000000000001E-2</v>
      </c>
    </row>
    <row r="128" spans="1:3">
      <c r="A128" t="s">
        <v>458</v>
      </c>
      <c r="B128">
        <v>220</v>
      </c>
      <c r="C128">
        <v>4.1999999999999996E-2</v>
      </c>
    </row>
    <row r="129" spans="1:3">
      <c r="A129" t="s">
        <v>315</v>
      </c>
      <c r="B129">
        <v>240</v>
      </c>
      <c r="C129">
        <v>9.9624999999999991E-2</v>
      </c>
    </row>
    <row r="130" spans="1:3">
      <c r="A130" t="s">
        <v>459</v>
      </c>
      <c r="B130">
        <v>260</v>
      </c>
      <c r="C130">
        <v>8.7250000000000008E-2</v>
      </c>
    </row>
    <row r="131" spans="1:3">
      <c r="A131" t="s">
        <v>316</v>
      </c>
      <c r="B131">
        <v>280</v>
      </c>
      <c r="C131">
        <v>0.13212499999999999</v>
      </c>
    </row>
    <row r="132" spans="1:3">
      <c r="A132" t="s">
        <v>460</v>
      </c>
      <c r="B132">
        <v>300</v>
      </c>
      <c r="C132">
        <v>2.250000000000001E-2</v>
      </c>
    </row>
    <row r="133" spans="1:3">
      <c r="A133" t="s">
        <v>317</v>
      </c>
      <c r="B133">
        <v>320</v>
      </c>
      <c r="C133">
        <v>1.3750000000000017E-2</v>
      </c>
    </row>
    <row r="134" spans="1:3">
      <c r="A134" t="s">
        <v>461</v>
      </c>
      <c r="B134">
        <v>340</v>
      </c>
      <c r="C134">
        <v>-5.425E-2</v>
      </c>
    </row>
    <row r="135" spans="1:3">
      <c r="A135" t="s">
        <v>318</v>
      </c>
      <c r="B135">
        <v>360</v>
      </c>
      <c r="C135">
        <v>-5.4499999999999993E-2</v>
      </c>
    </row>
    <row r="136" spans="1:3">
      <c r="A136" t="s">
        <v>462</v>
      </c>
      <c r="B136">
        <v>380</v>
      </c>
      <c r="C136">
        <v>6.874999999999987E-3</v>
      </c>
    </row>
    <row r="137" spans="1:3">
      <c r="A137" t="s">
        <v>324</v>
      </c>
      <c r="B137">
        <v>400</v>
      </c>
      <c r="C137">
        <v>-6.1374999999999999E-2</v>
      </c>
    </row>
    <row r="138" spans="1:3">
      <c r="A138" t="s">
        <v>463</v>
      </c>
      <c r="B138">
        <v>420</v>
      </c>
      <c r="C138">
        <v>-3.6125000000000004E-2</v>
      </c>
    </row>
    <row r="139" spans="1:3">
      <c r="A139" t="s">
        <v>325</v>
      </c>
      <c r="B139">
        <v>440</v>
      </c>
      <c r="C139">
        <v>-9.6375000000000002E-2</v>
      </c>
    </row>
    <row r="140" spans="1:3">
      <c r="A140" t="s">
        <v>464</v>
      </c>
      <c r="B140">
        <v>460</v>
      </c>
      <c r="C140">
        <v>-0.11412499999999999</v>
      </c>
    </row>
    <row r="141" spans="1:3">
      <c r="A141" t="s">
        <v>326</v>
      </c>
      <c r="B141">
        <v>480</v>
      </c>
      <c r="C141">
        <v>-9.7249999999999989E-2</v>
      </c>
    </row>
    <row r="142" spans="1:3">
      <c r="A142" t="s">
        <v>465</v>
      </c>
      <c r="B142">
        <v>20</v>
      </c>
      <c r="C142">
        <v>-2.0000000000000018E-2</v>
      </c>
    </row>
    <row r="143" spans="1:3">
      <c r="A143" t="s">
        <v>327</v>
      </c>
      <c r="B143">
        <v>40</v>
      </c>
      <c r="C143">
        <v>-3.3749999999999988E-2</v>
      </c>
    </row>
    <row r="144" spans="1:3">
      <c r="A144" t="s">
        <v>466</v>
      </c>
      <c r="B144">
        <v>60</v>
      </c>
      <c r="C144">
        <v>-0.113625</v>
      </c>
    </row>
    <row r="145" spans="1:3">
      <c r="A145" t="s">
        <v>328</v>
      </c>
      <c r="B145">
        <v>80</v>
      </c>
      <c r="C145">
        <v>-0.16950000000000004</v>
      </c>
    </row>
    <row r="146" spans="1:3">
      <c r="A146" t="s">
        <v>467</v>
      </c>
      <c r="B146">
        <v>100</v>
      </c>
      <c r="C146">
        <v>-5.3749999999999964E-2</v>
      </c>
    </row>
    <row r="147" spans="1:3">
      <c r="A147" t="s">
        <v>329</v>
      </c>
      <c r="B147">
        <v>120</v>
      </c>
      <c r="C147">
        <v>-9.4250000000000014E-2</v>
      </c>
    </row>
    <row r="148" spans="1:3">
      <c r="A148" t="s">
        <v>468</v>
      </c>
      <c r="B148">
        <v>140</v>
      </c>
      <c r="C148">
        <v>-0.11587499999999999</v>
      </c>
    </row>
    <row r="149" spans="1:3">
      <c r="A149" t="s">
        <v>330</v>
      </c>
      <c r="B149">
        <v>160</v>
      </c>
      <c r="C149">
        <v>-0.16824999999999998</v>
      </c>
    </row>
    <row r="150" spans="1:3">
      <c r="A150" t="s">
        <v>469</v>
      </c>
      <c r="B150">
        <v>180</v>
      </c>
      <c r="C150">
        <v>-0.15575</v>
      </c>
    </row>
    <row r="151" spans="1:3">
      <c r="A151" t="s">
        <v>331</v>
      </c>
      <c r="B151">
        <v>200</v>
      </c>
      <c r="C151">
        <v>-0.12337499999999998</v>
      </c>
    </row>
    <row r="152" spans="1:3">
      <c r="A152" t="s">
        <v>470</v>
      </c>
      <c r="B152">
        <v>220</v>
      </c>
      <c r="C152">
        <v>-0.13800000000000001</v>
      </c>
    </row>
    <row r="153" spans="1:3">
      <c r="A153" t="s">
        <v>332</v>
      </c>
      <c r="B153">
        <v>240</v>
      </c>
      <c r="C153">
        <v>-9.1249999999999984E-2</v>
      </c>
    </row>
    <row r="154" spans="1:3">
      <c r="A154" t="s">
        <v>471</v>
      </c>
      <c r="B154">
        <v>260</v>
      </c>
      <c r="C154">
        <v>-4.9625000000000002E-2</v>
      </c>
    </row>
    <row r="155" spans="1:3">
      <c r="A155" t="s">
        <v>333</v>
      </c>
      <c r="B155">
        <v>280</v>
      </c>
      <c r="C155">
        <v>8.2500000000000021E-3</v>
      </c>
    </row>
    <row r="156" spans="1:3">
      <c r="A156" t="s">
        <v>472</v>
      </c>
      <c r="B156">
        <v>300</v>
      </c>
      <c r="C156">
        <v>9.9999999999999992E-2</v>
      </c>
    </row>
    <row r="157" spans="1:3">
      <c r="A157" t="s">
        <v>334</v>
      </c>
      <c r="B157">
        <v>320</v>
      </c>
      <c r="C157">
        <v>0.10262499999999999</v>
      </c>
    </row>
    <row r="158" spans="1:3">
      <c r="A158" t="s">
        <v>473</v>
      </c>
      <c r="B158">
        <v>340</v>
      </c>
      <c r="C158">
        <v>5.2500000000000012E-2</v>
      </c>
    </row>
    <row r="159" spans="1:3">
      <c r="A159" t="s">
        <v>335</v>
      </c>
      <c r="B159">
        <v>360</v>
      </c>
      <c r="C159">
        <v>6.0749999999999992E-2</v>
      </c>
    </row>
    <row r="160" spans="1:3">
      <c r="A160" t="s">
        <v>474</v>
      </c>
      <c r="B160">
        <v>380</v>
      </c>
      <c r="C160">
        <v>-9.9999999999999863E-3</v>
      </c>
    </row>
    <row r="161" spans="1:3">
      <c r="A161" t="s">
        <v>336</v>
      </c>
      <c r="B161">
        <v>400</v>
      </c>
      <c r="C161">
        <v>-3.4749999999999989E-2</v>
      </c>
    </row>
    <row r="162" spans="1:3">
      <c r="A162" t="s">
        <v>475</v>
      </c>
      <c r="B162">
        <v>420</v>
      </c>
      <c r="C162">
        <v>1.2499999999999955E-3</v>
      </c>
    </row>
    <row r="163" spans="1:3">
      <c r="A163" t="s">
        <v>337</v>
      </c>
      <c r="B163">
        <v>440</v>
      </c>
      <c r="C163">
        <v>-4.2999999999999997E-2</v>
      </c>
    </row>
    <row r="164" spans="1:3">
      <c r="A164" t="s">
        <v>476</v>
      </c>
      <c r="B164">
        <v>20</v>
      </c>
      <c r="C164">
        <v>5.2374999999999991E-2</v>
      </c>
    </row>
    <row r="165" spans="1:3">
      <c r="A165" t="s">
        <v>338</v>
      </c>
      <c r="B165">
        <v>40</v>
      </c>
      <c r="C165">
        <v>5.3999999999999979E-2</v>
      </c>
    </row>
    <row r="166" spans="1:3">
      <c r="A166" t="s">
        <v>477</v>
      </c>
      <c r="B166">
        <v>60</v>
      </c>
      <c r="C166">
        <v>-0.16625000000000001</v>
      </c>
    </row>
    <row r="167" spans="1:3">
      <c r="A167" t="s">
        <v>339</v>
      </c>
      <c r="B167">
        <v>80</v>
      </c>
      <c r="C167">
        <v>-3.5250000000000004E-2</v>
      </c>
    </row>
    <row r="168" spans="1:3">
      <c r="A168" t="s">
        <v>478</v>
      </c>
      <c r="B168">
        <v>100</v>
      </c>
      <c r="C168">
        <v>-7.8749999999999879E-3</v>
      </c>
    </row>
    <row r="169" spans="1:3">
      <c r="A169" t="s">
        <v>340</v>
      </c>
      <c r="B169">
        <v>120</v>
      </c>
      <c r="C169">
        <v>0.10812500000000003</v>
      </c>
    </row>
    <row r="170" spans="1:3">
      <c r="A170" t="s">
        <v>479</v>
      </c>
      <c r="B170">
        <v>140</v>
      </c>
      <c r="C170">
        <v>3.2125000000000001E-2</v>
      </c>
    </row>
    <row r="171" spans="1:3">
      <c r="A171" t="s">
        <v>341</v>
      </c>
      <c r="B171">
        <v>160</v>
      </c>
      <c r="C171">
        <v>0.15687500000000001</v>
      </c>
    </row>
    <row r="172" spans="1:3">
      <c r="A172" t="s">
        <v>480</v>
      </c>
      <c r="B172">
        <v>180</v>
      </c>
      <c r="C172">
        <v>0.11099999999999999</v>
      </c>
    </row>
    <row r="173" spans="1:3">
      <c r="A173" t="s">
        <v>342</v>
      </c>
      <c r="B173">
        <v>200</v>
      </c>
      <c r="C173">
        <v>-3.5000000000000144E-3</v>
      </c>
    </row>
    <row r="174" spans="1:3">
      <c r="A174" t="s">
        <v>481</v>
      </c>
      <c r="B174">
        <v>220</v>
      </c>
      <c r="C174">
        <v>5.5874999999999987E-2</v>
      </c>
    </row>
    <row r="175" spans="1:3">
      <c r="A175" t="s">
        <v>343</v>
      </c>
      <c r="B175">
        <v>240</v>
      </c>
      <c r="C175">
        <v>-0.12574999999999997</v>
      </c>
    </row>
    <row r="176" spans="1:3">
      <c r="A176" t="s">
        <v>482</v>
      </c>
      <c r="B176">
        <v>260</v>
      </c>
      <c r="C176">
        <v>-6.2375000000000028E-2</v>
      </c>
    </row>
    <row r="177" spans="1:3">
      <c r="A177" t="s">
        <v>344</v>
      </c>
      <c r="B177">
        <v>280</v>
      </c>
      <c r="C177">
        <v>1.8624999999999982E-2</v>
      </c>
    </row>
    <row r="178" spans="1:3">
      <c r="A178" t="s">
        <v>483</v>
      </c>
      <c r="B178">
        <v>300</v>
      </c>
      <c r="C178">
        <v>1.3750000000000017E-2</v>
      </c>
    </row>
    <row r="179" spans="1:3">
      <c r="A179" t="s">
        <v>345</v>
      </c>
      <c r="B179">
        <v>320</v>
      </c>
      <c r="C179">
        <v>3.0749999999999965E-2</v>
      </c>
    </row>
    <row r="180" spans="1:3">
      <c r="A180" t="s">
        <v>484</v>
      </c>
      <c r="B180">
        <v>340</v>
      </c>
      <c r="C180">
        <v>-2.437499999999999E-2</v>
      </c>
    </row>
    <row r="181" spans="1:3">
      <c r="A181" t="s">
        <v>346</v>
      </c>
      <c r="B181">
        <v>360</v>
      </c>
      <c r="C181">
        <v>-0.11112499999999996</v>
      </c>
    </row>
    <row r="182" spans="1:3">
      <c r="A182" t="s">
        <v>485</v>
      </c>
      <c r="B182">
        <v>380</v>
      </c>
      <c r="C182">
        <v>-0.191</v>
      </c>
    </row>
    <row r="183" spans="1:3">
      <c r="A183" t="s">
        <v>347</v>
      </c>
      <c r="B183">
        <v>400</v>
      </c>
      <c r="C183">
        <v>-0.21325</v>
      </c>
    </row>
    <row r="184" spans="1:3">
      <c r="A184" t="s">
        <v>486</v>
      </c>
      <c r="B184">
        <v>420</v>
      </c>
      <c r="C184">
        <v>-0.17674999999999999</v>
      </c>
    </row>
    <row r="185" spans="1:3">
      <c r="A185" t="s">
        <v>348</v>
      </c>
      <c r="B185">
        <v>440</v>
      </c>
      <c r="C185">
        <v>-0.16175</v>
      </c>
    </row>
    <row r="186" spans="1:3">
      <c r="A186" t="s">
        <v>524</v>
      </c>
      <c r="B186">
        <v>460</v>
      </c>
      <c r="C186">
        <v>-3.7375000000000005E-2</v>
      </c>
    </row>
    <row r="187" spans="1:3">
      <c r="A187" t="s">
        <v>487</v>
      </c>
      <c r="B187">
        <v>20</v>
      </c>
      <c r="C187">
        <v>-2.1249999999999991E-2</v>
      </c>
    </row>
    <row r="188" spans="1:3">
      <c r="A188" t="s">
        <v>349</v>
      </c>
      <c r="B188">
        <v>40</v>
      </c>
      <c r="C188">
        <v>2.0000000000000018E-3</v>
      </c>
    </row>
    <row r="189" spans="1:3">
      <c r="A189" t="s">
        <v>488</v>
      </c>
      <c r="B189">
        <v>60</v>
      </c>
      <c r="C189">
        <v>-3.2125000000000001E-2</v>
      </c>
    </row>
    <row r="190" spans="1:3">
      <c r="A190" t="s">
        <v>350</v>
      </c>
      <c r="B190">
        <v>80</v>
      </c>
      <c r="C190">
        <v>-8.6999999999999994E-2</v>
      </c>
    </row>
    <row r="191" spans="1:3">
      <c r="A191" t="s">
        <v>489</v>
      </c>
      <c r="B191">
        <v>100</v>
      </c>
      <c r="C191">
        <v>2.6124999999999999E-2</v>
      </c>
    </row>
    <row r="192" spans="1:3">
      <c r="A192" t="s">
        <v>351</v>
      </c>
      <c r="B192">
        <v>120</v>
      </c>
      <c r="C192">
        <v>-3.3749999999999948E-3</v>
      </c>
    </row>
    <row r="193" spans="1:3">
      <c r="A193" t="s">
        <v>490</v>
      </c>
      <c r="B193">
        <v>140</v>
      </c>
      <c r="C193">
        <v>5.0249999999999996E-2</v>
      </c>
    </row>
    <row r="194" spans="1:3">
      <c r="A194" t="s">
        <v>352</v>
      </c>
      <c r="B194">
        <v>160</v>
      </c>
      <c r="C194">
        <v>5.8249999999999982E-2</v>
      </c>
    </row>
    <row r="195" spans="1:3">
      <c r="A195" t="s">
        <v>491</v>
      </c>
      <c r="B195">
        <v>180</v>
      </c>
      <c r="C195">
        <v>-4.2750000000000024E-2</v>
      </c>
    </row>
    <row r="196" spans="1:3">
      <c r="A196" t="s">
        <v>353</v>
      </c>
      <c r="B196">
        <v>200</v>
      </c>
      <c r="C196">
        <v>5.8624999999999969E-2</v>
      </c>
    </row>
    <row r="197" spans="1:3">
      <c r="A197" t="s">
        <v>492</v>
      </c>
      <c r="B197">
        <v>220</v>
      </c>
      <c r="C197">
        <v>9.375E-2</v>
      </c>
    </row>
    <row r="198" spans="1:3">
      <c r="A198" t="s">
        <v>354</v>
      </c>
      <c r="B198">
        <v>240</v>
      </c>
      <c r="C198">
        <v>1.3375000000000003E-2</v>
      </c>
    </row>
    <row r="199" spans="1:3">
      <c r="A199" t="s">
        <v>493</v>
      </c>
      <c r="B199">
        <v>260</v>
      </c>
      <c r="C199">
        <v>3.5625000000000018E-2</v>
      </c>
    </row>
    <row r="200" spans="1:3">
      <c r="A200" t="s">
        <v>355</v>
      </c>
      <c r="B200">
        <v>280</v>
      </c>
      <c r="C200">
        <v>-0.10024999999999999</v>
      </c>
    </row>
    <row r="201" spans="1:3">
      <c r="A201" t="s">
        <v>494</v>
      </c>
      <c r="B201">
        <v>300</v>
      </c>
      <c r="C201">
        <v>-0.10637500000000003</v>
      </c>
    </row>
    <row r="202" spans="1:3">
      <c r="A202" t="s">
        <v>356</v>
      </c>
      <c r="B202">
        <v>320</v>
      </c>
      <c r="C202">
        <v>-8.750000000000036E-4</v>
      </c>
    </row>
    <row r="203" spans="1:3">
      <c r="A203" t="s">
        <v>495</v>
      </c>
      <c r="B203">
        <v>340</v>
      </c>
      <c r="C203">
        <v>-1.5874999999999993E-2</v>
      </c>
    </row>
    <row r="204" spans="1:3">
      <c r="A204" t="s">
        <v>357</v>
      </c>
      <c r="B204">
        <v>360</v>
      </c>
      <c r="C204">
        <v>-0.106375</v>
      </c>
    </row>
    <row r="205" spans="1:3">
      <c r="A205" t="s">
        <v>496</v>
      </c>
      <c r="B205">
        <v>380</v>
      </c>
      <c r="C205">
        <v>-0.13937499999999997</v>
      </c>
    </row>
    <row r="206" spans="1:3">
      <c r="A206" t="s">
        <v>358</v>
      </c>
      <c r="B206">
        <v>400</v>
      </c>
      <c r="C206">
        <v>-9.9499999999999991E-2</v>
      </c>
    </row>
    <row r="207" spans="1:3">
      <c r="A207" t="s">
        <v>497</v>
      </c>
      <c r="B207">
        <v>420</v>
      </c>
      <c r="C207">
        <v>-8.9750000000000024E-2</v>
      </c>
    </row>
    <row r="208" spans="1:3">
      <c r="A208" t="s">
        <v>359</v>
      </c>
      <c r="B208">
        <v>440</v>
      </c>
      <c r="C208">
        <v>7.0000000000000062E-3</v>
      </c>
    </row>
    <row r="209" spans="1:3">
      <c r="A209" t="s">
        <v>498</v>
      </c>
      <c r="B209">
        <v>460</v>
      </c>
      <c r="C209">
        <v>-6.0000000000000053E-3</v>
      </c>
    </row>
    <row r="210" spans="1:3">
      <c r="A210" t="s">
        <v>360</v>
      </c>
      <c r="B210">
        <v>480</v>
      </c>
      <c r="C210">
        <v>-5.0374999999999989E-2</v>
      </c>
    </row>
    <row r="211" spans="1:3">
      <c r="A211" t="s">
        <v>499</v>
      </c>
      <c r="B211">
        <v>500</v>
      </c>
      <c r="C211">
        <v>-0.06</v>
      </c>
    </row>
    <row r="212" spans="1:3">
      <c r="A212" t="s">
        <v>361</v>
      </c>
      <c r="B212">
        <v>520</v>
      </c>
      <c r="C212">
        <v>-3.750000000000031E-4</v>
      </c>
    </row>
    <row r="213" spans="1:3">
      <c r="A213" t="s">
        <v>500</v>
      </c>
      <c r="B213">
        <v>540</v>
      </c>
      <c r="C213">
        <v>-2.7874999999999994E-2</v>
      </c>
    </row>
    <row r="214" spans="1:3">
      <c r="A214" t="s">
        <v>362</v>
      </c>
      <c r="B214">
        <v>560</v>
      </c>
      <c r="C214">
        <v>-1.8249999999999999E-2</v>
      </c>
    </row>
    <row r="215" spans="1:3">
      <c r="A215" t="s">
        <v>501</v>
      </c>
      <c r="B215">
        <v>20</v>
      </c>
      <c r="C215">
        <v>8.8250000000000009E-2</v>
      </c>
    </row>
    <row r="216" spans="1:3">
      <c r="A216" t="s">
        <v>363</v>
      </c>
      <c r="B216">
        <v>40</v>
      </c>
      <c r="C216">
        <v>0.12925</v>
      </c>
    </row>
    <row r="217" spans="1:3">
      <c r="A217" t="s">
        <v>502</v>
      </c>
      <c r="B217">
        <v>60</v>
      </c>
      <c r="C217">
        <v>-1.7375000000000008E-2</v>
      </c>
    </row>
    <row r="218" spans="1:3">
      <c r="A218" t="s">
        <v>365</v>
      </c>
      <c r="B218">
        <v>80</v>
      </c>
      <c r="C218">
        <v>0.11274999999999999</v>
      </c>
    </row>
    <row r="219" spans="1:3">
      <c r="A219" t="s">
        <v>503</v>
      </c>
      <c r="B219">
        <v>100</v>
      </c>
      <c r="C219">
        <v>4.7999999999999973E-2</v>
      </c>
    </row>
    <row r="220" spans="1:3">
      <c r="A220" t="s">
        <v>364</v>
      </c>
      <c r="B220">
        <v>120</v>
      </c>
      <c r="C220">
        <v>6.1624999999999999E-2</v>
      </c>
    </row>
    <row r="221" spans="1:3">
      <c r="A221" t="s">
        <v>504</v>
      </c>
      <c r="B221">
        <v>140</v>
      </c>
      <c r="C221">
        <v>-0.24787499999999998</v>
      </c>
    </row>
    <row r="222" spans="1:3">
      <c r="A222" t="s">
        <v>366</v>
      </c>
      <c r="B222">
        <v>160</v>
      </c>
      <c r="C222">
        <v>-0.23725000000000002</v>
      </c>
    </row>
    <row r="223" spans="1:3">
      <c r="A223" t="s">
        <v>505</v>
      </c>
      <c r="B223">
        <v>180</v>
      </c>
      <c r="C223">
        <v>-0.13324999999999998</v>
      </c>
    </row>
    <row r="224" spans="1:3">
      <c r="A224" t="s">
        <v>367</v>
      </c>
      <c r="B224">
        <v>200</v>
      </c>
      <c r="C224">
        <v>-0.18312499999999998</v>
      </c>
    </row>
    <row r="225" spans="1:3">
      <c r="A225" t="s">
        <v>506</v>
      </c>
      <c r="B225">
        <v>220</v>
      </c>
      <c r="C225">
        <v>-3.500000000000001E-2</v>
      </c>
    </row>
    <row r="226" spans="1:3">
      <c r="A226" t="s">
        <v>368</v>
      </c>
      <c r="B226">
        <v>240</v>
      </c>
      <c r="C226">
        <v>4.1124999999999988E-2</v>
      </c>
    </row>
    <row r="227" spans="1:3">
      <c r="A227" t="s">
        <v>507</v>
      </c>
      <c r="B227">
        <v>260</v>
      </c>
      <c r="C227">
        <v>1.9124999999999993E-2</v>
      </c>
    </row>
    <row r="228" spans="1:3">
      <c r="A228" t="s">
        <v>369</v>
      </c>
      <c r="B228">
        <v>280</v>
      </c>
      <c r="C228">
        <v>1.5499999999999991E-2</v>
      </c>
    </row>
    <row r="229" spans="1:3">
      <c r="A229" t="s">
        <v>508</v>
      </c>
      <c r="B229">
        <v>300</v>
      </c>
      <c r="C229">
        <v>-6.2124999999999986E-2</v>
      </c>
    </row>
    <row r="230" spans="1:3">
      <c r="A230" t="s">
        <v>370</v>
      </c>
      <c r="B230">
        <v>320</v>
      </c>
      <c r="C230">
        <v>-9.4E-2</v>
      </c>
    </row>
    <row r="231" spans="1:3">
      <c r="A231" t="s">
        <v>509</v>
      </c>
      <c r="B231">
        <v>340</v>
      </c>
      <c r="C231">
        <v>-7.0499999999999993E-2</v>
      </c>
    </row>
    <row r="232" spans="1:3">
      <c r="A232" t="s">
        <v>371</v>
      </c>
      <c r="B232">
        <v>360</v>
      </c>
      <c r="C232">
        <v>-7.1624999999999994E-2</v>
      </c>
    </row>
    <row r="233" spans="1:3">
      <c r="A233" t="s">
        <v>511</v>
      </c>
      <c r="B233">
        <v>20</v>
      </c>
      <c r="C233">
        <v>-6.2875000000000014E-2</v>
      </c>
    </row>
    <row r="234" spans="1:3">
      <c r="A234" t="s">
        <v>372</v>
      </c>
      <c r="B234">
        <v>40</v>
      </c>
      <c r="C234">
        <v>-3.7375000000000026E-2</v>
      </c>
    </row>
    <row r="235" spans="1:3">
      <c r="A235" t="s">
        <v>510</v>
      </c>
      <c r="B235">
        <v>60</v>
      </c>
      <c r="C235">
        <v>-0.22375000000000003</v>
      </c>
    </row>
    <row r="236" spans="1:3">
      <c r="A236" t="s">
        <v>373</v>
      </c>
      <c r="B236">
        <v>80</v>
      </c>
      <c r="C236">
        <v>-0.28275</v>
      </c>
    </row>
    <row r="237" spans="1:3">
      <c r="A237" t="s">
        <v>512</v>
      </c>
      <c r="B237">
        <v>100</v>
      </c>
      <c r="C237">
        <v>-0.14025000000000001</v>
      </c>
    </row>
    <row r="238" spans="1:3">
      <c r="A238" t="s">
        <v>374</v>
      </c>
      <c r="B238">
        <v>120</v>
      </c>
      <c r="C238">
        <v>-0.185</v>
      </c>
    </row>
    <row r="239" spans="1:3">
      <c r="A239" t="s">
        <v>513</v>
      </c>
      <c r="B239">
        <v>140</v>
      </c>
      <c r="C239">
        <v>9.8750000000000331E-3</v>
      </c>
    </row>
    <row r="240" spans="1:3">
      <c r="A240" t="s">
        <v>375</v>
      </c>
      <c r="B240">
        <v>160</v>
      </c>
      <c r="C240">
        <v>1.8374999999999985E-2</v>
      </c>
    </row>
    <row r="241" spans="1:3">
      <c r="A241" t="s">
        <v>514</v>
      </c>
      <c r="B241">
        <v>180</v>
      </c>
      <c r="C241">
        <v>-7.5499999999999984E-2</v>
      </c>
    </row>
    <row r="242" spans="1:3">
      <c r="A242" t="s">
        <v>376</v>
      </c>
      <c r="B242">
        <v>200</v>
      </c>
      <c r="C242">
        <v>-5.6250000000000001E-2</v>
      </c>
    </row>
    <row r="243" spans="1:3">
      <c r="A243" t="s">
        <v>515</v>
      </c>
      <c r="B243">
        <v>20</v>
      </c>
      <c r="C243">
        <v>-7.4750000000000011E-2</v>
      </c>
    </row>
    <row r="244" spans="1:3">
      <c r="A244" t="s">
        <v>377</v>
      </c>
      <c r="B244">
        <v>40</v>
      </c>
      <c r="C244">
        <v>-0.10975000000000001</v>
      </c>
    </row>
    <row r="245" spans="1:3">
      <c r="A245" t="s">
        <v>516</v>
      </c>
      <c r="B245">
        <v>60</v>
      </c>
      <c r="C245">
        <v>-0.170125</v>
      </c>
    </row>
    <row r="246" spans="1:3">
      <c r="A246" t="s">
        <v>378</v>
      </c>
      <c r="B246">
        <v>80</v>
      </c>
      <c r="C246">
        <v>-0.31287500000000001</v>
      </c>
    </row>
    <row r="247" spans="1:3">
      <c r="A247" t="s">
        <v>517</v>
      </c>
      <c r="B247">
        <v>100</v>
      </c>
      <c r="C247">
        <v>-0.20624999999999999</v>
      </c>
    </row>
    <row r="248" spans="1:3">
      <c r="A248" t="s">
        <v>379</v>
      </c>
      <c r="B248">
        <v>120</v>
      </c>
      <c r="C248">
        <v>-0.17124999999999999</v>
      </c>
    </row>
    <row r="249" spans="1:3">
      <c r="A249" t="s">
        <v>521</v>
      </c>
      <c r="B249">
        <v>20</v>
      </c>
      <c r="C249">
        <v>6.5375000000000003E-2</v>
      </c>
    </row>
    <row r="250" spans="1:3">
      <c r="A250" t="s">
        <v>380</v>
      </c>
      <c r="B250">
        <v>40</v>
      </c>
      <c r="C250">
        <v>6.8250000000000005E-2</v>
      </c>
    </row>
    <row r="251" spans="1:3">
      <c r="A251" t="s">
        <v>520</v>
      </c>
      <c r="B251">
        <v>60</v>
      </c>
      <c r="C251">
        <v>-2.6750000000000006E-2</v>
      </c>
    </row>
    <row r="252" spans="1:3">
      <c r="A252" t="s">
        <v>381</v>
      </c>
      <c r="B252">
        <v>80</v>
      </c>
      <c r="C252">
        <v>1.1999999999999966E-2</v>
      </c>
    </row>
    <row r="253" spans="1:3">
      <c r="A253" t="s">
        <v>526</v>
      </c>
      <c r="B253">
        <v>20</v>
      </c>
      <c r="C253">
        <v>3.4624999999999996E-2</v>
      </c>
    </row>
    <row r="254" spans="1:3">
      <c r="A254" t="s">
        <v>382</v>
      </c>
      <c r="B254">
        <v>40</v>
      </c>
      <c r="C254">
        <v>0.123</v>
      </c>
    </row>
    <row r="255" spans="1:3">
      <c r="A255" t="s">
        <v>527</v>
      </c>
      <c r="B255">
        <v>60</v>
      </c>
      <c r="C255">
        <v>-2.4249999999999973E-2</v>
      </c>
    </row>
    <row r="256" spans="1:3">
      <c r="A256" t="s">
        <v>383</v>
      </c>
      <c r="B256">
        <v>80</v>
      </c>
      <c r="C256">
        <v>-0.10275000000000004</v>
      </c>
    </row>
    <row r="257" spans="1:3">
      <c r="A257" t="s">
        <v>528</v>
      </c>
      <c r="B257">
        <v>100</v>
      </c>
      <c r="C257">
        <v>-5.4499999999999993E-2</v>
      </c>
    </row>
    <row r="258" spans="1:3">
      <c r="A258" t="s">
        <v>384</v>
      </c>
      <c r="B258">
        <v>120</v>
      </c>
      <c r="C258">
        <v>-0.199375</v>
      </c>
    </row>
    <row r="259" spans="1:3">
      <c r="A259" t="s">
        <v>529</v>
      </c>
      <c r="B259">
        <v>140</v>
      </c>
      <c r="C259">
        <v>-3.9625000000000021E-2</v>
      </c>
    </row>
    <row r="260" spans="1:3">
      <c r="A260" t="s">
        <v>385</v>
      </c>
      <c r="B260">
        <v>160</v>
      </c>
      <c r="C260">
        <v>-9.7499999999999705E-3</v>
      </c>
    </row>
    <row r="261" spans="1:3">
      <c r="A261" t="s">
        <v>530</v>
      </c>
      <c r="B261">
        <v>180</v>
      </c>
      <c r="C261">
        <v>-0.11237499999999997</v>
      </c>
    </row>
    <row r="262" spans="1:3">
      <c r="A262" t="s">
        <v>386</v>
      </c>
      <c r="B262">
        <v>200</v>
      </c>
      <c r="C262">
        <v>-0.141875</v>
      </c>
    </row>
    <row r="263" spans="1:3">
      <c r="A263" t="s">
        <v>531</v>
      </c>
      <c r="B263">
        <v>220</v>
      </c>
      <c r="C263">
        <v>-0.11074999999999999</v>
      </c>
    </row>
    <row r="264" spans="1:3">
      <c r="A264" t="s">
        <v>387</v>
      </c>
      <c r="B264">
        <v>240</v>
      </c>
      <c r="C264">
        <v>-0.18375000000000002</v>
      </c>
    </row>
    <row r="265" spans="1:3">
      <c r="A265" t="s">
        <v>532</v>
      </c>
      <c r="B265">
        <v>260</v>
      </c>
      <c r="C265">
        <v>-0.15775</v>
      </c>
    </row>
    <row r="266" spans="1:3">
      <c r="A266" t="s">
        <v>388</v>
      </c>
      <c r="B266">
        <v>280</v>
      </c>
      <c r="C266">
        <v>-6.3500000000000001E-2</v>
      </c>
    </row>
    <row r="267" spans="1:3">
      <c r="A267" t="s">
        <v>533</v>
      </c>
      <c r="B267">
        <v>300</v>
      </c>
      <c r="C267">
        <v>-0.11650000000000001</v>
      </c>
    </row>
    <row r="268" spans="1:3">
      <c r="A268" t="s">
        <v>389</v>
      </c>
      <c r="B268">
        <v>320</v>
      </c>
      <c r="C268">
        <v>-7.2125000000000009E-2</v>
      </c>
    </row>
    <row r="269" spans="1:3">
      <c r="A269" t="s">
        <v>534</v>
      </c>
      <c r="B269">
        <v>20</v>
      </c>
      <c r="C269">
        <v>0.12312500000000001</v>
      </c>
    </row>
    <row r="270" spans="1:3">
      <c r="A270" t="s">
        <v>390</v>
      </c>
      <c r="B270">
        <v>40</v>
      </c>
      <c r="C270">
        <v>0.36687500000000001</v>
      </c>
    </row>
    <row r="271" spans="1:3">
      <c r="A271" t="s">
        <v>535</v>
      </c>
      <c r="B271">
        <v>60</v>
      </c>
      <c r="C271">
        <v>6.2875000000000014E-2</v>
      </c>
    </row>
    <row r="272" spans="1:3">
      <c r="A272" t="s">
        <v>391</v>
      </c>
      <c r="B272">
        <v>80</v>
      </c>
      <c r="C272">
        <v>1.1375000000000001E-2</v>
      </c>
    </row>
    <row r="273" spans="1:3">
      <c r="A273" t="s">
        <v>536</v>
      </c>
      <c r="B273">
        <v>100</v>
      </c>
      <c r="C273">
        <v>0.15587499999999999</v>
      </c>
    </row>
    <row r="274" spans="1:3">
      <c r="A274" t="s">
        <v>392</v>
      </c>
      <c r="B274">
        <v>120</v>
      </c>
      <c r="C274">
        <v>-0.14650000000000002</v>
      </c>
    </row>
    <row r="275" spans="1:3">
      <c r="A275" t="s">
        <v>537</v>
      </c>
      <c r="B275">
        <v>140</v>
      </c>
      <c r="C275">
        <v>-3.1749999999999987E-2</v>
      </c>
    </row>
    <row r="276" spans="1:3">
      <c r="A276" t="s">
        <v>393</v>
      </c>
      <c r="B276">
        <v>160</v>
      </c>
      <c r="C276">
        <v>-0.13987499999999997</v>
      </c>
    </row>
    <row r="277" spans="1:3">
      <c r="A277" t="s">
        <v>538</v>
      </c>
      <c r="B277">
        <v>180</v>
      </c>
      <c r="C277">
        <v>-0.26087499999999997</v>
      </c>
    </row>
    <row r="278" spans="1:3">
      <c r="A278" t="s">
        <v>394</v>
      </c>
      <c r="B278">
        <v>200</v>
      </c>
      <c r="C278">
        <v>-0.15924999999999997</v>
      </c>
    </row>
    <row r="279" spans="1:3">
      <c r="A279" t="s">
        <v>539</v>
      </c>
      <c r="B279">
        <v>220</v>
      </c>
      <c r="C279">
        <v>-0.20125000000000001</v>
      </c>
    </row>
    <row r="280" spans="1:3">
      <c r="A280" t="s">
        <v>395</v>
      </c>
      <c r="B280">
        <v>240</v>
      </c>
      <c r="C280">
        <v>-0.16887500000000003</v>
      </c>
    </row>
    <row r="281" spans="1:3">
      <c r="A281" t="s">
        <v>540</v>
      </c>
      <c r="B281">
        <v>260</v>
      </c>
      <c r="C281">
        <v>-0.12637500000000002</v>
      </c>
    </row>
    <row r="282" spans="1:3">
      <c r="A282" t="s">
        <v>396</v>
      </c>
      <c r="B282">
        <v>280</v>
      </c>
      <c r="C282">
        <v>-0.14687500000000001</v>
      </c>
    </row>
    <row r="283" spans="1:3">
      <c r="A283" t="s">
        <v>541</v>
      </c>
      <c r="B283">
        <v>300</v>
      </c>
      <c r="C283">
        <v>-7.5874999999999998E-2</v>
      </c>
    </row>
    <row r="284" spans="1:3">
      <c r="A284" t="s">
        <v>397</v>
      </c>
      <c r="B284">
        <v>320</v>
      </c>
      <c r="C284">
        <v>-3.9E-2</v>
      </c>
    </row>
    <row r="285" spans="1:3">
      <c r="A285" t="s">
        <v>542</v>
      </c>
      <c r="B285">
        <v>20</v>
      </c>
      <c r="C285">
        <v>0.16524999999999998</v>
      </c>
    </row>
    <row r="286" spans="1:3">
      <c r="A286" t="s">
        <v>398</v>
      </c>
      <c r="B286">
        <v>40</v>
      </c>
      <c r="C286">
        <v>0.24050000000000002</v>
      </c>
    </row>
    <row r="287" spans="1:3">
      <c r="A287" t="s">
        <v>543</v>
      </c>
      <c r="B287">
        <v>60</v>
      </c>
      <c r="C287">
        <v>7.1124999999999966E-2</v>
      </c>
    </row>
    <row r="288" spans="1:3">
      <c r="A288" t="s">
        <v>399</v>
      </c>
      <c r="B288">
        <v>80</v>
      </c>
      <c r="C288">
        <v>4.9750000000000003E-2</v>
      </c>
    </row>
    <row r="289" spans="1:3">
      <c r="A289" t="s">
        <v>544</v>
      </c>
      <c r="B289">
        <v>100</v>
      </c>
      <c r="C289">
        <v>0.19350000000000006</v>
      </c>
    </row>
    <row r="290" spans="1:3">
      <c r="A290" t="s">
        <v>400</v>
      </c>
      <c r="B290">
        <v>120</v>
      </c>
      <c r="C290">
        <v>3.8124999999999964E-2</v>
      </c>
    </row>
    <row r="291" spans="1:3">
      <c r="A291" t="s">
        <v>545</v>
      </c>
      <c r="B291">
        <v>140</v>
      </c>
      <c r="C291">
        <v>-0.12612499999999999</v>
      </c>
    </row>
    <row r="292" spans="1:3">
      <c r="A292" t="s">
        <v>401</v>
      </c>
      <c r="B292">
        <v>160</v>
      </c>
      <c r="C292">
        <v>-0.16237499999999999</v>
      </c>
    </row>
    <row r="293" spans="1:3">
      <c r="A293" t="s">
        <v>546</v>
      </c>
      <c r="B293">
        <v>180</v>
      </c>
      <c r="C293">
        <v>-0.42000000000000004</v>
      </c>
    </row>
    <row r="294" spans="1:3">
      <c r="A294" t="s">
        <v>402</v>
      </c>
      <c r="B294">
        <v>200</v>
      </c>
      <c r="C294">
        <v>-0.43362499999999998</v>
      </c>
    </row>
    <row r="295" spans="1:3">
      <c r="A295" t="s">
        <v>547</v>
      </c>
      <c r="B295">
        <v>220</v>
      </c>
      <c r="C295">
        <v>-0.29962499999999997</v>
      </c>
    </row>
    <row r="296" spans="1:3">
      <c r="A296" t="s">
        <v>403</v>
      </c>
      <c r="B296">
        <v>240</v>
      </c>
      <c r="C296">
        <v>-0.25562499999999999</v>
      </c>
    </row>
    <row r="297" spans="1:3">
      <c r="A297" t="s">
        <v>548</v>
      </c>
      <c r="B297">
        <v>260</v>
      </c>
      <c r="C297">
        <v>-0.140625</v>
      </c>
    </row>
    <row r="298" spans="1:3">
      <c r="A298" t="s">
        <v>429</v>
      </c>
      <c r="B298">
        <v>280</v>
      </c>
      <c r="C298">
        <v>-4.6874999999999993E-2</v>
      </c>
    </row>
    <row r="299" spans="1:3">
      <c r="A299" t="s">
        <v>549</v>
      </c>
      <c r="B299">
        <v>20</v>
      </c>
      <c r="C299">
        <v>0.59024999999999994</v>
      </c>
    </row>
    <row r="300" spans="1:3">
      <c r="A300" t="s">
        <v>404</v>
      </c>
      <c r="B300">
        <v>40</v>
      </c>
      <c r="C300">
        <v>0.39012499999999994</v>
      </c>
    </row>
    <row r="301" spans="1:3">
      <c r="A301" t="s">
        <v>550</v>
      </c>
      <c r="B301">
        <v>60</v>
      </c>
      <c r="C301">
        <v>-0.15550000000000003</v>
      </c>
    </row>
    <row r="302" spans="1:3">
      <c r="A302" t="s">
        <v>405</v>
      </c>
      <c r="B302">
        <v>80</v>
      </c>
      <c r="C302">
        <v>-0.18075000000000002</v>
      </c>
    </row>
    <row r="303" spans="1:3">
      <c r="A303" t="s">
        <v>551</v>
      </c>
      <c r="B303">
        <v>100</v>
      </c>
      <c r="C303">
        <v>-0.69962499999999994</v>
      </c>
    </row>
    <row r="304" spans="1:3">
      <c r="A304" t="s">
        <v>406</v>
      </c>
      <c r="B304">
        <v>120</v>
      </c>
      <c r="C304">
        <v>-0.55762500000000004</v>
      </c>
    </row>
    <row r="305" spans="1:3">
      <c r="A305" t="s">
        <v>552</v>
      </c>
      <c r="B305">
        <v>140</v>
      </c>
      <c r="C305">
        <v>-0.23287500000000003</v>
      </c>
    </row>
    <row r="306" spans="1:3">
      <c r="A306" t="s">
        <v>407</v>
      </c>
      <c r="B306">
        <v>160</v>
      </c>
      <c r="C306">
        <v>-0.24225000000000002</v>
      </c>
    </row>
    <row r="307" spans="1:3">
      <c r="A307" t="s">
        <v>553</v>
      </c>
      <c r="B307">
        <v>180</v>
      </c>
      <c r="C307">
        <v>-2.6125000000000002E-2</v>
      </c>
    </row>
    <row r="308" spans="1:3">
      <c r="A308" t="s">
        <v>408</v>
      </c>
      <c r="B308">
        <v>200</v>
      </c>
      <c r="C308">
        <v>3.1999999999999994E-2</v>
      </c>
    </row>
    <row r="309" spans="1:3">
      <c r="A309" t="s">
        <v>554</v>
      </c>
      <c r="B309">
        <v>20</v>
      </c>
      <c r="C309">
        <v>-9.6249999999999988E-2</v>
      </c>
    </row>
    <row r="310" spans="1:3">
      <c r="A310" t="s">
        <v>409</v>
      </c>
      <c r="B310">
        <v>40</v>
      </c>
      <c r="C310">
        <v>-0.12925</v>
      </c>
    </row>
    <row r="311" spans="1:3">
      <c r="A311" t="s">
        <v>555</v>
      </c>
      <c r="B311">
        <v>60</v>
      </c>
      <c r="C311">
        <v>-0.42037500000000005</v>
      </c>
    </row>
    <row r="312" spans="1:3">
      <c r="A312" t="s">
        <v>410</v>
      </c>
      <c r="B312">
        <v>80</v>
      </c>
      <c r="C312">
        <v>-0.48849999999999999</v>
      </c>
    </row>
    <row r="313" spans="1:3">
      <c r="A313" t="s">
        <v>556</v>
      </c>
      <c r="B313">
        <v>100</v>
      </c>
      <c r="C313">
        <v>-0.24262500000000001</v>
      </c>
    </row>
    <row r="314" spans="1:3">
      <c r="A314" t="s">
        <v>411</v>
      </c>
      <c r="B314">
        <v>120</v>
      </c>
      <c r="C314">
        <v>-0.21312500000000001</v>
      </c>
    </row>
    <row r="315" spans="1:3">
      <c r="A315" t="s">
        <v>558</v>
      </c>
      <c r="B315">
        <v>140</v>
      </c>
      <c r="C315">
        <v>-0.11887499999999999</v>
      </c>
    </row>
    <row r="316" spans="1:3">
      <c r="A316" t="s">
        <v>412</v>
      </c>
      <c r="B316">
        <v>160</v>
      </c>
      <c r="C316">
        <v>3.3750000000000002E-2</v>
      </c>
    </row>
    <row r="317" spans="1:3">
      <c r="A317" t="s">
        <v>557</v>
      </c>
      <c r="B317">
        <v>180</v>
      </c>
      <c r="C317">
        <v>9.8750000000000001E-3</v>
      </c>
    </row>
    <row r="318" spans="1:3">
      <c r="A318" t="s">
        <v>413</v>
      </c>
      <c r="B318">
        <v>200</v>
      </c>
      <c r="C318">
        <v>1.3375000000000001E-2</v>
      </c>
    </row>
    <row r="319" spans="1:3">
      <c r="A319" t="s">
        <v>559</v>
      </c>
      <c r="B319">
        <v>20</v>
      </c>
      <c r="C319">
        <v>5.8374999999999996E-2</v>
      </c>
    </row>
    <row r="320" spans="1:3">
      <c r="A320" t="s">
        <v>414</v>
      </c>
      <c r="B320">
        <v>40</v>
      </c>
      <c r="C320">
        <v>2.6750000000000006E-2</v>
      </c>
    </row>
    <row r="321" spans="1:3">
      <c r="A321" t="s">
        <v>560</v>
      </c>
      <c r="B321">
        <v>60</v>
      </c>
      <c r="C321">
        <v>-0.50924999999999998</v>
      </c>
    </row>
    <row r="322" spans="1:3">
      <c r="A322" t="s">
        <v>417</v>
      </c>
      <c r="B322">
        <v>80</v>
      </c>
      <c r="C322">
        <v>-0.27437500000000004</v>
      </c>
    </row>
    <row r="323" spans="1:3">
      <c r="A323" t="s">
        <v>561</v>
      </c>
      <c r="B323">
        <v>100</v>
      </c>
      <c r="C323">
        <v>-0.175125</v>
      </c>
    </row>
    <row r="324" spans="1:3">
      <c r="A324" t="s">
        <v>415</v>
      </c>
      <c r="B324">
        <v>120</v>
      </c>
      <c r="C324">
        <v>-0.15950000000000003</v>
      </c>
    </row>
    <row r="325" spans="1:3">
      <c r="A325" t="s">
        <v>562</v>
      </c>
      <c r="B325">
        <v>140</v>
      </c>
      <c r="C325">
        <v>-3.7249999999999991E-2</v>
      </c>
    </row>
    <row r="326" spans="1:3">
      <c r="A326" t="s">
        <v>416</v>
      </c>
      <c r="B326">
        <v>160</v>
      </c>
      <c r="C326">
        <v>-4.8749999999999957E-3</v>
      </c>
    </row>
    <row r="327" spans="1:3">
      <c r="A327" t="s">
        <v>563</v>
      </c>
      <c r="B327">
        <v>20</v>
      </c>
      <c r="C327">
        <v>-0.37312500000000004</v>
      </c>
    </row>
    <row r="328" spans="1:3">
      <c r="A328" t="s">
        <v>418</v>
      </c>
      <c r="B328">
        <v>40</v>
      </c>
      <c r="C328">
        <v>1.7375000000000008E-2</v>
      </c>
    </row>
    <row r="329" spans="1:3">
      <c r="A329" t="s">
        <v>564</v>
      </c>
      <c r="B329">
        <v>60</v>
      </c>
      <c r="C329">
        <v>-0.47962500000000008</v>
      </c>
    </row>
    <row r="330" spans="1:3">
      <c r="A330" t="s">
        <v>419</v>
      </c>
      <c r="B330">
        <v>80</v>
      </c>
      <c r="C330">
        <v>-0.24249999999999999</v>
      </c>
    </row>
    <row r="331" spans="1:3">
      <c r="A331" t="s">
        <v>565</v>
      </c>
      <c r="B331">
        <v>100</v>
      </c>
      <c r="C331">
        <v>-0.29112499999999997</v>
      </c>
    </row>
    <row r="332" spans="1:3">
      <c r="A332" t="s">
        <v>420</v>
      </c>
      <c r="B332">
        <v>120</v>
      </c>
      <c r="C332">
        <v>-5.5375000000000008E-2</v>
      </c>
    </row>
    <row r="333" spans="1:3">
      <c r="A333" t="s">
        <v>566</v>
      </c>
      <c r="B333">
        <v>20</v>
      </c>
      <c r="C333">
        <v>-0.191</v>
      </c>
    </row>
    <row r="334" spans="1:3">
      <c r="A334" t="s">
        <v>421</v>
      </c>
      <c r="B334">
        <v>40</v>
      </c>
      <c r="C334">
        <v>-0.26900000000000002</v>
      </c>
    </row>
    <row r="335" spans="1:3">
      <c r="A335" t="s">
        <v>567</v>
      </c>
      <c r="B335">
        <v>60</v>
      </c>
      <c r="C335">
        <v>-0.22075</v>
      </c>
    </row>
    <row r="336" spans="1:3">
      <c r="A336" t="s">
        <v>422</v>
      </c>
      <c r="B336">
        <v>80</v>
      </c>
      <c r="C336">
        <v>-0.23349999999999999</v>
      </c>
    </row>
    <row r="337" spans="1:3">
      <c r="A337" t="s">
        <v>568</v>
      </c>
      <c r="B337">
        <v>100</v>
      </c>
      <c r="C337">
        <v>-0.10150000000000001</v>
      </c>
    </row>
    <row r="338" spans="1:3">
      <c r="A338" t="s">
        <v>423</v>
      </c>
      <c r="B338">
        <v>120</v>
      </c>
      <c r="C338">
        <v>5.7499999999999999E-3</v>
      </c>
    </row>
    <row r="339" spans="1:3">
      <c r="A339" t="s">
        <v>569</v>
      </c>
      <c r="B339">
        <v>140</v>
      </c>
      <c r="C339">
        <v>-3.2499999999999994E-2</v>
      </c>
    </row>
    <row r="340" spans="1:3">
      <c r="A340" t="s">
        <v>424</v>
      </c>
      <c r="B340">
        <v>160</v>
      </c>
      <c r="C340">
        <v>-1.3000000000000001E-2</v>
      </c>
    </row>
    <row r="341" spans="1:3">
      <c r="A341" t="s">
        <v>570</v>
      </c>
      <c r="B341">
        <v>20</v>
      </c>
      <c r="C341">
        <v>-0.22325</v>
      </c>
    </row>
    <row r="342" spans="1:3">
      <c r="A342" t="s">
        <v>425</v>
      </c>
      <c r="B342">
        <v>40</v>
      </c>
      <c r="C342">
        <v>-0.25624999999999998</v>
      </c>
    </row>
    <row r="343" spans="1:3">
      <c r="A343" t="s">
        <v>571</v>
      </c>
      <c r="B343">
        <v>60</v>
      </c>
      <c r="C343">
        <v>-0.32487499999999997</v>
      </c>
    </row>
    <row r="344" spans="1:3">
      <c r="A344" t="s">
        <v>426</v>
      </c>
      <c r="B344">
        <v>80</v>
      </c>
      <c r="C344">
        <v>-0.123</v>
      </c>
    </row>
    <row r="345" spans="1:3">
      <c r="A345" t="s">
        <v>572</v>
      </c>
      <c r="B345">
        <v>100</v>
      </c>
      <c r="C345">
        <v>-2.5500000000000005E-2</v>
      </c>
    </row>
    <row r="346" spans="1:3">
      <c r="A346" t="s">
        <v>427</v>
      </c>
      <c r="B346">
        <v>120</v>
      </c>
      <c r="C346">
        <v>-5.875E-3</v>
      </c>
    </row>
    <row r="347" spans="1:3">
      <c r="A347" t="s">
        <v>573</v>
      </c>
      <c r="B347">
        <v>140</v>
      </c>
      <c r="C347">
        <v>2.6000000000000002E-2</v>
      </c>
    </row>
    <row r="348" spans="1:3">
      <c r="A348" t="s">
        <v>428</v>
      </c>
      <c r="B348">
        <v>160</v>
      </c>
      <c r="C348">
        <v>3.0249999999999999E-2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6640625" defaultRowHeight="14.4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664062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2.664062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4" width="8.6640625" bestFit="1" customWidth="1"/>
    <col min="5" max="5" width="12.33203125" bestFit="1" customWidth="1"/>
    <col min="6" max="6" width="11.664062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6640625" bestFit="1" customWidth="1"/>
    <col min="35" max="35" width="12.664062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348"/>
  <sheetViews>
    <sheetView topLeftCell="A143" zoomScale="120" zoomScaleNormal="120" workbookViewId="0">
      <pane xSplit="1" topLeftCell="K1" activePane="topRight" state="frozen"/>
      <selection activeCell="A41" sqref="A41"/>
      <selection pane="topRight" activeCell="P2" sqref="P1:P1048576"/>
    </sheetView>
  </sheetViews>
  <sheetFormatPr defaultColWidth="8.6640625" defaultRowHeight="14.4"/>
  <cols>
    <col min="1" max="1" width="14.33203125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8.6640625" style="15"/>
    <col min="14" max="14" width="21.6640625" style="13" customWidth="1"/>
    <col min="15" max="15" width="21.44140625" customWidth="1"/>
    <col min="16" max="16" width="8.6640625" style="15"/>
    <col min="18" max="18" width="10.109375" customWidth="1"/>
    <col min="19" max="19" width="24" style="13" bestFit="1" customWidth="1"/>
    <col min="20" max="20" width="24.5546875" customWidth="1"/>
    <col min="21" max="21" width="26" style="15" customWidth="1"/>
  </cols>
  <sheetData>
    <row r="1" spans="1:74">
      <c r="B1" s="51" t="s">
        <v>54</v>
      </c>
      <c r="C1" s="50"/>
      <c r="D1" s="52"/>
      <c r="E1" s="51" t="s">
        <v>55</v>
      </c>
      <c r="F1" s="50"/>
      <c r="G1" s="52"/>
      <c r="H1" s="51" t="s">
        <v>56</v>
      </c>
      <c r="I1" s="50"/>
      <c r="J1" s="52"/>
      <c r="K1" s="51" t="s">
        <v>176</v>
      </c>
      <c r="L1" s="50"/>
      <c r="M1" s="52"/>
      <c r="N1" s="51" t="s">
        <v>178</v>
      </c>
      <c r="O1" s="50"/>
      <c r="P1" s="52"/>
      <c r="Q1" s="14"/>
      <c r="R1" s="24" t="s">
        <v>51</v>
      </c>
      <c r="S1" s="51" t="s">
        <v>71</v>
      </c>
      <c r="T1" s="50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 t="e">
        <f>channel_morph!#REF!</f>
        <v>#REF!</v>
      </c>
      <c r="T8">
        <f>1671.98</f>
        <v>1671.98</v>
      </c>
      <c r="U8" s="15" t="e">
        <f t="shared" si="5"/>
        <v>#REF!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channel_morph!F7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channel_morph!F8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0.19375000000000001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8.3500000000000796E-2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9.6500000000000336E-2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 s="50"/>
      <c r="T13" s="50"/>
      <c r="U13" s="50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0.1115000000000009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0.12250000000000227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0.11550000000000012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0.11599999999999966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171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0.14012499999999761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2" customHeight="1">
      <c r="A19" s="18" t="s">
        <v>172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6">
        <f t="shared" si="3"/>
        <v>0.15712499999999921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10">I21</f>
        <v>1514.76</v>
      </c>
      <c r="P20" s="15">
        <f t="shared" si="4"/>
        <v>0.5215000000000003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11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10"/>
        <v>1529.69</v>
      </c>
      <c r="P21" s="15">
        <f t="shared" si="4"/>
        <v>0.70812500000000111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si="3"/>
        <v>0.7617500000000007</v>
      </c>
      <c r="N22" s="13">
        <f t="shared" ref="N22:N34" si="12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3">H22</f>
        <v>1500.51</v>
      </c>
      <c r="L23">
        <f t="shared" si="11"/>
        <v>1552.62</v>
      </c>
      <c r="M23" s="15">
        <f t="shared" si="3"/>
        <v>0.65137499999999871</v>
      </c>
      <c r="N23" s="13">
        <f t="shared" si="12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3"/>
        <v>1514.76</v>
      </c>
      <c r="L24">
        <f t="shared" si="11"/>
        <v>1558.7</v>
      </c>
      <c r="M24" s="15">
        <f t="shared" si="3"/>
        <v>0.54925000000000068</v>
      </c>
      <c r="N24" s="13">
        <f t="shared" si="12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3"/>
        <v>1529.69</v>
      </c>
      <c r="L25">
        <f t="shared" si="11"/>
        <v>1565.89</v>
      </c>
      <c r="M25" s="15">
        <f t="shared" si="3"/>
        <v>0.45250000000000057</v>
      </c>
      <c r="N25" s="13">
        <f t="shared" si="12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3"/>
        <v>1547.48</v>
      </c>
      <c r="L26">
        <f t="shared" si="11"/>
        <v>1574</v>
      </c>
      <c r="M26" s="15">
        <f t="shared" si="3"/>
        <v>0.33149999999999979</v>
      </c>
      <c r="N26" s="13">
        <f t="shared" si="12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3"/>
        <v>1552.62</v>
      </c>
      <c r="L27">
        <f t="shared" si="11"/>
        <v>1582.06</v>
      </c>
      <c r="M27" s="15">
        <f t="shared" si="3"/>
        <v>0.36800000000000066</v>
      </c>
      <c r="N27" s="13">
        <f t="shared" si="12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3"/>
        <v>1558.7</v>
      </c>
      <c r="L28">
        <f t="shared" si="11"/>
        <v>1589.42</v>
      </c>
      <c r="M28" s="15">
        <f t="shared" si="3"/>
        <v>0.38400000000000034</v>
      </c>
      <c r="N28" s="13">
        <f t="shared" si="12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3"/>
        <v>1565.89</v>
      </c>
      <c r="L29">
        <f t="shared" si="11"/>
        <v>1595.88</v>
      </c>
      <c r="M29" s="15">
        <f t="shared" si="3"/>
        <v>0.37487500000000012</v>
      </c>
      <c r="N29" s="13">
        <f t="shared" si="12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3"/>
        <v>1574</v>
      </c>
      <c r="L30">
        <f t="shared" si="11"/>
        <v>1603.24</v>
      </c>
      <c r="M30" s="15">
        <f t="shared" si="3"/>
        <v>0.3655000000000001</v>
      </c>
      <c r="N30" s="13">
        <f t="shared" si="12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3"/>
        <v>1582.06</v>
      </c>
      <c r="L31">
        <f t="shared" si="11"/>
        <v>1608.98</v>
      </c>
      <c r="M31" s="15">
        <f t="shared" si="3"/>
        <v>0.33650000000000091</v>
      </c>
      <c r="N31" s="13">
        <f t="shared" si="12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3"/>
        <v>1589.42</v>
      </c>
      <c r="L32">
        <f t="shared" si="11"/>
        <v>1613.02</v>
      </c>
      <c r="M32" s="15">
        <f t="shared" si="3"/>
        <v>0.29499999999999887</v>
      </c>
      <c r="N32" s="13">
        <f t="shared" si="12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3"/>
        <v>1595.88</v>
      </c>
      <c r="L33">
        <f t="shared" si="11"/>
        <v>1616.66</v>
      </c>
      <c r="M33" s="15">
        <f t="shared" si="3"/>
        <v>0.25974999999999965</v>
      </c>
      <c r="N33" s="13">
        <f t="shared" si="12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2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125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4">I36</f>
        <v>1651.18</v>
      </c>
      <c r="P35" s="15">
        <f t="shared" si="4"/>
        <v>0.3555000000000007</v>
      </c>
      <c r="S35"/>
      <c r="U35"/>
    </row>
    <row r="36" spans="1:74">
      <c r="A36" s="16" t="s">
        <v>126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ref="L36:L40" si="15">I37</f>
        <v>1658.13</v>
      </c>
      <c r="M36" s="15">
        <f t="shared" si="3"/>
        <v>0.44237500000000124</v>
      </c>
      <c r="N36">
        <f>channel_morph!F5</f>
        <v>1622.74</v>
      </c>
      <c r="O36">
        <f t="shared" si="14"/>
        <v>1658.13</v>
      </c>
      <c r="P36" s="15">
        <f t="shared" si="4"/>
        <v>0.44237500000000124</v>
      </c>
      <c r="S36"/>
      <c r="U36"/>
    </row>
    <row r="37" spans="1:74">
      <c r="A37" s="16" t="s">
        <v>127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5"/>
        <v>1663.77</v>
      </c>
      <c r="M37" s="15">
        <f t="shared" si="3"/>
        <v>0.38712500000000033</v>
      </c>
      <c r="N37">
        <f>H36</f>
        <v>1632.8</v>
      </c>
      <c r="O37">
        <f t="shared" si="14"/>
        <v>1663.77</v>
      </c>
      <c r="P37" s="15">
        <f t="shared" si="4"/>
        <v>0.38712500000000033</v>
      </c>
      <c r="S37"/>
      <c r="U37"/>
    </row>
    <row r="38" spans="1:74">
      <c r="A38" s="16" t="s">
        <v>128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6">H37</f>
        <v>1642.39</v>
      </c>
      <c r="L38">
        <f t="shared" si="15"/>
        <v>1667.78</v>
      </c>
      <c r="M38" s="15">
        <f t="shared" si="3"/>
        <v>0.31737499999999841</v>
      </c>
      <c r="N38">
        <f>H37</f>
        <v>1642.39</v>
      </c>
      <c r="O38">
        <f t="shared" si="14"/>
        <v>1667.78</v>
      </c>
      <c r="P38" s="15">
        <f t="shared" si="4"/>
        <v>0.31737499999999841</v>
      </c>
      <c r="S38"/>
      <c r="U38"/>
    </row>
    <row r="39" spans="1:74">
      <c r="A39" s="16" t="s">
        <v>129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6"/>
        <v>1651.18</v>
      </c>
      <c r="L39">
        <f t="shared" si="15"/>
        <v>1670.04</v>
      </c>
      <c r="M39" s="15">
        <f t="shared" si="3"/>
        <v>0.23574999999999874</v>
      </c>
      <c r="N39">
        <f>H38</f>
        <v>1651.18</v>
      </c>
      <c r="O39">
        <f t="shared" si="14"/>
        <v>1670.04</v>
      </c>
      <c r="P39" s="15">
        <f t="shared" si="4"/>
        <v>0.23574999999999874</v>
      </c>
      <c r="S39"/>
      <c r="U39"/>
    </row>
    <row r="40" spans="1:74">
      <c r="A40" s="16" t="s">
        <v>130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6"/>
        <v>1658.13</v>
      </c>
      <c r="L40">
        <f t="shared" si="15"/>
        <v>1670.69</v>
      </c>
      <c r="M40" s="15">
        <f t="shared" si="3"/>
        <v>0.15699999999999931</v>
      </c>
      <c r="N40">
        <f>H39</f>
        <v>1658.13</v>
      </c>
      <c r="O40">
        <f t="shared" si="14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131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6"/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132</v>
      </c>
      <c r="B42" s="13">
        <v>1591.9</v>
      </c>
      <c r="C42">
        <v>1601.66</v>
      </c>
      <c r="D42">
        <f t="shared" ref="D42:D48" si="17">(C42-B42)/10</f>
        <v>0.97599999999999909</v>
      </c>
      <c r="E42" s="13">
        <v>1591.05</v>
      </c>
      <c r="F42">
        <v>1605.08</v>
      </c>
      <c r="G42">
        <f t="shared" ref="G42:G48" si="18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9">(I42-H42)/40</f>
        <v>0.44225000000000136</v>
      </c>
      <c r="K42" s="13">
        <f>channel_morph!F6</f>
        <v>1594.26</v>
      </c>
      <c r="L42">
        <f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20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133</v>
      </c>
      <c r="B43" s="13">
        <v>1608.72</v>
      </c>
      <c r="C43">
        <v>1615.43</v>
      </c>
      <c r="D43">
        <f t="shared" si="17"/>
        <v>0.67100000000000359</v>
      </c>
      <c r="E43" s="13">
        <v>1605.07</v>
      </c>
      <c r="F43">
        <v>1618.32</v>
      </c>
      <c r="G43">
        <f t="shared" si="18"/>
        <v>0.66249999999999998</v>
      </c>
      <c r="H43" s="13">
        <f>hillslope_morph!C42</f>
        <v>1597.94</v>
      </c>
      <c r="I43">
        <f>hillslope_morph!C44</f>
        <v>1626.99</v>
      </c>
      <c r="J43">
        <f t="shared" si="19"/>
        <v>0.72624999999999884</v>
      </c>
      <c r="K43" s="13">
        <f>channel_morph!F6</f>
        <v>1594.26</v>
      </c>
      <c r="L43">
        <f t="shared" ref="L43:L47" si="21">I44</f>
        <v>1644.55</v>
      </c>
      <c r="M43" s="15">
        <f t="shared" si="3"/>
        <v>0.62862499999999955</v>
      </c>
      <c r="N43" s="13">
        <f>channel_morph!F6</f>
        <v>1594.26</v>
      </c>
      <c r="O43">
        <f t="shared" si="20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134</v>
      </c>
      <c r="B44" s="13">
        <v>1622.55</v>
      </c>
      <c r="C44">
        <v>1631.33</v>
      </c>
      <c r="D44">
        <f t="shared" si="17"/>
        <v>0.87799999999999723</v>
      </c>
      <c r="E44" s="13">
        <v>1618.34</v>
      </c>
      <c r="F44">
        <v>1636.25</v>
      </c>
      <c r="G44">
        <f t="shared" si="18"/>
        <v>0.89550000000000407</v>
      </c>
      <c r="H44" s="13">
        <f>hillslope_morph!C43</f>
        <v>1611.95</v>
      </c>
      <c r="I44">
        <f>hillslope_morph!C45</f>
        <v>1644.55</v>
      </c>
      <c r="J44">
        <f t="shared" si="19"/>
        <v>0.81499999999999773</v>
      </c>
      <c r="K44" s="13">
        <f>H43</f>
        <v>1597.94</v>
      </c>
      <c r="L44">
        <f t="shared" si="21"/>
        <v>1657.37</v>
      </c>
      <c r="M44" s="15">
        <f t="shared" si="3"/>
        <v>0.74287499999999795</v>
      </c>
      <c r="N44" s="13">
        <f>H43</f>
        <v>1597.94</v>
      </c>
      <c r="O44">
        <f t="shared" si="20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135</v>
      </c>
      <c r="B45" s="13">
        <v>1639.45</v>
      </c>
      <c r="C45">
        <v>1649.69</v>
      </c>
      <c r="D45">
        <f t="shared" si="17"/>
        <v>1.0240000000000009</v>
      </c>
      <c r="E45" s="13">
        <v>1636.2</v>
      </c>
      <c r="F45">
        <v>1653.23</v>
      </c>
      <c r="G45">
        <f t="shared" si="18"/>
        <v>0.85149999999999859</v>
      </c>
      <c r="H45" s="13">
        <f>hillslope_morph!C44</f>
        <v>1626.99</v>
      </c>
      <c r="I45">
        <f>hillslope_morph!C46</f>
        <v>1657.37</v>
      </c>
      <c r="J45">
        <f t="shared" si="19"/>
        <v>0.75949999999999707</v>
      </c>
      <c r="K45" s="13">
        <f t="shared" ref="K45:K48" si="22">H44</f>
        <v>1611.95</v>
      </c>
      <c r="L45">
        <f t="shared" si="21"/>
        <v>1664.78</v>
      </c>
      <c r="M45" s="15">
        <f t="shared" si="3"/>
        <v>0.66037499999999905</v>
      </c>
      <c r="N45" s="13">
        <f>H44</f>
        <v>1611.95</v>
      </c>
      <c r="O45">
        <f t="shared" si="20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136</v>
      </c>
      <c r="B46" s="13">
        <v>1655.13</v>
      </c>
      <c r="C46">
        <v>1659.7</v>
      </c>
      <c r="D46">
        <f t="shared" si="17"/>
        <v>0.45699999999999363</v>
      </c>
      <c r="E46" s="13">
        <v>1653.24</v>
      </c>
      <c r="F46">
        <v>1661.38</v>
      </c>
      <c r="G46">
        <f t="shared" si="18"/>
        <v>0.40700000000000502</v>
      </c>
      <c r="H46" s="13">
        <f>hillslope_morph!C45</f>
        <v>1644.55</v>
      </c>
      <c r="I46">
        <f>hillslope_morph!C47</f>
        <v>1664.78</v>
      </c>
      <c r="J46">
        <f t="shared" si="19"/>
        <v>0.50575000000000048</v>
      </c>
      <c r="K46" s="13">
        <f t="shared" si="22"/>
        <v>1626.99</v>
      </c>
      <c r="L46">
        <f t="shared" si="21"/>
        <v>1669.24</v>
      </c>
      <c r="M46" s="15">
        <f t="shared" si="3"/>
        <v>0.52812499999999996</v>
      </c>
      <c r="N46" s="13">
        <f>H45</f>
        <v>1626.99</v>
      </c>
      <c r="O46">
        <f t="shared" si="20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137</v>
      </c>
      <c r="B47" s="13">
        <v>1663.24</v>
      </c>
      <c r="C47">
        <v>1666.03</v>
      </c>
      <c r="D47">
        <f t="shared" si="17"/>
        <v>0.27899999999999636</v>
      </c>
      <c r="E47" s="13">
        <v>1661.4</v>
      </c>
      <c r="F47">
        <v>1667.47</v>
      </c>
      <c r="G47">
        <f t="shared" si="18"/>
        <v>0.30349999999999683</v>
      </c>
      <c r="H47" s="13">
        <f>hillslope_morph!C46</f>
        <v>1657.37</v>
      </c>
      <c r="I47">
        <f>hillslope_morph!C48</f>
        <v>1669.24</v>
      </c>
      <c r="J47">
        <f t="shared" si="19"/>
        <v>0.29675000000000296</v>
      </c>
      <c r="K47" s="13">
        <f t="shared" si="22"/>
        <v>1644.55</v>
      </c>
      <c r="L47">
        <f t="shared" si="21"/>
        <v>1669.6</v>
      </c>
      <c r="M47" s="15">
        <f t="shared" si="3"/>
        <v>0.31312499999999943</v>
      </c>
      <c r="N47" s="13">
        <f>H46</f>
        <v>1644.55</v>
      </c>
      <c r="O47">
        <f t="shared" si="20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138</v>
      </c>
      <c r="B48" s="4">
        <v>1668.6</v>
      </c>
      <c r="C48" s="5">
        <v>1669.48</v>
      </c>
      <c r="D48" s="5">
        <f t="shared" si="17"/>
        <v>8.8000000000010917E-2</v>
      </c>
      <c r="E48" s="4">
        <v>1667.46</v>
      </c>
      <c r="F48" s="5">
        <v>1669.66</v>
      </c>
      <c r="G48" s="5">
        <f t="shared" si="18"/>
        <v>0.11000000000000228</v>
      </c>
      <c r="H48" s="4">
        <f>hillslope_morph!C47</f>
        <v>1664.78</v>
      </c>
      <c r="I48" s="5">
        <v>1669.6</v>
      </c>
      <c r="J48" s="5">
        <f t="shared" si="19"/>
        <v>0.12049999999999841</v>
      </c>
      <c r="K48" s="13">
        <f t="shared" si="22"/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46" t="s">
        <v>139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 t="e">
        <f>channel_morph!#REF!</f>
        <v>#REF!</v>
      </c>
      <c r="I49" s="2">
        <v>1657.65</v>
      </c>
      <c r="J49" s="2" t="e">
        <f>(I49-H49)/40</f>
        <v>#REF!</v>
      </c>
      <c r="K49" s="1" t="e">
        <f>channel_morph!#REF!</f>
        <v>#REF!</v>
      </c>
      <c r="L49" s="2">
        <f>K53</f>
        <v>1664.01</v>
      </c>
      <c r="M49" s="15" t="e">
        <f t="shared" si="3"/>
        <v>#REF!</v>
      </c>
      <c r="N49" s="1" t="e">
        <f>channel_morph!#REF!</f>
        <v>#REF!</v>
      </c>
      <c r="O49" s="2">
        <f>1660.1+3.3</f>
        <v>1663.3999999999999</v>
      </c>
      <c r="P49" s="3" t="e">
        <f t="shared" si="4"/>
        <v>#REF!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319</v>
      </c>
      <c r="J50"/>
      <c r="K50" s="13" t="e">
        <f>K49</f>
        <v>#REF!</v>
      </c>
      <c r="L50">
        <f>K54</f>
        <v>1669.25</v>
      </c>
      <c r="M50" s="15" t="e">
        <f t="shared" si="3"/>
        <v>#REF!</v>
      </c>
      <c r="P50"/>
      <c r="Q50" s="13"/>
      <c r="S50"/>
      <c r="U50"/>
    </row>
    <row r="51" spans="1:74">
      <c r="A51" s="16" t="s">
        <v>320</v>
      </c>
      <c r="J51"/>
      <c r="K51" s="13">
        <v>1647.54</v>
      </c>
      <c r="L51">
        <v>1670.7</v>
      </c>
      <c r="M51" s="15">
        <f t="shared" si="3"/>
        <v>0.28950000000000103</v>
      </c>
      <c r="Q51" s="13"/>
      <c r="S51"/>
      <c r="U51"/>
    </row>
    <row r="52" spans="1:74">
      <c r="A52" s="16" t="s">
        <v>321</v>
      </c>
      <c r="J52"/>
      <c r="K52" s="13">
        <v>1656.66</v>
      </c>
      <c r="L52">
        <v>1671.4</v>
      </c>
      <c r="M52" s="15">
        <f t="shared" si="3"/>
        <v>0.18425000000000011</v>
      </c>
      <c r="Q52" s="13"/>
      <c r="S52"/>
      <c r="U52"/>
    </row>
    <row r="53" spans="1:74">
      <c r="A53" s="16" t="s">
        <v>322</v>
      </c>
      <c r="J53"/>
      <c r="K53" s="13">
        <v>1664.01</v>
      </c>
      <c r="L53">
        <v>1671.5</v>
      </c>
      <c r="M53" s="15">
        <f t="shared" si="3"/>
        <v>9.3625000000000111E-2</v>
      </c>
      <c r="Q53" s="13"/>
      <c r="S53"/>
      <c r="U53"/>
    </row>
    <row r="54" spans="1:74">
      <c r="A54" s="18" t="s">
        <v>323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S54"/>
      <c r="U54"/>
    </row>
    <row r="55" spans="1:74">
      <c r="A55" s="16" t="s">
        <v>140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channel_morph!F7</f>
        <v>1527.14</v>
      </c>
      <c r="I55">
        <f>hillslope_morph!C51</f>
        <v>1563.35</v>
      </c>
      <c r="J55">
        <f>(I55-H55)/40</f>
        <v>0.90524999999999523</v>
      </c>
      <c r="K55" s="13">
        <f>channel_morph!F7</f>
        <v>1527.14</v>
      </c>
      <c r="L55">
        <f>I56</f>
        <v>1576.13</v>
      </c>
      <c r="M55" s="15">
        <f t="shared" si="3"/>
        <v>0.61237500000000011</v>
      </c>
      <c r="N55" s="13">
        <f>channel_morph!F7</f>
        <v>1527.14</v>
      </c>
      <c r="O55">
        <f t="shared" ref="O55:O67" si="23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141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channel_morph!F7</f>
        <v>1527.14</v>
      </c>
      <c r="L56">
        <f t="shared" ref="L56:L67" si="24">I57</f>
        <v>1587.83</v>
      </c>
      <c r="M56" s="15">
        <f t="shared" si="3"/>
        <v>0.75862499999999788</v>
      </c>
      <c r="N56" s="13">
        <f>channel_morph!F7</f>
        <v>1527.14</v>
      </c>
      <c r="O56">
        <f t="shared" si="23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142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4"/>
        <v>1587.58</v>
      </c>
      <c r="M57" s="15">
        <f t="shared" si="3"/>
        <v>0.4469999999999999</v>
      </c>
      <c r="N57" s="13">
        <f t="shared" ref="N57:N68" si="25">H56</f>
        <v>1551.82</v>
      </c>
      <c r="O57">
        <f t="shared" si="23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143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6">H57</f>
        <v>1563.35</v>
      </c>
      <c r="L58">
        <f t="shared" si="24"/>
        <v>1608.36</v>
      </c>
      <c r="M58" s="15">
        <f t="shared" si="3"/>
        <v>0.56262499999999993</v>
      </c>
      <c r="N58" s="13">
        <f t="shared" si="25"/>
        <v>1563.35</v>
      </c>
      <c r="O58">
        <f t="shared" si="23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144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6"/>
        <v>1576.13</v>
      </c>
      <c r="L59">
        <f t="shared" si="24"/>
        <v>1618.96</v>
      </c>
      <c r="M59" s="15">
        <f t="shared" si="3"/>
        <v>0.53537499999999905</v>
      </c>
      <c r="N59" s="13">
        <f t="shared" si="25"/>
        <v>1576.13</v>
      </c>
      <c r="O59">
        <f t="shared" si="23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145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6"/>
        <v>1587.83</v>
      </c>
      <c r="L60">
        <f t="shared" si="24"/>
        <v>1629.03</v>
      </c>
      <c r="M60" s="15">
        <f t="shared" si="3"/>
        <v>0.51500000000000057</v>
      </c>
      <c r="N60" s="13">
        <f t="shared" si="25"/>
        <v>1587.83</v>
      </c>
      <c r="O60">
        <f t="shared" si="23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146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6"/>
        <v>1587.58</v>
      </c>
      <c r="L61">
        <f t="shared" si="24"/>
        <v>1637.17</v>
      </c>
      <c r="M61" s="15">
        <f t="shared" si="3"/>
        <v>0.61987500000000184</v>
      </c>
      <c r="N61" s="13">
        <f t="shared" si="25"/>
        <v>1587.58</v>
      </c>
      <c r="O61">
        <f t="shared" si="23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147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6"/>
        <v>1608.36</v>
      </c>
      <c r="L62">
        <f t="shared" si="24"/>
        <v>1645.85</v>
      </c>
      <c r="M62" s="15">
        <f t="shared" si="3"/>
        <v>0.46862500000000012</v>
      </c>
      <c r="N62" s="13">
        <f t="shared" si="25"/>
        <v>1608.36</v>
      </c>
      <c r="O62">
        <f t="shared" si="23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148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6"/>
        <v>1618.96</v>
      </c>
      <c r="L63">
        <f t="shared" si="24"/>
        <v>1650.77</v>
      </c>
      <c r="M63" s="15">
        <f t="shared" si="3"/>
        <v>0.39762499999999934</v>
      </c>
      <c r="N63" s="13">
        <f t="shared" si="25"/>
        <v>1618.96</v>
      </c>
      <c r="O63">
        <f t="shared" si="23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149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6"/>
        <v>1629.03</v>
      </c>
      <c r="L64">
        <f t="shared" si="24"/>
        <v>1654.26</v>
      </c>
      <c r="M64" s="15">
        <f t="shared" si="3"/>
        <v>0.31537500000000024</v>
      </c>
      <c r="N64" s="13">
        <f t="shared" si="25"/>
        <v>1629.03</v>
      </c>
      <c r="O64">
        <f t="shared" si="23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150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6"/>
        <v>1637.17</v>
      </c>
      <c r="L65">
        <f t="shared" si="24"/>
        <v>1660.03</v>
      </c>
      <c r="M65" s="15">
        <f t="shared" si="3"/>
        <v>0.28574999999999873</v>
      </c>
      <c r="N65" s="13">
        <f t="shared" si="25"/>
        <v>1637.17</v>
      </c>
      <c r="O65">
        <f t="shared" si="23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151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6"/>
        <v>1645.85</v>
      </c>
      <c r="L66">
        <f t="shared" si="24"/>
        <v>1660.71</v>
      </c>
      <c r="M66" s="15">
        <f t="shared" si="3"/>
        <v>0.18575000000000158</v>
      </c>
      <c r="N66" s="13">
        <f t="shared" si="25"/>
        <v>1645.85</v>
      </c>
      <c r="O66">
        <f t="shared" si="23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152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6"/>
        <v>1650.77</v>
      </c>
      <c r="L67">
        <f t="shared" si="24"/>
        <v>1661.6</v>
      </c>
      <c r="M67" s="15">
        <f t="shared" si="3"/>
        <v>0.13537499999999908</v>
      </c>
      <c r="N67" s="13">
        <f t="shared" si="25"/>
        <v>1650.77</v>
      </c>
      <c r="O67">
        <f t="shared" si="23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153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6"/>
        <v>1654.26</v>
      </c>
      <c r="L68" s="5">
        <f>O68</f>
        <v>1653.13</v>
      </c>
      <c r="M68" s="6">
        <f t="shared" ref="M68:M141" si="27">(L68-K68)/80</f>
        <v>-1.4124999999998522E-2</v>
      </c>
      <c r="N68" s="4">
        <f t="shared" si="25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154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channel_morph!F8</f>
        <v>1551.02</v>
      </c>
      <c r="I69">
        <f>hillslope_morph!C65</f>
        <v>1574.63</v>
      </c>
      <c r="J69">
        <f t="shared" si="2"/>
        <v>0.59025000000000316</v>
      </c>
      <c r="K69" s="13">
        <f>channel_morph!F8</f>
        <v>1551.02</v>
      </c>
      <c r="L69">
        <f>I70</f>
        <v>1589.09</v>
      </c>
      <c r="M69" s="15">
        <f t="shared" si="27"/>
        <v>0.47587499999999922</v>
      </c>
      <c r="N69" s="13">
        <f>channel_morph!F8</f>
        <v>1551.02</v>
      </c>
      <c r="O69">
        <f t="shared" ref="O69:O78" si="28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155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channel_morph!F8</f>
        <v>1551.02</v>
      </c>
      <c r="L70">
        <f t="shared" ref="L70:L78" si="29">I71</f>
        <v>1602.11</v>
      </c>
      <c r="M70" s="15">
        <f t="shared" si="27"/>
        <v>0.638624999999999</v>
      </c>
      <c r="N70" s="13">
        <f>channel_morph!F8</f>
        <v>1551.02</v>
      </c>
      <c r="O70">
        <f t="shared" si="28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156</v>
      </c>
      <c r="B71" s="13">
        <v>1585.75</v>
      </c>
      <c r="C71" s="16">
        <v>1592.47</v>
      </c>
      <c r="D71">
        <f t="shared" ref="D71:D79" si="30">(C71-B71)/10</f>
        <v>0.67200000000000271</v>
      </c>
      <c r="E71" s="22">
        <v>1582.22</v>
      </c>
      <c r="F71" s="16">
        <v>1595.55</v>
      </c>
      <c r="G71">
        <f t="shared" ref="G71:G79" si="31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32">(I71-H71)/40</f>
        <v>0.68699999999999473</v>
      </c>
      <c r="K71" s="13">
        <f>H70</f>
        <v>1559.91</v>
      </c>
      <c r="L71">
        <f t="shared" si="29"/>
        <v>1612.88</v>
      </c>
      <c r="M71" s="15">
        <f t="shared" si="27"/>
        <v>0.6621250000000003</v>
      </c>
      <c r="N71" s="13">
        <f t="shared" ref="N71:N79" si="33">H70</f>
        <v>1559.91</v>
      </c>
      <c r="O71">
        <f t="shared" si="28"/>
        <v>1612.88</v>
      </c>
      <c r="P71" s="15">
        <f t="shared" si="4"/>
        <v>0.6621250000000003</v>
      </c>
      <c r="S71"/>
      <c r="U71"/>
    </row>
    <row r="72" spans="1:45">
      <c r="A72" t="s">
        <v>157</v>
      </c>
      <c r="B72" s="13">
        <v>1599.35</v>
      </c>
      <c r="C72" s="16">
        <v>1604.67</v>
      </c>
      <c r="D72">
        <f t="shared" si="30"/>
        <v>0.53200000000001635</v>
      </c>
      <c r="E72" s="22">
        <v>1595.5</v>
      </c>
      <c r="F72" s="16">
        <v>1607.71</v>
      </c>
      <c r="G72">
        <f t="shared" si="31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32"/>
        <v>0.59475000000000477</v>
      </c>
      <c r="K72" s="13">
        <f t="shared" ref="K72:K79" si="34">H71</f>
        <v>1574.63</v>
      </c>
      <c r="L72">
        <f t="shared" si="29"/>
        <v>1628.66</v>
      </c>
      <c r="M72" s="15">
        <f t="shared" si="27"/>
        <v>0.67537499999999961</v>
      </c>
      <c r="N72" s="13">
        <f t="shared" si="33"/>
        <v>1574.63</v>
      </c>
      <c r="O72">
        <f t="shared" si="28"/>
        <v>1628.66</v>
      </c>
      <c r="P72" s="15">
        <f t="shared" si="4"/>
        <v>0.67537499999999961</v>
      </c>
      <c r="S72"/>
      <c r="U72"/>
    </row>
    <row r="73" spans="1:45">
      <c r="A73" t="s">
        <v>158</v>
      </c>
      <c r="B73" s="22">
        <v>1610.31</v>
      </c>
      <c r="C73" s="16">
        <v>1616.03</v>
      </c>
      <c r="D73">
        <f t="shared" si="30"/>
        <v>0.57200000000000273</v>
      </c>
      <c r="E73" s="22">
        <v>1607.71</v>
      </c>
      <c r="F73" s="16">
        <v>1619.03</v>
      </c>
      <c r="G73">
        <f t="shared" si="31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32"/>
        <v>0.6637500000000045</v>
      </c>
      <c r="K73" s="13">
        <f t="shared" si="34"/>
        <v>1589.09</v>
      </c>
      <c r="L73">
        <f t="shared" si="29"/>
        <v>1639.62</v>
      </c>
      <c r="M73" s="15">
        <f t="shared" si="27"/>
        <v>0.63162499999999966</v>
      </c>
      <c r="N73" s="13">
        <f t="shared" si="33"/>
        <v>1589.09</v>
      </c>
      <c r="O73">
        <f t="shared" si="28"/>
        <v>1639.62</v>
      </c>
      <c r="P73" s="15">
        <f t="shared" ref="P73:P79" si="35">(O73-N73)/80</f>
        <v>0.63162499999999966</v>
      </c>
      <c r="S73"/>
      <c r="U73"/>
    </row>
    <row r="74" spans="1:45">
      <c r="A74" t="s">
        <v>159</v>
      </c>
      <c r="B74" s="22">
        <v>1625.22</v>
      </c>
      <c r="C74" s="16">
        <v>1631.22</v>
      </c>
      <c r="D74">
        <f t="shared" si="30"/>
        <v>0.6</v>
      </c>
      <c r="E74" s="22">
        <v>1619</v>
      </c>
      <c r="F74" s="16">
        <v>1634.2</v>
      </c>
      <c r="G74">
        <f t="shared" si="31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32"/>
        <v>0.66849999999999454</v>
      </c>
      <c r="K74" s="13">
        <f t="shared" si="34"/>
        <v>1602.11</v>
      </c>
      <c r="L74">
        <f t="shared" si="29"/>
        <v>1647.02</v>
      </c>
      <c r="M74" s="15">
        <f t="shared" si="27"/>
        <v>0.56137500000000107</v>
      </c>
      <c r="N74" s="13">
        <f t="shared" si="33"/>
        <v>1602.11</v>
      </c>
      <c r="O74">
        <f t="shared" si="28"/>
        <v>1647.02</v>
      </c>
      <c r="P74" s="15">
        <f t="shared" si="35"/>
        <v>0.56137500000000107</v>
      </c>
      <c r="S74"/>
      <c r="U74"/>
    </row>
    <row r="75" spans="1:45">
      <c r="A75" t="s">
        <v>160</v>
      </c>
      <c r="B75" s="22">
        <v>1638.43</v>
      </c>
      <c r="C75" s="16">
        <v>1642.39</v>
      </c>
      <c r="D75">
        <f t="shared" si="30"/>
        <v>0.39600000000000363</v>
      </c>
      <c r="E75" s="22">
        <v>1634.12</v>
      </c>
      <c r="F75" s="16">
        <v>1644.83</v>
      </c>
      <c r="G75">
        <f t="shared" si="31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32"/>
        <v>0.45899999999999752</v>
      </c>
      <c r="K75" s="13">
        <f t="shared" si="34"/>
        <v>1612.88</v>
      </c>
      <c r="L75">
        <f t="shared" si="29"/>
        <v>1650.66</v>
      </c>
      <c r="M75" s="15">
        <f t="shared" si="27"/>
        <v>0.47224999999999967</v>
      </c>
      <c r="N75" s="13">
        <f t="shared" si="33"/>
        <v>1612.88</v>
      </c>
      <c r="O75">
        <f t="shared" si="28"/>
        <v>1650.66</v>
      </c>
      <c r="P75" s="15">
        <f t="shared" si="35"/>
        <v>0.47224999999999967</v>
      </c>
      <c r="S75"/>
      <c r="U75"/>
    </row>
    <row r="76" spans="1:45">
      <c r="A76" t="s">
        <v>161</v>
      </c>
      <c r="B76" s="22">
        <v>1645.8</v>
      </c>
      <c r="C76" s="16">
        <v>1647.72</v>
      </c>
      <c r="D76">
        <f t="shared" si="30"/>
        <v>0.19200000000000728</v>
      </c>
      <c r="E76" s="22">
        <v>1644.83</v>
      </c>
      <c r="F76" s="16">
        <v>1648.58</v>
      </c>
      <c r="G76">
        <f t="shared" si="31"/>
        <v>0.1875</v>
      </c>
      <c r="H76" s="13">
        <f>hillslope_morph!C70</f>
        <v>1639.62</v>
      </c>
      <c r="I76">
        <f>hillslope_morph!C72</f>
        <v>1650.66</v>
      </c>
      <c r="J76" s="15">
        <f t="shared" si="32"/>
        <v>0.2760000000000048</v>
      </c>
      <c r="K76" s="13">
        <f t="shared" si="34"/>
        <v>1628.66</v>
      </c>
      <c r="L76">
        <f t="shared" si="29"/>
        <v>1654.58</v>
      </c>
      <c r="M76" s="15">
        <f t="shared" si="27"/>
        <v>0.32399999999999807</v>
      </c>
      <c r="N76" s="13">
        <f t="shared" si="33"/>
        <v>1628.66</v>
      </c>
      <c r="O76">
        <f t="shared" si="28"/>
        <v>1654.58</v>
      </c>
      <c r="P76" s="15">
        <f t="shared" si="35"/>
        <v>0.32399999999999807</v>
      </c>
      <c r="S76"/>
      <c r="U76"/>
    </row>
    <row r="77" spans="1:45">
      <c r="A77" t="s">
        <v>162</v>
      </c>
      <c r="B77" s="22">
        <v>1649.56</v>
      </c>
      <c r="C77" s="16">
        <v>1651.65</v>
      </c>
      <c r="D77">
        <f t="shared" si="30"/>
        <v>0.20900000000001456</v>
      </c>
      <c r="E77" s="22">
        <v>1648.59</v>
      </c>
      <c r="F77" s="16">
        <v>1652.67</v>
      </c>
      <c r="G77">
        <f t="shared" si="31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32"/>
        <v>0.18899999999999864</v>
      </c>
      <c r="K77" s="13">
        <f t="shared" si="34"/>
        <v>1639.62</v>
      </c>
      <c r="L77">
        <f t="shared" si="29"/>
        <v>1659.76</v>
      </c>
      <c r="M77" s="15">
        <f t="shared" si="27"/>
        <v>0.25175000000000125</v>
      </c>
      <c r="N77" s="13">
        <f t="shared" si="33"/>
        <v>1639.62</v>
      </c>
      <c r="O77">
        <f t="shared" si="28"/>
        <v>1659.76</v>
      </c>
      <c r="P77" s="15">
        <f t="shared" si="35"/>
        <v>0.25175000000000125</v>
      </c>
      <c r="S77"/>
      <c r="U77"/>
    </row>
    <row r="78" spans="1:45">
      <c r="A78" t="s">
        <v>163</v>
      </c>
      <c r="B78" s="22">
        <v>1653.7</v>
      </c>
      <c r="C78" s="16">
        <v>1655.66</v>
      </c>
      <c r="D78">
        <f t="shared" si="30"/>
        <v>0.19600000000000364</v>
      </c>
      <c r="E78" s="22">
        <v>1652.68</v>
      </c>
      <c r="F78" s="16">
        <v>1656.71</v>
      </c>
      <c r="G78">
        <f t="shared" si="31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32"/>
        <v>0.22749999999999773</v>
      </c>
      <c r="K78" s="13">
        <f t="shared" si="34"/>
        <v>1647.02</v>
      </c>
      <c r="L78">
        <f t="shared" si="29"/>
        <v>1664.55</v>
      </c>
      <c r="M78" s="15">
        <f t="shared" si="27"/>
        <v>0.21912499999999965</v>
      </c>
      <c r="N78" s="13">
        <f t="shared" si="33"/>
        <v>1647.02</v>
      </c>
      <c r="O78">
        <f t="shared" si="28"/>
        <v>1664.55</v>
      </c>
      <c r="P78" s="15">
        <f t="shared" si="35"/>
        <v>0.21912499999999965</v>
      </c>
      <c r="S78"/>
      <c r="U78"/>
    </row>
    <row r="79" spans="1:45">
      <c r="A79" s="5" t="s">
        <v>164</v>
      </c>
      <c r="B79" s="25">
        <v>1658.22</v>
      </c>
      <c r="C79" s="18">
        <v>1660.93</v>
      </c>
      <c r="D79" s="5">
        <f t="shared" si="30"/>
        <v>0.27100000000000363</v>
      </c>
      <c r="E79" s="25">
        <v>1656.72</v>
      </c>
      <c r="F79" s="18">
        <v>1661.13</v>
      </c>
      <c r="G79" s="5">
        <f t="shared" si="31"/>
        <v>0.22050000000000408</v>
      </c>
      <c r="H79" s="4">
        <f>hillslope_morph!C73</f>
        <v>1654.58</v>
      </c>
      <c r="I79" s="4">
        <f>1652.55+12</f>
        <v>1664.55</v>
      </c>
      <c r="J79" s="6">
        <f t="shared" si="32"/>
        <v>0.24925000000000069</v>
      </c>
      <c r="K79" s="4">
        <f t="shared" si="34"/>
        <v>1650.66</v>
      </c>
      <c r="L79" s="5">
        <f>O79</f>
        <v>1669.76</v>
      </c>
      <c r="M79" s="6">
        <f t="shared" si="27"/>
        <v>0.23874999999999885</v>
      </c>
      <c r="N79" s="4">
        <f t="shared" si="33"/>
        <v>1650.66</v>
      </c>
      <c r="O79" s="5">
        <f>1657.76+12</f>
        <v>1669.76</v>
      </c>
      <c r="P79" s="6">
        <f t="shared" si="35"/>
        <v>0.23874999999999885</v>
      </c>
      <c r="S79"/>
      <c r="U79"/>
    </row>
    <row r="80" spans="1:45">
      <c r="A80" t="s">
        <v>433</v>
      </c>
      <c r="B80" s="16"/>
      <c r="C80" s="16"/>
      <c r="E80" s="16"/>
      <c r="F80" s="16"/>
      <c r="H80"/>
      <c r="J80"/>
      <c r="K80" s="13">
        <f>K81</f>
        <v>1390.61</v>
      </c>
      <c r="L80">
        <f>K84</f>
        <v>1427.99</v>
      </c>
      <c r="M80" s="15">
        <f t="shared" si="27"/>
        <v>0.46725000000000139</v>
      </c>
      <c r="N80"/>
      <c r="P80"/>
      <c r="S80"/>
      <c r="U80"/>
    </row>
    <row r="81" spans="1:21">
      <c r="A81" s="3" t="s">
        <v>292</v>
      </c>
      <c r="B81"/>
      <c r="E81"/>
      <c r="H81"/>
      <c r="J81"/>
      <c r="K81" s="1">
        <f>channel_morph!F9</f>
        <v>1390.61</v>
      </c>
      <c r="L81">
        <v>1432.03</v>
      </c>
      <c r="M81" s="15">
        <f t="shared" si="27"/>
        <v>0.51775000000000093</v>
      </c>
      <c r="N81"/>
      <c r="P81"/>
      <c r="Q81" s="13"/>
      <c r="S81"/>
      <c r="U81"/>
    </row>
    <row r="82" spans="1:21">
      <c r="A82" s="15" t="s">
        <v>434</v>
      </c>
      <c r="B82"/>
      <c r="E82"/>
      <c r="H82"/>
      <c r="J82"/>
      <c r="K82" s="13">
        <v>1400.9</v>
      </c>
      <c r="L82">
        <v>1433.7</v>
      </c>
      <c r="M82" s="15">
        <f>(L82-K82)/80</f>
        <v>0.40999999999999942</v>
      </c>
      <c r="N82"/>
      <c r="P82"/>
      <c r="Q82" s="13"/>
      <c r="S82"/>
      <c r="U82"/>
    </row>
    <row r="83" spans="1:21">
      <c r="A83" s="15" t="s">
        <v>293</v>
      </c>
      <c r="B83"/>
      <c r="E83"/>
      <c r="H83"/>
      <c r="J83"/>
      <c r="K83" s="13">
        <v>1415.94</v>
      </c>
      <c r="L83">
        <v>1435.41</v>
      </c>
      <c r="M83" s="15">
        <f t="shared" si="27"/>
        <v>0.24337500000000034</v>
      </c>
      <c r="N83"/>
      <c r="P83"/>
      <c r="Q83" s="13"/>
      <c r="S83"/>
      <c r="U83"/>
    </row>
    <row r="84" spans="1:21">
      <c r="A84" s="15" t="s">
        <v>435</v>
      </c>
      <c r="B84"/>
      <c r="E84"/>
      <c r="H84"/>
      <c r="J84"/>
      <c r="K84" s="13">
        <v>1427.99</v>
      </c>
      <c r="L84">
        <f>L85</f>
        <v>1436.17</v>
      </c>
      <c r="M84" s="15">
        <f>(L84-K84)/80</f>
        <v>0.1022500000000008</v>
      </c>
      <c r="N84"/>
      <c r="P84"/>
      <c r="Q84" s="13"/>
      <c r="S84"/>
      <c r="U84"/>
    </row>
    <row r="85" spans="1:21">
      <c r="A85" s="6" t="s">
        <v>294</v>
      </c>
      <c r="B85" s="5"/>
      <c r="C85" s="5"/>
      <c r="D85" s="5"/>
      <c r="E85" s="5"/>
      <c r="F85" s="5"/>
      <c r="G85" s="5"/>
      <c r="H85" s="5"/>
      <c r="I85" s="5"/>
      <c r="J85" s="5"/>
      <c r="K85" s="4">
        <v>1432.03</v>
      </c>
      <c r="L85" s="5">
        <f>channel_morph!I9</f>
        <v>1436.17</v>
      </c>
      <c r="M85" s="6">
        <f t="shared" si="27"/>
        <v>5.1750000000001253E-2</v>
      </c>
      <c r="N85" s="5"/>
      <c r="O85" s="5"/>
      <c r="P85" s="5"/>
      <c r="Q85" s="13"/>
      <c r="S85"/>
      <c r="U85"/>
    </row>
    <row r="86" spans="1:21">
      <c r="A86" s="15" t="s">
        <v>438</v>
      </c>
      <c r="B86"/>
      <c r="E86"/>
      <c r="H86"/>
      <c r="J86"/>
      <c r="K86" s="13">
        <f>K87</f>
        <v>1440.99</v>
      </c>
      <c r="L86">
        <f>K90</f>
        <v>1450.92</v>
      </c>
      <c r="M86" s="15">
        <f t="shared" si="27"/>
        <v>0.12412500000000079</v>
      </c>
      <c r="N86"/>
      <c r="P86"/>
      <c r="Q86" s="13"/>
      <c r="S86"/>
      <c r="U86"/>
    </row>
    <row r="87" spans="1:21">
      <c r="A87" s="15" t="s">
        <v>296</v>
      </c>
      <c r="B87"/>
      <c r="E87"/>
      <c r="H87"/>
      <c r="J87"/>
      <c r="K87" s="13">
        <f>channel_morph!F10</f>
        <v>1440.99</v>
      </c>
      <c r="L87">
        <v>1460.3</v>
      </c>
      <c r="M87" s="15">
        <f t="shared" si="27"/>
        <v>0.24137499999999931</v>
      </c>
      <c r="N87"/>
      <c r="P87"/>
      <c r="Q87" s="13"/>
      <c r="S87"/>
      <c r="U87"/>
    </row>
    <row r="88" spans="1:21">
      <c r="A88" s="15" t="s">
        <v>439</v>
      </c>
      <c r="B88"/>
      <c r="E88"/>
      <c r="H88"/>
      <c r="J88"/>
      <c r="K88" s="13">
        <v>1433.25</v>
      </c>
      <c r="L88">
        <f>K92</f>
        <v>1465.41</v>
      </c>
      <c r="M88" s="15">
        <f t="shared" si="27"/>
        <v>0.40200000000000102</v>
      </c>
      <c r="N88"/>
      <c r="P88"/>
      <c r="Q88" s="13"/>
      <c r="S88"/>
      <c r="U88"/>
    </row>
    <row r="89" spans="1:21">
      <c r="A89" s="15" t="s">
        <v>295</v>
      </c>
      <c r="B89"/>
      <c r="E89"/>
      <c r="H89"/>
      <c r="J89"/>
      <c r="K89" s="13">
        <v>1441.26</v>
      </c>
      <c r="L89">
        <v>1475.78</v>
      </c>
      <c r="M89" s="15">
        <f t="shared" si="27"/>
        <v>0.43149999999999977</v>
      </c>
      <c r="N89"/>
      <c r="P89"/>
      <c r="Q89" s="13"/>
      <c r="S89"/>
      <c r="U89"/>
    </row>
    <row r="90" spans="1:21">
      <c r="A90" s="15" t="s">
        <v>440</v>
      </c>
      <c r="B90"/>
      <c r="E90"/>
      <c r="H90"/>
      <c r="J90"/>
      <c r="K90" s="13">
        <v>1450.92</v>
      </c>
      <c r="L90">
        <f>K94</f>
        <v>1490.43</v>
      </c>
      <c r="M90" s="15">
        <f t="shared" si="27"/>
        <v>0.4938749999999999</v>
      </c>
      <c r="N90"/>
      <c r="P90"/>
      <c r="Q90" s="13"/>
      <c r="S90"/>
      <c r="U90"/>
    </row>
    <row r="91" spans="1:21">
      <c r="A91" s="15" t="s">
        <v>297</v>
      </c>
      <c r="B91"/>
      <c r="E91"/>
      <c r="H91"/>
      <c r="J91"/>
      <c r="K91" s="13">
        <f>L87</f>
        <v>1460.3</v>
      </c>
      <c r="L91">
        <v>1505.63</v>
      </c>
      <c r="M91" s="15">
        <f t="shared" si="27"/>
        <v>0.56662500000000193</v>
      </c>
      <c r="N91"/>
      <c r="P91"/>
      <c r="Q91" s="13"/>
      <c r="S91"/>
      <c r="U91"/>
    </row>
    <row r="92" spans="1:21">
      <c r="A92" s="15" t="s">
        <v>441</v>
      </c>
      <c r="B92"/>
      <c r="E92"/>
      <c r="H92"/>
      <c r="J92"/>
      <c r="K92" s="13">
        <v>1465.41</v>
      </c>
      <c r="L92">
        <f>K96</f>
        <v>1518.58</v>
      </c>
      <c r="M92" s="15">
        <f t="shared" si="27"/>
        <v>0.66462499999999802</v>
      </c>
      <c r="N92"/>
      <c r="P92"/>
      <c r="Q92" s="13"/>
      <c r="S92"/>
      <c r="U92"/>
    </row>
    <row r="93" spans="1:21">
      <c r="A93" s="15" t="s">
        <v>298</v>
      </c>
      <c r="B93"/>
      <c r="E93"/>
      <c r="H93"/>
      <c r="J93"/>
      <c r="K93" s="13">
        <f>L89</f>
        <v>1475.78</v>
      </c>
      <c r="L93">
        <v>1532.39</v>
      </c>
      <c r="M93" s="15">
        <f t="shared" si="27"/>
        <v>0.70762500000000161</v>
      </c>
      <c r="N93"/>
      <c r="P93"/>
      <c r="Q93" s="13"/>
      <c r="S93"/>
      <c r="U93"/>
    </row>
    <row r="94" spans="1:21">
      <c r="A94" s="15" t="s">
        <v>442</v>
      </c>
      <c r="B94"/>
      <c r="E94"/>
      <c r="H94"/>
      <c r="J94"/>
      <c r="K94" s="13">
        <v>1490.43</v>
      </c>
      <c r="L94">
        <f>K98</f>
        <v>1549.76</v>
      </c>
      <c r="M94" s="15">
        <f t="shared" si="27"/>
        <v>0.74162499999999909</v>
      </c>
      <c r="N94"/>
      <c r="P94"/>
      <c r="Q94" s="13"/>
      <c r="S94"/>
      <c r="U94"/>
    </row>
    <row r="95" spans="1:21">
      <c r="A95" s="15" t="s">
        <v>299</v>
      </c>
      <c r="B95"/>
      <c r="E95"/>
      <c r="H95"/>
      <c r="J95"/>
      <c r="K95" s="13">
        <f>L91</f>
        <v>1505.63</v>
      </c>
      <c r="L95">
        <v>1565.75</v>
      </c>
      <c r="M95" s="15">
        <f t="shared" si="27"/>
        <v>0.75149999999999861</v>
      </c>
      <c r="N95"/>
      <c r="P95"/>
      <c r="Q95" s="13"/>
      <c r="S95"/>
      <c r="U95"/>
    </row>
    <row r="96" spans="1:21">
      <c r="A96" s="15" t="s">
        <v>443</v>
      </c>
      <c r="B96"/>
      <c r="E96"/>
      <c r="H96"/>
      <c r="J96"/>
      <c r="K96" s="13">
        <v>1518.58</v>
      </c>
      <c r="L96">
        <v>1573.16</v>
      </c>
      <c r="M96" s="15">
        <f t="shared" si="27"/>
        <v>0.68225000000000191</v>
      </c>
      <c r="N96"/>
      <c r="P96"/>
      <c r="Q96" s="13"/>
      <c r="S96"/>
      <c r="U96"/>
    </row>
    <row r="97" spans="1:21">
      <c r="A97" s="15" t="s">
        <v>300</v>
      </c>
      <c r="B97"/>
      <c r="E97"/>
      <c r="H97"/>
      <c r="J97"/>
      <c r="K97" s="13">
        <f t="shared" ref="K97" si="36">L93</f>
        <v>1532.39</v>
      </c>
      <c r="L97">
        <f>channel_morph!I10</f>
        <v>1574.19</v>
      </c>
      <c r="M97" s="15">
        <f t="shared" si="27"/>
        <v>0.52249999999999941</v>
      </c>
      <c r="N97" s="5"/>
      <c r="O97" s="5"/>
      <c r="P97" s="5"/>
      <c r="Q97" s="13"/>
      <c r="S97"/>
      <c r="U97"/>
    </row>
    <row r="98" spans="1:21">
      <c r="A98" s="5" t="s">
        <v>522</v>
      </c>
      <c r="B98" s="5"/>
      <c r="C98" s="5"/>
      <c r="D98" s="5"/>
      <c r="E98" s="5"/>
      <c r="F98" s="5"/>
      <c r="G98" s="5"/>
      <c r="H98" s="5"/>
      <c r="I98" s="5"/>
      <c r="J98" s="5"/>
      <c r="K98" s="4">
        <v>1549.76</v>
      </c>
      <c r="L98" s="5">
        <f>L97</f>
        <v>1574.19</v>
      </c>
      <c r="M98" s="15">
        <f t="shared" si="27"/>
        <v>0.30537500000000078</v>
      </c>
      <c r="N98"/>
      <c r="P98"/>
      <c r="Q98" s="13"/>
      <c r="S98"/>
      <c r="U98"/>
    </row>
    <row r="99" spans="1:21">
      <c r="A99" s="15" t="s">
        <v>444</v>
      </c>
      <c r="B99"/>
      <c r="E99"/>
      <c r="H99"/>
      <c r="J99"/>
      <c r="K99" s="13">
        <f>K100</f>
        <v>1509.91</v>
      </c>
      <c r="L99">
        <f t="shared" ref="L99:L111" si="37">K103</f>
        <v>1536.77</v>
      </c>
      <c r="M99" s="15">
        <f t="shared" si="27"/>
        <v>0.33574999999999877</v>
      </c>
      <c r="N99"/>
      <c r="P99"/>
      <c r="Q99" s="13"/>
      <c r="S99"/>
      <c r="U99"/>
    </row>
    <row r="100" spans="1:21">
      <c r="A100" s="15" t="s">
        <v>301</v>
      </c>
      <c r="B100"/>
      <c r="E100"/>
      <c r="H100"/>
      <c r="J100"/>
      <c r="K100" s="1">
        <f>channel_morph!F11</f>
        <v>1509.91</v>
      </c>
      <c r="L100">
        <f t="shared" si="37"/>
        <v>1555</v>
      </c>
      <c r="M100" s="15">
        <f t="shared" si="27"/>
        <v>0.56362499999999893</v>
      </c>
      <c r="N100"/>
      <c r="P100"/>
      <c r="Q100" s="13"/>
      <c r="S100"/>
      <c r="U100"/>
    </row>
    <row r="101" spans="1:21">
      <c r="A101" s="15" t="s">
        <v>445</v>
      </c>
      <c r="B101"/>
      <c r="E101"/>
      <c r="H101"/>
      <c r="J101"/>
      <c r="K101" s="13">
        <v>1514.05</v>
      </c>
      <c r="L101">
        <f t="shared" si="37"/>
        <v>1565.04</v>
      </c>
      <c r="M101" s="15">
        <f t="shared" si="27"/>
        <v>0.63737500000000014</v>
      </c>
      <c r="N101"/>
      <c r="P101"/>
      <c r="Q101" s="13"/>
      <c r="S101"/>
      <c r="U101"/>
    </row>
    <row r="102" spans="1:21">
      <c r="A102" s="15" t="s">
        <v>302</v>
      </c>
      <c r="B102"/>
      <c r="E102"/>
      <c r="H102"/>
      <c r="J102"/>
      <c r="K102" s="13">
        <v>1524.12</v>
      </c>
      <c r="L102">
        <f t="shared" si="37"/>
        <v>1574.98</v>
      </c>
      <c r="M102" s="15">
        <f t="shared" si="27"/>
        <v>0.63575000000000159</v>
      </c>
      <c r="N102"/>
      <c r="P102"/>
      <c r="Q102" s="13"/>
      <c r="S102"/>
      <c r="U102"/>
    </row>
    <row r="103" spans="1:21">
      <c r="A103" s="15" t="s">
        <v>446</v>
      </c>
      <c r="B103"/>
      <c r="E103"/>
      <c r="H103"/>
      <c r="J103"/>
      <c r="K103" s="13">
        <v>1536.77</v>
      </c>
      <c r="L103">
        <f t="shared" si="37"/>
        <v>1583.54</v>
      </c>
      <c r="M103" s="15">
        <f t="shared" si="27"/>
        <v>0.58462499999999973</v>
      </c>
      <c r="N103"/>
      <c r="P103"/>
      <c r="Q103" s="13"/>
      <c r="S103"/>
      <c r="U103"/>
    </row>
    <row r="104" spans="1:21">
      <c r="A104" s="15" t="s">
        <v>303</v>
      </c>
      <c r="B104"/>
      <c r="E104"/>
      <c r="H104"/>
      <c r="J104"/>
      <c r="K104" s="13">
        <v>1555</v>
      </c>
      <c r="L104">
        <f t="shared" si="37"/>
        <v>1590.75</v>
      </c>
      <c r="M104" s="15">
        <f t="shared" si="27"/>
        <v>0.44687500000000002</v>
      </c>
      <c r="N104"/>
      <c r="P104"/>
      <c r="Q104" s="13"/>
      <c r="S104"/>
      <c r="U104"/>
    </row>
    <row r="105" spans="1:21">
      <c r="A105" s="15" t="s">
        <v>447</v>
      </c>
      <c r="B105"/>
      <c r="E105"/>
      <c r="H105"/>
      <c r="J105"/>
      <c r="K105" s="13">
        <v>1565.04</v>
      </c>
      <c r="L105">
        <f t="shared" si="37"/>
        <v>1595.87</v>
      </c>
      <c r="M105" s="15">
        <f t="shared" si="27"/>
        <v>0.38537499999999908</v>
      </c>
      <c r="N105"/>
      <c r="P105"/>
      <c r="Q105" s="13"/>
      <c r="S105"/>
      <c r="U105"/>
    </row>
    <row r="106" spans="1:21">
      <c r="A106" s="15" t="s">
        <v>304</v>
      </c>
      <c r="B106"/>
      <c r="E106"/>
      <c r="H106"/>
      <c r="J106"/>
      <c r="K106" s="13">
        <v>1574.98</v>
      </c>
      <c r="L106">
        <f t="shared" si="37"/>
        <v>1602.08</v>
      </c>
      <c r="M106" s="15">
        <f t="shared" si="27"/>
        <v>0.33874999999999889</v>
      </c>
      <c r="N106"/>
      <c r="P106"/>
      <c r="Q106" s="13"/>
      <c r="S106"/>
      <c r="U106"/>
    </row>
    <row r="107" spans="1:21">
      <c r="A107" s="15" t="s">
        <v>448</v>
      </c>
      <c r="B107"/>
      <c r="E107"/>
      <c r="H107"/>
      <c r="J107"/>
      <c r="K107" s="13">
        <v>1583.54</v>
      </c>
      <c r="L107">
        <f t="shared" si="37"/>
        <v>1606.61</v>
      </c>
      <c r="M107" s="15">
        <f t="shared" si="27"/>
        <v>0.28837499999999922</v>
      </c>
      <c r="N107"/>
      <c r="P107"/>
      <c r="Q107" s="13"/>
      <c r="S107"/>
      <c r="U107"/>
    </row>
    <row r="108" spans="1:21">
      <c r="A108" s="15" t="s">
        <v>305</v>
      </c>
      <c r="B108"/>
      <c r="E108"/>
      <c r="H108"/>
      <c r="J108"/>
      <c r="K108" s="13">
        <v>1590.75</v>
      </c>
      <c r="L108">
        <f t="shared" si="37"/>
        <v>1610.12</v>
      </c>
      <c r="M108" s="15">
        <f t="shared" si="27"/>
        <v>0.24212499999999865</v>
      </c>
      <c r="N108"/>
      <c r="P108"/>
      <c r="Q108" s="13"/>
      <c r="S108"/>
      <c r="U108"/>
    </row>
    <row r="109" spans="1:21">
      <c r="A109" s="15" t="s">
        <v>449</v>
      </c>
      <c r="B109"/>
      <c r="E109"/>
      <c r="H109"/>
      <c r="J109"/>
      <c r="K109" s="13">
        <v>1595.87</v>
      </c>
      <c r="L109">
        <f t="shared" si="37"/>
        <v>1614.09</v>
      </c>
      <c r="M109" s="15">
        <f t="shared" si="27"/>
        <v>0.22775000000000034</v>
      </c>
      <c r="N109"/>
      <c r="P109"/>
      <c r="Q109" s="13"/>
      <c r="S109"/>
      <c r="U109"/>
    </row>
    <row r="110" spans="1:21">
      <c r="A110" s="15" t="s">
        <v>306</v>
      </c>
      <c r="B110"/>
      <c r="E110"/>
      <c r="H110"/>
      <c r="J110"/>
      <c r="K110" s="13">
        <v>1602.08</v>
      </c>
      <c r="L110">
        <f t="shared" si="37"/>
        <v>1618.03</v>
      </c>
      <c r="M110" s="15">
        <f t="shared" si="27"/>
        <v>0.19937500000000058</v>
      </c>
      <c r="N110"/>
      <c r="P110"/>
      <c r="Q110" s="13"/>
      <c r="S110"/>
      <c r="U110"/>
    </row>
    <row r="111" spans="1:21">
      <c r="A111" s="15" t="s">
        <v>450</v>
      </c>
      <c r="B111"/>
      <c r="E111"/>
      <c r="H111"/>
      <c r="J111"/>
      <c r="K111" s="13">
        <v>1606.61</v>
      </c>
      <c r="L111">
        <f t="shared" si="37"/>
        <v>1621.17</v>
      </c>
      <c r="M111" s="15">
        <f t="shared" si="27"/>
        <v>0.18200000000000216</v>
      </c>
      <c r="N111"/>
      <c r="P111"/>
      <c r="Q111" s="13"/>
      <c r="S111"/>
      <c r="U111"/>
    </row>
    <row r="112" spans="1:21">
      <c r="A112" s="15" t="s">
        <v>307</v>
      </c>
      <c r="B112"/>
      <c r="E112"/>
      <c r="H112"/>
      <c r="J112"/>
      <c r="K112" s="13">
        <v>1610.12</v>
      </c>
      <c r="L112">
        <f t="shared" ref="L112" si="38">K116</f>
        <v>1623.56</v>
      </c>
      <c r="M112" s="15">
        <f t="shared" si="27"/>
        <v>0.16800000000000068</v>
      </c>
      <c r="N112"/>
      <c r="P112"/>
      <c r="Q112" s="13"/>
      <c r="S112"/>
      <c r="U112"/>
    </row>
    <row r="113" spans="1:21">
      <c r="A113" s="15" t="s">
        <v>451</v>
      </c>
      <c r="B113"/>
      <c r="E113"/>
      <c r="H113"/>
      <c r="J113"/>
      <c r="K113" s="13">
        <v>1614.09</v>
      </c>
      <c r="L113">
        <v>1625.97</v>
      </c>
      <c r="M113" s="15">
        <f t="shared" si="27"/>
        <v>0.14850000000000135</v>
      </c>
      <c r="N113"/>
      <c r="P113"/>
      <c r="Q113" s="13"/>
      <c r="S113"/>
      <c r="U113"/>
    </row>
    <row r="114" spans="1:21">
      <c r="A114" s="15" t="s">
        <v>308</v>
      </c>
      <c r="B114"/>
      <c r="E114"/>
      <c r="H114"/>
      <c r="J114"/>
      <c r="K114" s="13">
        <v>1618.03</v>
      </c>
      <c r="L114">
        <v>1627.94</v>
      </c>
      <c r="M114" s="15">
        <f t="shared" si="27"/>
        <v>0.12387500000000103</v>
      </c>
      <c r="N114"/>
      <c r="P114"/>
      <c r="Q114" s="13"/>
      <c r="S114"/>
      <c r="U114"/>
    </row>
    <row r="115" spans="1:21">
      <c r="A115" s="15" t="s">
        <v>452</v>
      </c>
      <c r="B115"/>
      <c r="E115"/>
      <c r="H115"/>
      <c r="J115"/>
      <c r="K115" s="13">
        <v>1621.17</v>
      </c>
      <c r="L115">
        <v>1629.56</v>
      </c>
      <c r="M115" s="15">
        <f t="shared" si="27"/>
        <v>0.10487499999999841</v>
      </c>
      <c r="N115"/>
      <c r="P115"/>
      <c r="Q115" s="13"/>
      <c r="S115"/>
      <c r="U115"/>
    </row>
    <row r="116" spans="1:21">
      <c r="A116" s="15" t="s">
        <v>309</v>
      </c>
      <c r="B116"/>
      <c r="E116"/>
      <c r="H116"/>
      <c r="J116"/>
      <c r="K116" s="13">
        <v>1623.56</v>
      </c>
      <c r="L116">
        <f>channel_morph!I11</f>
        <v>1631.67</v>
      </c>
      <c r="M116" s="15">
        <f t="shared" si="27"/>
        <v>0.10137500000000159</v>
      </c>
      <c r="N116" s="5"/>
      <c r="O116" s="5"/>
      <c r="P116" s="5"/>
      <c r="Q116" s="13"/>
      <c r="S116"/>
      <c r="U116"/>
    </row>
    <row r="117" spans="1:21">
      <c r="A117" s="5" t="s">
        <v>523</v>
      </c>
      <c r="B117" s="5"/>
      <c r="C117" s="5"/>
      <c r="D117" s="5"/>
      <c r="E117" s="5"/>
      <c r="F117" s="5"/>
      <c r="G117" s="5"/>
      <c r="H117" s="5"/>
      <c r="I117" s="5"/>
      <c r="J117" s="5"/>
      <c r="K117" s="4">
        <f>L113</f>
        <v>1625.97</v>
      </c>
      <c r="L117" s="5">
        <f>L116</f>
        <v>1631.67</v>
      </c>
      <c r="M117" s="15">
        <f t="shared" si="27"/>
        <v>7.1250000000000563E-2</v>
      </c>
      <c r="N117"/>
      <c r="P117"/>
      <c r="Q117" s="13"/>
      <c r="S117"/>
      <c r="U117"/>
    </row>
    <row r="118" spans="1:21">
      <c r="A118" s="15" t="s">
        <v>453</v>
      </c>
      <c r="B118"/>
      <c r="E118"/>
      <c r="H118"/>
      <c r="J118"/>
      <c r="K118" s="13">
        <f>K119</f>
        <v>1544.59</v>
      </c>
      <c r="L118">
        <f t="shared" ref="L118:L130" si="39">K122</f>
        <v>1559.62</v>
      </c>
      <c r="M118" s="15">
        <f t="shared" si="27"/>
        <v>0.18787499999999965</v>
      </c>
      <c r="N118"/>
      <c r="P118"/>
      <c r="Q118" s="13"/>
      <c r="S118"/>
      <c r="U118"/>
    </row>
    <row r="119" spans="1:21">
      <c r="A119" s="15" t="s">
        <v>312</v>
      </c>
      <c r="B119"/>
      <c r="E119"/>
      <c r="H119"/>
      <c r="J119"/>
      <c r="K119" s="13">
        <f>channel_morph!F12</f>
        <v>1544.59</v>
      </c>
      <c r="L119">
        <f t="shared" si="39"/>
        <v>1566.26</v>
      </c>
      <c r="M119" s="15">
        <f t="shared" si="27"/>
        <v>0.27087500000000092</v>
      </c>
      <c r="N119"/>
      <c r="P119"/>
      <c r="Q119" s="13"/>
      <c r="S119"/>
      <c r="U119"/>
    </row>
    <row r="120" spans="1:21">
      <c r="A120" s="15" t="s">
        <v>454</v>
      </c>
      <c r="B120"/>
      <c r="E120"/>
      <c r="H120"/>
      <c r="J120"/>
      <c r="K120" s="13">
        <v>1544.25</v>
      </c>
      <c r="L120">
        <f t="shared" si="39"/>
        <v>1571.57</v>
      </c>
      <c r="M120" s="15">
        <f t="shared" si="27"/>
        <v>0.34149999999999919</v>
      </c>
      <c r="N120"/>
      <c r="P120"/>
      <c r="Q120" s="13"/>
      <c r="S120"/>
      <c r="U120"/>
    </row>
    <row r="121" spans="1:21">
      <c r="A121" s="15" t="s">
        <v>310</v>
      </c>
      <c r="B121"/>
      <c r="E121"/>
      <c r="H121"/>
      <c r="J121"/>
      <c r="K121" s="13">
        <v>1551.91</v>
      </c>
      <c r="L121">
        <f t="shared" si="39"/>
        <v>1575.11</v>
      </c>
      <c r="M121" s="15">
        <f t="shared" si="27"/>
        <v>0.2899999999999977</v>
      </c>
      <c r="N121"/>
      <c r="P121"/>
      <c r="Q121" s="13"/>
      <c r="S121"/>
      <c r="U121"/>
    </row>
    <row r="122" spans="1:21">
      <c r="A122" s="15" t="s">
        <v>455</v>
      </c>
      <c r="B122"/>
      <c r="E122"/>
      <c r="H122"/>
      <c r="J122"/>
      <c r="K122" s="13">
        <v>1559.62</v>
      </c>
      <c r="L122">
        <f t="shared" si="39"/>
        <v>1577.4</v>
      </c>
      <c r="M122" s="15">
        <f t="shared" si="27"/>
        <v>0.2222500000000025</v>
      </c>
      <c r="N122"/>
      <c r="P122"/>
      <c r="Q122" s="13"/>
      <c r="S122"/>
      <c r="U122"/>
    </row>
    <row r="123" spans="1:21">
      <c r="A123" s="15" t="s">
        <v>311</v>
      </c>
      <c r="B123"/>
      <c r="E123"/>
      <c r="H123"/>
      <c r="J123"/>
      <c r="K123" s="13">
        <v>1566.26</v>
      </c>
      <c r="L123">
        <f t="shared" si="39"/>
        <v>1579.01</v>
      </c>
      <c r="M123" s="15">
        <f t="shared" si="27"/>
        <v>0.15937499999999999</v>
      </c>
      <c r="N123"/>
      <c r="P123"/>
      <c r="Q123" s="13"/>
      <c r="S123"/>
      <c r="U123"/>
    </row>
    <row r="124" spans="1:21">
      <c r="A124" s="15" t="s">
        <v>456</v>
      </c>
      <c r="B124"/>
      <c r="E124"/>
      <c r="H124"/>
      <c r="J124"/>
      <c r="K124" s="13">
        <v>1571.57</v>
      </c>
      <c r="L124">
        <f t="shared" si="39"/>
        <v>1581.15</v>
      </c>
      <c r="M124" s="15">
        <f t="shared" si="27"/>
        <v>0.11975000000000194</v>
      </c>
      <c r="N124"/>
      <c r="P124"/>
      <c r="Q124" s="13"/>
      <c r="S124"/>
      <c r="U124"/>
    </row>
    <row r="125" spans="1:21">
      <c r="A125" s="15" t="s">
        <v>313</v>
      </c>
      <c r="B125"/>
      <c r="E125"/>
      <c r="H125"/>
      <c r="J125"/>
      <c r="K125" s="13">
        <v>1575.11</v>
      </c>
      <c r="L125">
        <f t="shared" si="39"/>
        <v>1582.76</v>
      </c>
      <c r="M125" s="15">
        <f t="shared" si="27"/>
        <v>9.562500000000114E-2</v>
      </c>
      <c r="N125"/>
      <c r="P125"/>
      <c r="Q125" s="13"/>
      <c r="S125"/>
      <c r="U125"/>
    </row>
    <row r="126" spans="1:21">
      <c r="A126" s="15" t="s">
        <v>457</v>
      </c>
      <c r="B126"/>
      <c r="E126"/>
      <c r="H126"/>
      <c r="J126"/>
      <c r="K126" s="13">
        <v>1577.4</v>
      </c>
      <c r="L126">
        <f t="shared" si="39"/>
        <v>1584.32</v>
      </c>
      <c r="M126" s="15">
        <f t="shared" si="27"/>
        <v>8.6499999999998065E-2</v>
      </c>
      <c r="N126"/>
      <c r="P126"/>
      <c r="Q126" s="13"/>
      <c r="S126"/>
      <c r="U126"/>
    </row>
    <row r="127" spans="1:21">
      <c r="A127" s="15" t="s">
        <v>314</v>
      </c>
      <c r="B127"/>
      <c r="E127"/>
      <c r="H127"/>
      <c r="J127"/>
      <c r="K127" s="13">
        <v>1579.01</v>
      </c>
      <c r="L127">
        <f t="shared" si="39"/>
        <v>1586.1</v>
      </c>
      <c r="M127" s="15">
        <f t="shared" si="27"/>
        <v>8.8624999999998982E-2</v>
      </c>
      <c r="N127"/>
      <c r="P127"/>
      <c r="Q127" s="13"/>
      <c r="S127"/>
      <c r="U127"/>
    </row>
    <row r="128" spans="1:21">
      <c r="A128" s="15" t="s">
        <v>458</v>
      </c>
      <c r="B128"/>
      <c r="E128"/>
      <c r="H128"/>
      <c r="J128"/>
      <c r="K128" s="13">
        <v>1581.15</v>
      </c>
      <c r="L128">
        <f t="shared" si="39"/>
        <v>1589.22</v>
      </c>
      <c r="M128" s="15">
        <f t="shared" si="27"/>
        <v>0.1008749999999992</v>
      </c>
      <c r="N128"/>
      <c r="P128"/>
      <c r="Q128" s="13"/>
      <c r="S128"/>
      <c r="U128"/>
    </row>
    <row r="129" spans="1:21">
      <c r="A129" s="15" t="s">
        <v>315</v>
      </c>
      <c r="B129"/>
      <c r="E129"/>
      <c r="H129"/>
      <c r="J129"/>
      <c r="K129" s="13">
        <v>1582.76</v>
      </c>
      <c r="L129">
        <f t="shared" si="39"/>
        <v>1594.4</v>
      </c>
      <c r="M129" s="15">
        <f t="shared" si="27"/>
        <v>0.14550000000000124</v>
      </c>
      <c r="N129"/>
      <c r="P129"/>
      <c r="Q129" s="13"/>
      <c r="S129"/>
      <c r="U129"/>
    </row>
    <row r="130" spans="1:21">
      <c r="A130" s="15" t="s">
        <v>459</v>
      </c>
      <c r="B130"/>
      <c r="E130"/>
      <c r="H130"/>
      <c r="J130"/>
      <c r="K130" s="13">
        <v>1584.32</v>
      </c>
      <c r="L130">
        <f t="shared" si="39"/>
        <v>1598.53</v>
      </c>
      <c r="M130" s="15">
        <f t="shared" si="27"/>
        <v>0.17762500000000045</v>
      </c>
      <c r="N130"/>
      <c r="P130"/>
      <c r="Q130" s="13"/>
      <c r="S130"/>
      <c r="U130"/>
    </row>
    <row r="131" spans="1:21">
      <c r="A131" s="15" t="s">
        <v>316</v>
      </c>
      <c r="B131"/>
      <c r="E131"/>
      <c r="H131"/>
      <c r="J131"/>
      <c r="K131" s="13">
        <v>1586.1</v>
      </c>
      <c r="L131">
        <f t="shared" ref="L131" si="40">K135</f>
        <v>1604.06</v>
      </c>
      <c r="M131" s="15">
        <f t="shared" si="27"/>
        <v>0.22450000000000045</v>
      </c>
      <c r="N131"/>
      <c r="P131"/>
      <c r="Q131" s="13"/>
      <c r="S131"/>
      <c r="U131"/>
    </row>
    <row r="132" spans="1:21">
      <c r="A132" s="15" t="s">
        <v>460</v>
      </c>
      <c r="B132"/>
      <c r="E132"/>
      <c r="H132"/>
      <c r="J132"/>
      <c r="K132" s="13">
        <v>1589.22</v>
      </c>
      <c r="L132">
        <f>K136</f>
        <v>1608.71</v>
      </c>
      <c r="M132" s="15">
        <f t="shared" si="27"/>
        <v>0.24362500000000012</v>
      </c>
      <c r="N132"/>
      <c r="P132"/>
      <c r="Q132" s="13"/>
      <c r="S132"/>
      <c r="U132"/>
    </row>
    <row r="133" spans="1:21">
      <c r="A133" s="15" t="s">
        <v>317</v>
      </c>
      <c r="B133"/>
      <c r="E133"/>
      <c r="H133"/>
      <c r="J133"/>
      <c r="K133" s="13">
        <v>1594.4</v>
      </c>
      <c r="L133">
        <f>K137</f>
        <v>1612.67</v>
      </c>
      <c r="M133" s="15">
        <f t="shared" si="27"/>
        <v>0.22837499999999977</v>
      </c>
      <c r="N133"/>
      <c r="P133"/>
      <c r="Q133" s="13"/>
      <c r="S133"/>
      <c r="U133"/>
    </row>
    <row r="134" spans="1:21">
      <c r="A134" s="15" t="s">
        <v>461</v>
      </c>
      <c r="B134"/>
      <c r="E134"/>
      <c r="H134"/>
      <c r="J134"/>
      <c r="K134" s="13">
        <v>1598.53</v>
      </c>
      <c r="L134">
        <f>K138</f>
        <v>1617.34</v>
      </c>
      <c r="M134" s="15">
        <f t="shared" si="27"/>
        <v>0.23512499999999931</v>
      </c>
      <c r="N134"/>
      <c r="P134"/>
      <c r="Q134" s="13"/>
      <c r="S134"/>
      <c r="U134"/>
    </row>
    <row r="135" spans="1:21">
      <c r="A135" s="15" t="s">
        <v>318</v>
      </c>
      <c r="B135"/>
      <c r="E135"/>
      <c r="H135"/>
      <c r="J135"/>
      <c r="K135" s="13">
        <v>1604.06</v>
      </c>
      <c r="L135">
        <f>K139</f>
        <v>1622.65</v>
      </c>
      <c r="M135" s="15">
        <f t="shared" si="27"/>
        <v>0.23237500000000183</v>
      </c>
      <c r="N135"/>
      <c r="P135"/>
      <c r="Q135" s="13"/>
      <c r="S135"/>
      <c r="U135"/>
    </row>
    <row r="136" spans="1:21">
      <c r="A136" s="15" t="s">
        <v>462</v>
      </c>
      <c r="B136"/>
      <c r="E136"/>
      <c r="H136"/>
      <c r="J136"/>
      <c r="K136" s="13">
        <v>1608.71</v>
      </c>
      <c r="L136">
        <f>K140</f>
        <v>1626.87</v>
      </c>
      <c r="M136" s="15">
        <f t="shared" si="27"/>
        <v>0.22699999999999818</v>
      </c>
      <c r="N136"/>
      <c r="P136"/>
      <c r="S136"/>
      <c r="U136"/>
    </row>
    <row r="137" spans="1:21">
      <c r="A137" s="15" t="s">
        <v>324</v>
      </c>
      <c r="B137"/>
      <c r="E137"/>
      <c r="H137"/>
      <c r="K137" s="13">
        <v>1612.67</v>
      </c>
      <c r="L137">
        <f t="shared" ref="L137" si="41">K141</f>
        <v>1630.13</v>
      </c>
      <c r="M137" s="15">
        <f t="shared" si="27"/>
        <v>0.21825000000000044</v>
      </c>
      <c r="N137"/>
      <c r="S137"/>
      <c r="U137"/>
    </row>
    <row r="138" spans="1:21">
      <c r="A138" s="15" t="s">
        <v>463</v>
      </c>
      <c r="B138"/>
      <c r="E138"/>
      <c r="H138"/>
      <c r="K138" s="13">
        <v>1617.34</v>
      </c>
      <c r="L138">
        <v>1633.94</v>
      </c>
      <c r="M138" s="15">
        <f t="shared" si="27"/>
        <v>0.20750000000000171</v>
      </c>
      <c r="N138"/>
      <c r="S138"/>
      <c r="U138"/>
    </row>
    <row r="139" spans="1:21">
      <c r="A139" s="15" t="s">
        <v>325</v>
      </c>
      <c r="B139"/>
      <c r="E139"/>
      <c r="H139"/>
      <c r="K139" s="13">
        <v>1622.65</v>
      </c>
      <c r="L139">
        <v>1636.46</v>
      </c>
      <c r="M139" s="15">
        <f t="shared" si="27"/>
        <v>0.17262499999999931</v>
      </c>
      <c r="N139"/>
      <c r="S139"/>
      <c r="U139"/>
    </row>
    <row r="140" spans="1:21">
      <c r="A140" s="15" t="s">
        <v>464</v>
      </c>
      <c r="B140"/>
      <c r="E140"/>
      <c r="H140"/>
      <c r="K140" s="13">
        <v>1626.87</v>
      </c>
      <c r="L140">
        <v>1637.28</v>
      </c>
      <c r="M140" s="15">
        <f t="shared" si="27"/>
        <v>0.13012500000000102</v>
      </c>
      <c r="N140"/>
      <c r="S140"/>
      <c r="U140"/>
    </row>
    <row r="141" spans="1:21">
      <c r="A141" s="6" t="s">
        <v>326</v>
      </c>
      <c r="B141" s="5"/>
      <c r="C141" s="5"/>
      <c r="D141" s="5"/>
      <c r="E141" s="5"/>
      <c r="F141" s="5"/>
      <c r="G141" s="5"/>
      <c r="H141" s="5"/>
      <c r="I141" s="5"/>
      <c r="J141" s="6"/>
      <c r="K141" s="4">
        <v>1630.13</v>
      </c>
      <c r="L141" s="5">
        <f>channel_morph!I12</f>
        <v>1637.28</v>
      </c>
      <c r="M141" s="15">
        <f t="shared" si="27"/>
        <v>8.9374999999998289E-2</v>
      </c>
      <c r="N141" s="5"/>
      <c r="O141" s="5"/>
      <c r="P141" s="6"/>
      <c r="S141"/>
      <c r="U141"/>
    </row>
    <row r="142" spans="1:21">
      <c r="A142" s="15" t="s">
        <v>465</v>
      </c>
      <c r="B142"/>
      <c r="E142"/>
      <c r="H142"/>
      <c r="J142"/>
      <c r="K142" s="13">
        <f>K143</f>
        <v>1561.42</v>
      </c>
      <c r="L142">
        <f t="shared" ref="L142:L158" si="42">K146</f>
        <v>1582.15</v>
      </c>
      <c r="M142" s="15">
        <f t="shared" ref="M142:M205" si="43">(L142-K142)/80</f>
        <v>0.25912500000000022</v>
      </c>
      <c r="N142"/>
      <c r="P142"/>
      <c r="S142"/>
      <c r="U142"/>
    </row>
    <row r="143" spans="1:21">
      <c r="A143" s="15" t="s">
        <v>327</v>
      </c>
      <c r="B143"/>
      <c r="E143"/>
      <c r="H143"/>
      <c r="J143"/>
      <c r="K143" s="13">
        <v>1561.42</v>
      </c>
      <c r="L143">
        <f t="shared" si="42"/>
        <v>1590.48</v>
      </c>
      <c r="M143" s="15">
        <f t="shared" si="43"/>
        <v>0.3632499999999993</v>
      </c>
      <c r="N143"/>
      <c r="P143"/>
      <c r="S143"/>
      <c r="U143"/>
    </row>
    <row r="144" spans="1:21">
      <c r="A144" t="s">
        <v>466</v>
      </c>
      <c r="B144"/>
      <c r="E144"/>
      <c r="H144"/>
      <c r="J144"/>
      <c r="K144" s="13">
        <v>1561.72</v>
      </c>
      <c r="L144">
        <f t="shared" si="42"/>
        <v>1598</v>
      </c>
      <c r="M144" s="15">
        <f t="shared" si="43"/>
        <v>0.45349999999999968</v>
      </c>
      <c r="N144"/>
      <c r="P144"/>
      <c r="S144"/>
      <c r="U144"/>
    </row>
    <row r="145" spans="1:21">
      <c r="A145" t="s">
        <v>328</v>
      </c>
      <c r="B145"/>
      <c r="E145"/>
      <c r="H145"/>
      <c r="J145"/>
      <c r="K145" s="13">
        <v>1571.86</v>
      </c>
      <c r="L145">
        <f t="shared" si="42"/>
        <v>1605.31</v>
      </c>
      <c r="M145" s="15">
        <f t="shared" si="43"/>
        <v>0.41812500000000058</v>
      </c>
      <c r="N145"/>
      <c r="P145"/>
      <c r="S145"/>
      <c r="U145"/>
    </row>
    <row r="146" spans="1:21">
      <c r="A146" t="s">
        <v>467</v>
      </c>
      <c r="B146"/>
      <c r="E146"/>
      <c r="H146"/>
      <c r="J146"/>
      <c r="K146" s="13">
        <v>1582.15</v>
      </c>
      <c r="L146">
        <f t="shared" si="42"/>
        <v>1611.51</v>
      </c>
      <c r="M146" s="15">
        <f t="shared" si="43"/>
        <v>0.36699999999999877</v>
      </c>
      <c r="N146"/>
      <c r="P146"/>
      <c r="S146"/>
      <c r="U146"/>
    </row>
    <row r="147" spans="1:21">
      <c r="A147" t="s">
        <v>329</v>
      </c>
      <c r="B147"/>
      <c r="E147"/>
      <c r="H147"/>
      <c r="J147"/>
      <c r="K147" s="13">
        <v>1590.48</v>
      </c>
      <c r="L147">
        <f t="shared" si="42"/>
        <v>1617.99</v>
      </c>
      <c r="M147" s="15">
        <f t="shared" si="43"/>
        <v>0.34387499999999988</v>
      </c>
      <c r="N147"/>
      <c r="P147"/>
      <c r="S147"/>
      <c r="U147"/>
    </row>
    <row r="148" spans="1:21">
      <c r="A148" t="s">
        <v>468</v>
      </c>
      <c r="B148"/>
      <c r="E148"/>
      <c r="H148"/>
      <c r="J148"/>
      <c r="K148" s="13">
        <v>1598</v>
      </c>
      <c r="L148">
        <f t="shared" si="42"/>
        <v>1623.63</v>
      </c>
      <c r="M148" s="15">
        <f t="shared" si="43"/>
        <v>0.32037500000000135</v>
      </c>
      <c r="N148"/>
      <c r="P148"/>
      <c r="S148"/>
      <c r="U148"/>
    </row>
    <row r="149" spans="1:21">
      <c r="A149" t="s">
        <v>330</v>
      </c>
      <c r="B149"/>
      <c r="E149"/>
      <c r="H149"/>
      <c r="J149"/>
      <c r="K149" s="13">
        <v>1605.31</v>
      </c>
      <c r="L149">
        <f t="shared" si="42"/>
        <v>1628.17</v>
      </c>
      <c r="M149" s="15">
        <f t="shared" si="43"/>
        <v>0.28575000000000161</v>
      </c>
      <c r="N149"/>
      <c r="P149"/>
      <c r="S149"/>
      <c r="U149"/>
    </row>
    <row r="150" spans="1:21">
      <c r="A150" t="s">
        <v>469</v>
      </c>
      <c r="B150"/>
      <c r="E150"/>
      <c r="H150"/>
      <c r="J150"/>
      <c r="K150" s="13">
        <v>1611.51</v>
      </c>
      <c r="L150">
        <f t="shared" si="42"/>
        <v>1631.62</v>
      </c>
      <c r="M150" s="15">
        <f t="shared" si="43"/>
        <v>0.25137499999999874</v>
      </c>
      <c r="N150"/>
      <c r="P150"/>
      <c r="S150"/>
      <c r="U150"/>
    </row>
    <row r="151" spans="1:21">
      <c r="A151" t="s">
        <v>331</v>
      </c>
      <c r="B151"/>
      <c r="E151"/>
      <c r="H151"/>
      <c r="J151"/>
      <c r="K151" s="13">
        <v>1617.99</v>
      </c>
      <c r="L151">
        <f t="shared" si="42"/>
        <v>1634.34</v>
      </c>
      <c r="M151" s="15">
        <f t="shared" si="43"/>
        <v>0.20437499999999886</v>
      </c>
      <c r="N151"/>
      <c r="P151"/>
      <c r="S151"/>
      <c r="U151"/>
    </row>
    <row r="152" spans="1:21">
      <c r="A152" t="s">
        <v>470</v>
      </c>
      <c r="B152"/>
      <c r="E152"/>
      <c r="H152"/>
      <c r="J152"/>
      <c r="K152" s="13">
        <v>1623.63</v>
      </c>
      <c r="L152">
        <f t="shared" si="42"/>
        <v>1635.5</v>
      </c>
      <c r="M152" s="15">
        <f t="shared" si="43"/>
        <v>0.14837499999999865</v>
      </c>
      <c r="N152"/>
      <c r="P152"/>
      <c r="S152"/>
      <c r="U152"/>
    </row>
    <row r="153" spans="1:21">
      <c r="A153" t="s">
        <v>332</v>
      </c>
      <c r="B153"/>
      <c r="E153"/>
      <c r="H153"/>
      <c r="J153"/>
      <c r="K153" s="13">
        <v>1628.17</v>
      </c>
      <c r="L153">
        <f t="shared" si="42"/>
        <v>1635.7</v>
      </c>
      <c r="M153" s="15">
        <f t="shared" si="43"/>
        <v>9.4124999999999653E-2</v>
      </c>
      <c r="N153"/>
      <c r="P153"/>
      <c r="S153"/>
      <c r="U153"/>
    </row>
    <row r="154" spans="1:21">
      <c r="A154" t="s">
        <v>471</v>
      </c>
      <c r="B154"/>
      <c r="E154"/>
      <c r="H154"/>
      <c r="J154"/>
      <c r="K154" s="13">
        <v>1631.62</v>
      </c>
      <c r="L154">
        <f t="shared" si="42"/>
        <v>1634.98</v>
      </c>
      <c r="M154" s="15">
        <f t="shared" si="43"/>
        <v>4.2000000000001592E-2</v>
      </c>
      <c r="N154"/>
      <c r="P154"/>
      <c r="S154"/>
      <c r="U154"/>
    </row>
    <row r="155" spans="1:21">
      <c r="A155" t="s">
        <v>333</v>
      </c>
      <c r="B155"/>
      <c r="E155"/>
      <c r="H155"/>
      <c r="J155"/>
      <c r="K155" s="13">
        <v>1634.34</v>
      </c>
      <c r="L155">
        <f t="shared" si="42"/>
        <v>1633.33</v>
      </c>
      <c r="M155" s="15">
        <f t="shared" si="43"/>
        <v>-1.2624999999999886E-2</v>
      </c>
      <c r="N155"/>
      <c r="P155"/>
      <c r="S155"/>
      <c r="U155"/>
    </row>
    <row r="156" spans="1:21">
      <c r="A156" t="s">
        <v>472</v>
      </c>
      <c r="B156"/>
      <c r="E156"/>
      <c r="H156"/>
      <c r="J156"/>
      <c r="K156" s="13">
        <v>1635.5</v>
      </c>
      <c r="L156">
        <f t="shared" si="42"/>
        <v>1632.11</v>
      </c>
      <c r="M156" s="15">
        <f t="shared" si="43"/>
        <v>-4.2375000000001252E-2</v>
      </c>
      <c r="N156"/>
      <c r="P156"/>
      <c r="S156"/>
      <c r="U156"/>
    </row>
    <row r="157" spans="1:21">
      <c r="A157" t="s">
        <v>334</v>
      </c>
      <c r="B157"/>
      <c r="E157"/>
      <c r="H157"/>
      <c r="J157"/>
      <c r="K157" s="13">
        <v>1635.7</v>
      </c>
      <c r="L157">
        <f t="shared" si="42"/>
        <v>1631.02</v>
      </c>
      <c r="M157" s="15">
        <f t="shared" si="43"/>
        <v>-5.8500000000000794E-2</v>
      </c>
      <c r="N157"/>
      <c r="P157"/>
      <c r="S157"/>
      <c r="U157"/>
    </row>
    <row r="158" spans="1:21">
      <c r="A158" t="s">
        <v>473</v>
      </c>
      <c r="B158"/>
      <c r="E158"/>
      <c r="H158"/>
      <c r="J158"/>
      <c r="K158" s="13">
        <v>1634.98</v>
      </c>
      <c r="L158">
        <f t="shared" si="42"/>
        <v>1630.19</v>
      </c>
      <c r="M158" s="15">
        <f t="shared" si="43"/>
        <v>-5.9874999999999547E-2</v>
      </c>
      <c r="N158"/>
      <c r="P158"/>
      <c r="S158"/>
      <c r="U158"/>
    </row>
    <row r="159" spans="1:21">
      <c r="A159" t="s">
        <v>335</v>
      </c>
      <c r="B159"/>
      <c r="E159"/>
      <c r="H159"/>
      <c r="J159"/>
      <c r="K159" s="13">
        <v>1633.33</v>
      </c>
      <c r="L159">
        <f t="shared" ref="L159" si="44">K163</f>
        <v>1630.42</v>
      </c>
      <c r="M159" s="15">
        <f t="shared" si="43"/>
        <v>-3.637499999999818E-2</v>
      </c>
      <c r="N159"/>
      <c r="P159"/>
      <c r="S159"/>
      <c r="U159"/>
    </row>
    <row r="160" spans="1:21">
      <c r="A160" t="s">
        <v>474</v>
      </c>
      <c r="B160"/>
      <c r="E160"/>
      <c r="H160"/>
      <c r="J160"/>
      <c r="K160" s="13">
        <v>1632.11</v>
      </c>
      <c r="L160">
        <v>1632.25</v>
      </c>
      <c r="M160" s="15">
        <f t="shared" si="43"/>
        <v>1.7500000000012506E-3</v>
      </c>
      <c r="N160"/>
      <c r="P160"/>
      <c r="S160"/>
      <c r="U160"/>
    </row>
    <row r="161" spans="1:21">
      <c r="A161" t="s">
        <v>336</v>
      </c>
      <c r="B161"/>
      <c r="E161"/>
      <c r="H161"/>
      <c r="J161"/>
      <c r="K161" s="13">
        <v>1631.02</v>
      </c>
      <c r="L161">
        <v>1633.77</v>
      </c>
      <c r="M161" s="15">
        <f t="shared" si="43"/>
        <v>3.4375000000000003E-2</v>
      </c>
      <c r="N161"/>
      <c r="P161"/>
      <c r="S161"/>
      <c r="U161"/>
    </row>
    <row r="162" spans="1:21">
      <c r="A162" t="s">
        <v>475</v>
      </c>
      <c r="B162"/>
      <c r="E162"/>
      <c r="H162"/>
      <c r="J162"/>
      <c r="K162" s="13">
        <v>1630.19</v>
      </c>
      <c r="L162">
        <f>L163</f>
        <v>1633.82</v>
      </c>
      <c r="M162" s="15">
        <f t="shared" si="43"/>
        <v>4.5374999999998521E-2</v>
      </c>
      <c r="N162"/>
      <c r="P162"/>
      <c r="S162"/>
      <c r="U162"/>
    </row>
    <row r="163" spans="1:21">
      <c r="A163" s="5" t="s">
        <v>337</v>
      </c>
      <c r="B163" s="5"/>
      <c r="C163" s="5"/>
      <c r="D163" s="5"/>
      <c r="E163" s="5"/>
      <c r="F163" s="5"/>
      <c r="G163" s="5"/>
      <c r="H163" s="5"/>
      <c r="I163" s="5"/>
      <c r="J163" s="5"/>
      <c r="K163" s="4">
        <v>1630.42</v>
      </c>
      <c r="L163" s="5">
        <v>1633.82</v>
      </c>
      <c r="M163" s="15">
        <f t="shared" si="43"/>
        <v>4.2499999999998296E-2</v>
      </c>
      <c r="N163" s="5"/>
      <c r="O163" s="5"/>
      <c r="P163" s="5"/>
      <c r="S163"/>
      <c r="U163"/>
    </row>
    <row r="164" spans="1:21">
      <c r="A164" t="s">
        <v>476</v>
      </c>
      <c r="B164"/>
      <c r="E164"/>
      <c r="H164"/>
      <c r="J164"/>
      <c r="K164" s="13">
        <f>K165</f>
        <v>1564.69</v>
      </c>
      <c r="L164">
        <f t="shared" ref="L164:L180" si="45">K168</f>
        <v>1589.79</v>
      </c>
      <c r="M164" s="15">
        <f t="shared" si="43"/>
        <v>0.31374999999999886</v>
      </c>
      <c r="N164"/>
      <c r="P164"/>
      <c r="S164"/>
      <c r="U164"/>
    </row>
    <row r="165" spans="1:21">
      <c r="A165" t="s">
        <v>338</v>
      </c>
      <c r="B165"/>
      <c r="E165"/>
      <c r="H165"/>
      <c r="J165"/>
      <c r="K165" s="13">
        <v>1564.69</v>
      </c>
      <c r="L165">
        <f t="shared" si="45"/>
        <v>1595.93</v>
      </c>
      <c r="M165" s="15">
        <f t="shared" si="43"/>
        <v>0.39050000000000012</v>
      </c>
      <c r="N165"/>
      <c r="P165"/>
      <c r="S165"/>
      <c r="U165"/>
    </row>
    <row r="166" spans="1:21">
      <c r="A166" t="s">
        <v>477</v>
      </c>
      <c r="B166"/>
      <c r="E166"/>
      <c r="H166"/>
      <c r="J166"/>
      <c r="K166" s="13">
        <v>1574.03</v>
      </c>
      <c r="L166">
        <f t="shared" si="45"/>
        <v>1601.67</v>
      </c>
      <c r="M166" s="15">
        <f t="shared" si="43"/>
        <v>0.34550000000000125</v>
      </c>
      <c r="N166"/>
      <c r="P166"/>
      <c r="S166"/>
      <c r="U166"/>
    </row>
    <row r="167" spans="1:21">
      <c r="A167" t="s">
        <v>339</v>
      </c>
      <c r="B167"/>
      <c r="E167"/>
      <c r="H167"/>
      <c r="J167"/>
      <c r="K167" s="13">
        <v>1583.28</v>
      </c>
      <c r="L167">
        <f t="shared" si="45"/>
        <v>1605.58</v>
      </c>
      <c r="M167" s="15">
        <f t="shared" si="43"/>
        <v>0.27874999999999944</v>
      </c>
      <c r="N167"/>
      <c r="P167"/>
      <c r="S167"/>
      <c r="U167"/>
    </row>
    <row r="168" spans="1:21">
      <c r="A168" t="s">
        <v>478</v>
      </c>
      <c r="B168"/>
      <c r="E168"/>
      <c r="H168"/>
      <c r="J168"/>
      <c r="K168" s="13">
        <v>1589.79</v>
      </c>
      <c r="L168">
        <f t="shared" si="45"/>
        <v>1607.95</v>
      </c>
      <c r="M168" s="15">
        <f t="shared" si="43"/>
        <v>0.22700000000000103</v>
      </c>
      <c r="N168"/>
      <c r="P168"/>
      <c r="S168"/>
      <c r="U168"/>
    </row>
    <row r="169" spans="1:21">
      <c r="A169" t="s">
        <v>340</v>
      </c>
      <c r="B169"/>
      <c r="E169"/>
      <c r="H169"/>
      <c r="J169"/>
      <c r="K169" s="13">
        <v>1595.93</v>
      </c>
      <c r="L169">
        <f t="shared" si="45"/>
        <v>1610.15</v>
      </c>
      <c r="M169" s="15">
        <f t="shared" si="43"/>
        <v>0.17775000000000035</v>
      </c>
      <c r="N169"/>
      <c r="P169"/>
      <c r="S169"/>
      <c r="U169"/>
    </row>
    <row r="170" spans="1:21">
      <c r="A170" t="s">
        <v>479</v>
      </c>
      <c r="B170"/>
      <c r="E170"/>
      <c r="H170"/>
      <c r="J170"/>
      <c r="K170" s="13">
        <v>1601.67</v>
      </c>
      <c r="L170">
        <f t="shared" si="45"/>
        <v>1612.79</v>
      </c>
      <c r="M170" s="15">
        <f t="shared" si="43"/>
        <v>0.13899999999999862</v>
      </c>
      <c r="N170"/>
      <c r="P170"/>
      <c r="S170"/>
      <c r="U170"/>
    </row>
    <row r="171" spans="1:21">
      <c r="A171" t="s">
        <v>341</v>
      </c>
      <c r="B171"/>
      <c r="E171"/>
      <c r="H171"/>
      <c r="J171"/>
      <c r="K171" s="13">
        <v>1605.58</v>
      </c>
      <c r="L171">
        <f t="shared" si="45"/>
        <v>1615.42</v>
      </c>
      <c r="M171" s="15">
        <f t="shared" si="43"/>
        <v>0.12300000000000182</v>
      </c>
      <c r="N171"/>
      <c r="P171"/>
      <c r="S171"/>
      <c r="U171"/>
    </row>
    <row r="172" spans="1:21">
      <c r="A172" t="s">
        <v>480</v>
      </c>
      <c r="B172"/>
      <c r="E172"/>
      <c r="H172"/>
      <c r="J172"/>
      <c r="K172" s="13">
        <v>1607.95</v>
      </c>
      <c r="L172">
        <f t="shared" si="45"/>
        <v>1614.03</v>
      </c>
      <c r="M172" s="15">
        <f t="shared" si="43"/>
        <v>7.5999999999999096E-2</v>
      </c>
      <c r="N172"/>
      <c r="P172"/>
      <c r="S172"/>
      <c r="U172"/>
    </row>
    <row r="173" spans="1:21">
      <c r="A173" t="s">
        <v>342</v>
      </c>
      <c r="B173"/>
      <c r="E173"/>
      <c r="H173"/>
      <c r="J173"/>
      <c r="K173" s="13">
        <v>1610.15</v>
      </c>
      <c r="L173">
        <f t="shared" si="45"/>
        <v>1613.62</v>
      </c>
      <c r="M173" s="15">
        <f t="shared" si="43"/>
        <v>4.3374999999997499E-2</v>
      </c>
      <c r="N173"/>
      <c r="P173"/>
      <c r="S173"/>
      <c r="U173"/>
    </row>
    <row r="174" spans="1:21">
      <c r="A174" t="s">
        <v>481</v>
      </c>
      <c r="B174"/>
      <c r="E174"/>
      <c r="H174"/>
      <c r="J174"/>
      <c r="K174" s="13">
        <v>1612.79</v>
      </c>
      <c r="L174">
        <f t="shared" si="45"/>
        <v>1611.37</v>
      </c>
      <c r="M174" s="15">
        <f t="shared" si="43"/>
        <v>-1.7750000000000911E-2</v>
      </c>
      <c r="N174"/>
      <c r="P174"/>
      <c r="S174"/>
      <c r="U174"/>
    </row>
    <row r="175" spans="1:21">
      <c r="A175" t="s">
        <v>343</v>
      </c>
      <c r="B175"/>
      <c r="E175"/>
      <c r="H175"/>
      <c r="J175"/>
      <c r="K175" s="13">
        <v>1615.42</v>
      </c>
      <c r="L175">
        <f t="shared" si="45"/>
        <v>1608.32</v>
      </c>
      <c r="M175" s="15">
        <f t="shared" si="43"/>
        <v>-8.8750000000001703E-2</v>
      </c>
      <c r="N175"/>
      <c r="P175"/>
      <c r="S175"/>
      <c r="U175"/>
    </row>
    <row r="176" spans="1:21">
      <c r="A176" t="s">
        <v>482</v>
      </c>
      <c r="B176"/>
      <c r="E176"/>
      <c r="H176"/>
      <c r="J176"/>
      <c r="K176" s="13">
        <v>1614.03</v>
      </c>
      <c r="L176">
        <f t="shared" si="45"/>
        <v>1604.7</v>
      </c>
      <c r="M176" s="15">
        <f t="shared" si="43"/>
        <v>-0.11662499999999909</v>
      </c>
      <c r="N176"/>
      <c r="P176"/>
      <c r="S176"/>
      <c r="U176"/>
    </row>
    <row r="177" spans="1:21">
      <c r="A177" t="s">
        <v>344</v>
      </c>
      <c r="B177"/>
      <c r="E177"/>
      <c r="H177"/>
      <c r="J177"/>
      <c r="K177" s="13">
        <v>1613.62</v>
      </c>
      <c r="L177">
        <f t="shared" si="45"/>
        <v>1600.32</v>
      </c>
      <c r="M177" s="15">
        <f t="shared" si="43"/>
        <v>-0.16624999999999943</v>
      </c>
      <c r="N177"/>
      <c r="P177"/>
      <c r="S177"/>
      <c r="U177"/>
    </row>
    <row r="178" spans="1:21">
      <c r="A178" t="s">
        <v>483</v>
      </c>
      <c r="B178"/>
      <c r="E178"/>
      <c r="H178"/>
      <c r="J178"/>
      <c r="K178" s="13">
        <v>1611.37</v>
      </c>
      <c r="L178">
        <f t="shared" si="45"/>
        <v>1605.22</v>
      </c>
      <c r="M178" s="15">
        <f t="shared" si="43"/>
        <v>-7.6874999999998292E-2</v>
      </c>
      <c r="N178"/>
      <c r="P178"/>
      <c r="S178"/>
      <c r="U178"/>
    </row>
    <row r="179" spans="1:21">
      <c r="A179" t="s">
        <v>345</v>
      </c>
      <c r="B179"/>
      <c r="E179"/>
      <c r="H179"/>
      <c r="J179"/>
      <c r="K179" s="13">
        <v>1608.32</v>
      </c>
      <c r="L179">
        <f t="shared" si="45"/>
        <v>1612</v>
      </c>
      <c r="M179" s="15">
        <f t="shared" si="43"/>
        <v>4.6000000000000797E-2</v>
      </c>
      <c r="N179"/>
      <c r="P179"/>
      <c r="S179"/>
      <c r="U179"/>
    </row>
    <row r="180" spans="1:21">
      <c r="A180" t="s">
        <v>484</v>
      </c>
      <c r="B180"/>
      <c r="E180"/>
      <c r="H180"/>
      <c r="J180"/>
      <c r="K180" s="13">
        <v>1604.7</v>
      </c>
      <c r="L180">
        <f t="shared" si="45"/>
        <v>1619.26</v>
      </c>
      <c r="M180" s="15">
        <f t="shared" si="43"/>
        <v>0.18199999999999933</v>
      </c>
      <c r="N180"/>
      <c r="P180"/>
      <c r="S180"/>
      <c r="U180"/>
    </row>
    <row r="181" spans="1:21">
      <c r="A181" t="s">
        <v>346</v>
      </c>
      <c r="B181"/>
      <c r="E181"/>
      <c r="H181"/>
      <c r="J181"/>
      <c r="K181" s="13">
        <v>1600.32</v>
      </c>
      <c r="L181">
        <f t="shared" ref="L181" si="46">K185</f>
        <v>1623.5</v>
      </c>
      <c r="M181" s="15">
        <f t="shared" si="43"/>
        <v>0.28975000000000078</v>
      </c>
      <c r="N181"/>
      <c r="P181"/>
      <c r="S181"/>
      <c r="U181"/>
    </row>
    <row r="182" spans="1:21">
      <c r="A182" t="s">
        <v>485</v>
      </c>
      <c r="B182"/>
      <c r="E182"/>
      <c r="H182"/>
      <c r="J182"/>
      <c r="K182" s="13">
        <v>1605.22</v>
      </c>
      <c r="L182">
        <v>1626.75</v>
      </c>
      <c r="M182" s="15">
        <f t="shared" si="43"/>
        <v>0.26912499999999967</v>
      </c>
      <c r="N182"/>
      <c r="P182"/>
      <c r="S182"/>
      <c r="U182"/>
    </row>
    <row r="183" spans="1:21">
      <c r="A183" t="s">
        <v>347</v>
      </c>
      <c r="B183"/>
      <c r="E183"/>
      <c r="H183"/>
      <c r="J183"/>
      <c r="K183" s="13">
        <v>1612</v>
      </c>
      <c r="L183">
        <v>1629.32</v>
      </c>
      <c r="M183" s="15">
        <f t="shared" si="43"/>
        <v>0.21649999999999919</v>
      </c>
      <c r="N183"/>
      <c r="P183"/>
      <c r="S183"/>
      <c r="U183"/>
    </row>
    <row r="184" spans="1:21">
      <c r="A184" t="s">
        <v>486</v>
      </c>
      <c r="B184"/>
      <c r="E184"/>
      <c r="H184"/>
      <c r="J184"/>
      <c r="K184" s="13">
        <v>1619.26</v>
      </c>
      <c r="L184">
        <v>1631.84</v>
      </c>
      <c r="M184" s="15">
        <f t="shared" si="43"/>
        <v>0.15724999999999908</v>
      </c>
      <c r="N184"/>
      <c r="P184"/>
      <c r="S184"/>
      <c r="U184"/>
    </row>
    <row r="185" spans="1:21">
      <c r="A185" t="s">
        <v>348</v>
      </c>
      <c r="B185"/>
      <c r="E185"/>
      <c r="H185"/>
      <c r="J185"/>
      <c r="K185" s="13">
        <v>1623.5</v>
      </c>
      <c r="L185">
        <v>1634.39</v>
      </c>
      <c r="M185" s="15">
        <f t="shared" si="43"/>
        <v>0.13612500000000125</v>
      </c>
      <c r="N185" s="5"/>
      <c r="O185" s="5"/>
      <c r="P185" s="5"/>
      <c r="S185"/>
      <c r="U185"/>
    </row>
    <row r="186" spans="1:21">
      <c r="A186" s="5" t="s">
        <v>524</v>
      </c>
      <c r="B186" s="5"/>
      <c r="C186" s="5"/>
      <c r="D186" s="5"/>
      <c r="E186" s="5"/>
      <c r="F186" s="5"/>
      <c r="G186" s="5"/>
      <c r="H186" s="5"/>
      <c r="I186" s="5"/>
      <c r="J186" s="5"/>
      <c r="K186" s="4">
        <f>L182</f>
        <v>1626.75</v>
      </c>
      <c r="L186" s="5">
        <v>1634.39</v>
      </c>
      <c r="M186" s="15">
        <f t="shared" si="43"/>
        <v>9.5500000000001251E-2</v>
      </c>
      <c r="N186"/>
      <c r="P186"/>
      <c r="S186"/>
      <c r="U186"/>
    </row>
    <row r="187" spans="1:21">
      <c r="A187" t="s">
        <v>487</v>
      </c>
      <c r="B187"/>
      <c r="E187"/>
      <c r="H187"/>
      <c r="J187"/>
      <c r="K187" s="13">
        <f>K188</f>
        <v>1580.75</v>
      </c>
      <c r="L187">
        <f t="shared" ref="L187:L209" si="47">K191</f>
        <v>1592.99</v>
      </c>
      <c r="M187" s="15">
        <f t="shared" si="43"/>
        <v>0.15300000000000011</v>
      </c>
      <c r="N187"/>
      <c r="P187"/>
      <c r="S187"/>
      <c r="U187"/>
    </row>
    <row r="188" spans="1:21">
      <c r="A188" t="s">
        <v>349</v>
      </c>
      <c r="B188"/>
      <c r="E188"/>
      <c r="H188"/>
      <c r="J188"/>
      <c r="K188" s="13">
        <v>1580.75</v>
      </c>
      <c r="L188">
        <f t="shared" si="47"/>
        <v>1598.45</v>
      </c>
      <c r="M188" s="15">
        <f t="shared" si="43"/>
        <v>0.22125000000000056</v>
      </c>
      <c r="N188"/>
      <c r="P188"/>
      <c r="S188"/>
      <c r="U188"/>
    </row>
    <row r="189" spans="1:21">
      <c r="A189" t="s">
        <v>488</v>
      </c>
      <c r="B189"/>
      <c r="E189"/>
      <c r="H189"/>
      <c r="J189"/>
      <c r="K189" s="13">
        <v>1580.68</v>
      </c>
      <c r="L189">
        <f t="shared" si="47"/>
        <v>1602.99</v>
      </c>
      <c r="M189" s="15">
        <f t="shared" si="43"/>
        <v>0.27887499999999932</v>
      </c>
      <c r="N189"/>
      <c r="P189"/>
      <c r="S189"/>
      <c r="U189"/>
    </row>
    <row r="190" spans="1:21">
      <c r="A190" t="s">
        <v>350</v>
      </c>
      <c r="B190"/>
      <c r="E190"/>
      <c r="H190"/>
      <c r="J190"/>
      <c r="K190" s="13">
        <v>1586.84</v>
      </c>
      <c r="L190">
        <f t="shared" si="47"/>
        <v>1606.59</v>
      </c>
      <c r="M190" s="15">
        <f t="shared" si="43"/>
        <v>0.24687500000000001</v>
      </c>
      <c r="N190"/>
      <c r="P190"/>
      <c r="S190"/>
      <c r="U190"/>
    </row>
    <row r="191" spans="1:21">
      <c r="A191" t="s">
        <v>489</v>
      </c>
      <c r="B191"/>
      <c r="E191"/>
      <c r="H191"/>
      <c r="J191"/>
      <c r="K191" s="13">
        <v>1592.99</v>
      </c>
      <c r="L191">
        <f t="shared" si="47"/>
        <v>1609.74</v>
      </c>
      <c r="M191" s="15">
        <f t="shared" si="43"/>
        <v>0.20937500000000001</v>
      </c>
      <c r="N191"/>
      <c r="P191"/>
      <c r="S191"/>
      <c r="U191"/>
    </row>
    <row r="192" spans="1:21">
      <c r="A192" t="s">
        <v>351</v>
      </c>
      <c r="B192"/>
      <c r="E192"/>
      <c r="H192"/>
      <c r="J192"/>
      <c r="K192" s="13">
        <v>1598.45</v>
      </c>
      <c r="L192">
        <f t="shared" si="47"/>
        <v>1611.79</v>
      </c>
      <c r="M192" s="15">
        <f t="shared" si="43"/>
        <v>0.16674999999999898</v>
      </c>
      <c r="N192"/>
      <c r="P192"/>
      <c r="S192"/>
      <c r="U192"/>
    </row>
    <row r="193" spans="1:21">
      <c r="A193" t="s">
        <v>490</v>
      </c>
      <c r="B193"/>
      <c r="E193"/>
      <c r="H193"/>
      <c r="J193"/>
      <c r="K193" s="13">
        <v>1602.99</v>
      </c>
      <c r="L193">
        <f t="shared" si="47"/>
        <v>1611.37</v>
      </c>
      <c r="M193" s="15">
        <f t="shared" si="43"/>
        <v>0.10474999999999852</v>
      </c>
      <c r="N193"/>
      <c r="P193"/>
      <c r="S193"/>
      <c r="U193"/>
    </row>
    <row r="194" spans="1:21">
      <c r="A194" t="s">
        <v>352</v>
      </c>
      <c r="B194"/>
      <c r="E194"/>
      <c r="H194"/>
      <c r="J194"/>
      <c r="K194" s="13">
        <v>1606.59</v>
      </c>
      <c r="L194">
        <f t="shared" si="47"/>
        <v>1607.22</v>
      </c>
      <c r="M194" s="15">
        <f t="shared" si="43"/>
        <v>7.8750000000013635E-3</v>
      </c>
      <c r="N194"/>
      <c r="P194"/>
      <c r="S194"/>
      <c r="U194"/>
    </row>
    <row r="195" spans="1:21">
      <c r="A195" t="s">
        <v>491</v>
      </c>
      <c r="B195"/>
      <c r="E195"/>
      <c r="H195"/>
      <c r="J195"/>
      <c r="K195" s="13">
        <v>1609.74</v>
      </c>
      <c r="L195">
        <f t="shared" si="47"/>
        <v>1602.97</v>
      </c>
      <c r="M195" s="15">
        <f t="shared" si="43"/>
        <v>-8.462499999999977E-2</v>
      </c>
      <c r="N195"/>
      <c r="P195"/>
      <c r="S195"/>
      <c r="U195"/>
    </row>
    <row r="196" spans="1:21">
      <c r="A196" t="s">
        <v>353</v>
      </c>
      <c r="B196"/>
      <c r="E196"/>
      <c r="H196"/>
      <c r="J196"/>
      <c r="K196" s="13">
        <v>1611.79</v>
      </c>
      <c r="L196">
        <f t="shared" si="47"/>
        <v>1598.36</v>
      </c>
      <c r="M196" s="15">
        <f t="shared" si="43"/>
        <v>-0.1678750000000008</v>
      </c>
      <c r="N196"/>
      <c r="P196"/>
      <c r="S196"/>
      <c r="U196"/>
    </row>
    <row r="197" spans="1:21">
      <c r="A197" t="s">
        <v>492</v>
      </c>
      <c r="B197"/>
      <c r="E197"/>
      <c r="H197"/>
      <c r="J197"/>
      <c r="K197" s="13">
        <v>1611.37</v>
      </c>
      <c r="L197">
        <f t="shared" si="47"/>
        <v>1592.35</v>
      </c>
      <c r="M197" s="15">
        <f t="shared" si="43"/>
        <v>-0.23774999999999977</v>
      </c>
      <c r="N197"/>
      <c r="P197"/>
      <c r="S197"/>
      <c r="U197"/>
    </row>
    <row r="198" spans="1:21">
      <c r="A198" t="s">
        <v>354</v>
      </c>
      <c r="B198"/>
      <c r="E198"/>
      <c r="H198"/>
      <c r="J198"/>
      <c r="K198" s="13">
        <v>1607.22</v>
      </c>
      <c r="L198">
        <f t="shared" si="47"/>
        <v>1596.05</v>
      </c>
      <c r="M198" s="15">
        <f t="shared" si="43"/>
        <v>-0.13962500000000092</v>
      </c>
      <c r="N198"/>
      <c r="P198"/>
      <c r="S198"/>
      <c r="U198"/>
    </row>
    <row r="199" spans="1:21">
      <c r="A199" t="s">
        <v>493</v>
      </c>
      <c r="B199"/>
      <c r="E199"/>
      <c r="H199"/>
      <c r="J199"/>
      <c r="K199" s="13">
        <v>1602.97</v>
      </c>
      <c r="L199">
        <f t="shared" si="47"/>
        <v>1603.12</v>
      </c>
      <c r="M199" s="15">
        <f t="shared" si="43"/>
        <v>1.8749999999982947E-3</v>
      </c>
      <c r="N199"/>
      <c r="P199"/>
      <c r="S199"/>
      <c r="U199"/>
    </row>
    <row r="200" spans="1:21">
      <c r="A200" t="s">
        <v>355</v>
      </c>
      <c r="B200"/>
      <c r="E200"/>
      <c r="H200"/>
      <c r="J200"/>
      <c r="K200" s="13">
        <v>1598.36</v>
      </c>
      <c r="L200">
        <f t="shared" si="47"/>
        <v>1608.94</v>
      </c>
      <c r="M200" s="15">
        <f t="shared" si="43"/>
        <v>0.13225000000000192</v>
      </c>
      <c r="N200"/>
      <c r="P200"/>
      <c r="S200"/>
      <c r="U200"/>
    </row>
    <row r="201" spans="1:21">
      <c r="A201" t="s">
        <v>494</v>
      </c>
      <c r="B201"/>
      <c r="E201"/>
      <c r="H201"/>
      <c r="J201"/>
      <c r="K201" s="13">
        <v>1592.35</v>
      </c>
      <c r="L201">
        <f t="shared" si="47"/>
        <v>1614.56</v>
      </c>
      <c r="M201" s="15">
        <f t="shared" si="43"/>
        <v>0.27762500000000045</v>
      </c>
      <c r="N201"/>
      <c r="P201"/>
      <c r="S201"/>
      <c r="U201"/>
    </row>
    <row r="202" spans="1:21">
      <c r="A202" t="s">
        <v>356</v>
      </c>
      <c r="B202"/>
      <c r="E202"/>
      <c r="H202"/>
      <c r="J202"/>
      <c r="K202" s="13">
        <v>1596.05</v>
      </c>
      <c r="L202">
        <f t="shared" si="47"/>
        <v>1619.87</v>
      </c>
      <c r="M202" s="15">
        <f t="shared" si="43"/>
        <v>0.29774999999999918</v>
      </c>
      <c r="N202"/>
      <c r="P202"/>
      <c r="S202"/>
      <c r="U202"/>
    </row>
    <row r="203" spans="1:21">
      <c r="A203" t="s">
        <v>495</v>
      </c>
      <c r="B203"/>
      <c r="E203"/>
      <c r="H203"/>
      <c r="J203"/>
      <c r="K203" s="13">
        <v>1603.12</v>
      </c>
      <c r="L203">
        <f t="shared" si="47"/>
        <v>1624.5</v>
      </c>
      <c r="M203" s="15">
        <f t="shared" si="43"/>
        <v>0.26725000000000138</v>
      </c>
      <c r="N203"/>
      <c r="P203"/>
      <c r="S203"/>
      <c r="U203"/>
    </row>
    <row r="204" spans="1:21">
      <c r="A204" t="s">
        <v>357</v>
      </c>
      <c r="B204"/>
      <c r="E204"/>
      <c r="H204"/>
      <c r="J204"/>
      <c r="K204" s="13">
        <v>1608.94</v>
      </c>
      <c r="L204">
        <f t="shared" si="47"/>
        <v>1628.2</v>
      </c>
      <c r="M204" s="15">
        <f t="shared" si="43"/>
        <v>0.24074999999999988</v>
      </c>
      <c r="N204"/>
      <c r="P204"/>
      <c r="S204"/>
      <c r="U204"/>
    </row>
    <row r="205" spans="1:21">
      <c r="A205" t="s">
        <v>496</v>
      </c>
      <c r="B205"/>
      <c r="E205"/>
      <c r="H205"/>
      <c r="J205"/>
      <c r="K205" s="13">
        <v>1614.56</v>
      </c>
      <c r="L205">
        <f t="shared" si="47"/>
        <v>1631.28</v>
      </c>
      <c r="M205" s="15">
        <f t="shared" si="43"/>
        <v>0.20900000000000035</v>
      </c>
      <c r="N205"/>
      <c r="P205"/>
      <c r="S205"/>
      <c r="U205"/>
    </row>
    <row r="206" spans="1:21">
      <c r="A206" t="s">
        <v>358</v>
      </c>
      <c r="B206"/>
      <c r="E206"/>
      <c r="H206"/>
      <c r="J206"/>
      <c r="K206" s="13">
        <v>1619.87</v>
      </c>
      <c r="L206">
        <f t="shared" si="47"/>
        <v>1634.14</v>
      </c>
      <c r="M206" s="15">
        <f t="shared" ref="M206:M268" si="48">(L206-K206)/80</f>
        <v>0.17837500000000261</v>
      </c>
      <c r="N206"/>
      <c r="P206"/>
      <c r="S206"/>
      <c r="U206"/>
    </row>
    <row r="207" spans="1:21">
      <c r="A207" t="s">
        <v>497</v>
      </c>
      <c r="B207"/>
      <c r="E207"/>
      <c r="H207"/>
      <c r="J207"/>
      <c r="K207" s="13">
        <v>1624.5</v>
      </c>
      <c r="L207">
        <f t="shared" si="47"/>
        <v>1636.8</v>
      </c>
      <c r="M207" s="15">
        <f t="shared" si="48"/>
        <v>0.15374999999999944</v>
      </c>
      <c r="N207"/>
      <c r="P207"/>
      <c r="S207"/>
      <c r="U207"/>
    </row>
    <row r="208" spans="1:21">
      <c r="A208" t="s">
        <v>359</v>
      </c>
      <c r="B208"/>
      <c r="E208"/>
      <c r="H208"/>
      <c r="J208"/>
      <c r="K208" s="13">
        <v>1628.2</v>
      </c>
      <c r="L208">
        <f t="shared" si="47"/>
        <v>1638.65</v>
      </c>
      <c r="M208" s="15">
        <f t="shared" si="48"/>
        <v>0.13062500000000057</v>
      </c>
      <c r="N208"/>
      <c r="P208"/>
      <c r="S208"/>
      <c r="U208"/>
    </row>
    <row r="209" spans="1:21">
      <c r="A209" t="s">
        <v>498</v>
      </c>
      <c r="B209"/>
      <c r="E209"/>
      <c r="H209"/>
      <c r="J209"/>
      <c r="K209" s="13">
        <v>1631.28</v>
      </c>
      <c r="L209">
        <f t="shared" si="47"/>
        <v>1640.1</v>
      </c>
      <c r="M209" s="15">
        <f t="shared" si="48"/>
        <v>0.11024999999999921</v>
      </c>
      <c r="N209"/>
      <c r="P209"/>
      <c r="S209"/>
      <c r="U209"/>
    </row>
    <row r="210" spans="1:21">
      <c r="A210" t="s">
        <v>360</v>
      </c>
      <c r="B210"/>
      <c r="E210"/>
      <c r="H210"/>
      <c r="J210"/>
      <c r="K210" s="13">
        <v>1634.14</v>
      </c>
      <c r="L210">
        <f t="shared" ref="L210" si="49">K214</f>
        <v>1641.34</v>
      </c>
      <c r="M210" s="15">
        <f t="shared" si="48"/>
        <v>8.9999999999997721E-2</v>
      </c>
      <c r="N210"/>
      <c r="P210"/>
      <c r="S210"/>
      <c r="U210"/>
    </row>
    <row r="211" spans="1:21">
      <c r="A211" t="s">
        <v>499</v>
      </c>
      <c r="B211"/>
      <c r="E211"/>
      <c r="H211"/>
      <c r="J211"/>
      <c r="K211" s="13">
        <v>1636.8</v>
      </c>
      <c r="L211">
        <v>1642.39</v>
      </c>
      <c r="M211" s="15">
        <f t="shared" si="48"/>
        <v>6.9875000000001825E-2</v>
      </c>
      <c r="N211"/>
      <c r="P211"/>
      <c r="S211"/>
      <c r="U211"/>
    </row>
    <row r="212" spans="1:21">
      <c r="A212" t="s">
        <v>361</v>
      </c>
      <c r="B212"/>
      <c r="E212"/>
      <c r="H212"/>
      <c r="J212"/>
      <c r="K212" s="13">
        <v>1638.65</v>
      </c>
      <c r="L212">
        <v>1643.24</v>
      </c>
      <c r="M212" s="15">
        <f t="shared" si="48"/>
        <v>5.7374999999998975E-2</v>
      </c>
      <c r="N212"/>
      <c r="P212"/>
      <c r="S212"/>
      <c r="U212"/>
    </row>
    <row r="213" spans="1:21">
      <c r="A213" t="s">
        <v>500</v>
      </c>
      <c r="B213"/>
      <c r="E213"/>
      <c r="H213"/>
      <c r="J213"/>
      <c r="K213" s="13">
        <v>1640.1</v>
      </c>
      <c r="L213">
        <f>L214</f>
        <v>1643.3</v>
      </c>
      <c r="M213" s="15">
        <f t="shared" si="48"/>
        <v>4.000000000000057E-2</v>
      </c>
      <c r="N213"/>
      <c r="P213"/>
      <c r="S213"/>
      <c r="U213"/>
    </row>
    <row r="214" spans="1:21">
      <c r="A214" s="5" t="s">
        <v>362</v>
      </c>
      <c r="B214" s="5"/>
      <c r="C214" s="5"/>
      <c r="D214" s="5"/>
      <c r="E214" s="5"/>
      <c r="F214" s="5"/>
      <c r="G214" s="5"/>
      <c r="H214" s="5"/>
      <c r="I214" s="5"/>
      <c r="J214" s="5"/>
      <c r="K214" s="4">
        <v>1641.34</v>
      </c>
      <c r="L214" s="5">
        <v>1643.3</v>
      </c>
      <c r="M214" s="15">
        <f t="shared" si="48"/>
        <v>2.4500000000000455E-2</v>
      </c>
      <c r="N214" s="5"/>
      <c r="O214" s="5"/>
      <c r="P214" s="5"/>
      <c r="S214"/>
      <c r="U214"/>
    </row>
    <row r="215" spans="1:21">
      <c r="A215" t="s">
        <v>501</v>
      </c>
      <c r="B215"/>
      <c r="E215"/>
      <c r="H215"/>
      <c r="J215"/>
      <c r="K215" s="13">
        <f>K216</f>
        <v>1597.44</v>
      </c>
      <c r="L215">
        <f t="shared" ref="L215:L227" si="50">K219</f>
        <v>1610.04</v>
      </c>
      <c r="M215" s="15">
        <f t="shared" si="48"/>
        <v>0.15749999999999886</v>
      </c>
      <c r="N215"/>
      <c r="P215"/>
      <c r="S215"/>
      <c r="U215"/>
    </row>
    <row r="216" spans="1:21">
      <c r="A216" t="s">
        <v>363</v>
      </c>
      <c r="B216"/>
      <c r="E216"/>
      <c r="H216"/>
      <c r="J216"/>
      <c r="K216" s="13">
        <v>1597.44</v>
      </c>
      <c r="L216">
        <f t="shared" si="50"/>
        <v>1610.94</v>
      </c>
      <c r="M216" s="15">
        <f t="shared" si="48"/>
        <v>0.16875000000000001</v>
      </c>
      <c r="N216"/>
      <c r="P216"/>
      <c r="S216"/>
      <c r="U216"/>
    </row>
    <row r="217" spans="1:21">
      <c r="A217" t="s">
        <v>502</v>
      </c>
      <c r="B217"/>
      <c r="E217"/>
      <c r="H217"/>
      <c r="J217"/>
      <c r="K217" s="13">
        <v>1597.63</v>
      </c>
      <c r="L217">
        <f t="shared" si="50"/>
        <v>1611.39</v>
      </c>
      <c r="M217" s="15">
        <f t="shared" si="48"/>
        <v>0.17199999999999988</v>
      </c>
      <c r="N217"/>
      <c r="P217"/>
      <c r="S217"/>
      <c r="U217"/>
    </row>
    <row r="218" spans="1:21">
      <c r="A218" t="s">
        <v>365</v>
      </c>
      <c r="B218"/>
      <c r="E218"/>
      <c r="H218"/>
      <c r="J218"/>
      <c r="K218" s="13">
        <v>1605.35</v>
      </c>
      <c r="L218">
        <f t="shared" si="50"/>
        <v>1622.22</v>
      </c>
      <c r="M218" s="15">
        <f t="shared" si="48"/>
        <v>0.21087500000000148</v>
      </c>
      <c r="N218"/>
      <c r="P218"/>
      <c r="S218"/>
      <c r="U218"/>
    </row>
    <row r="219" spans="1:21">
      <c r="A219" t="s">
        <v>503</v>
      </c>
      <c r="B219"/>
      <c r="E219"/>
      <c r="H219"/>
      <c r="J219"/>
      <c r="K219" s="13">
        <v>1610.04</v>
      </c>
      <c r="L219">
        <f t="shared" si="50"/>
        <v>1629.83</v>
      </c>
      <c r="M219" s="15">
        <f t="shared" si="48"/>
        <v>0.24737499999999954</v>
      </c>
      <c r="N219"/>
      <c r="P219"/>
      <c r="S219"/>
      <c r="U219"/>
    </row>
    <row r="220" spans="1:21">
      <c r="A220" t="s">
        <v>364</v>
      </c>
      <c r="B220"/>
      <c r="E220"/>
      <c r="H220"/>
      <c r="J220"/>
      <c r="K220" s="13">
        <v>1610.94</v>
      </c>
      <c r="L220">
        <f t="shared" si="50"/>
        <v>1638.01</v>
      </c>
      <c r="M220" s="15">
        <f t="shared" si="48"/>
        <v>0.3383749999999992</v>
      </c>
      <c r="N220"/>
      <c r="P220"/>
      <c r="S220"/>
      <c r="U220"/>
    </row>
    <row r="221" spans="1:21">
      <c r="A221" t="s">
        <v>504</v>
      </c>
      <c r="B221"/>
      <c r="E221"/>
      <c r="H221"/>
      <c r="J221"/>
      <c r="K221" s="13">
        <v>1611.39</v>
      </c>
      <c r="L221">
        <f t="shared" si="50"/>
        <v>1643.54</v>
      </c>
      <c r="M221" s="15">
        <f t="shared" si="48"/>
        <v>0.40187499999999832</v>
      </c>
      <c r="N221"/>
      <c r="P221"/>
      <c r="S221"/>
      <c r="U221"/>
    </row>
    <row r="222" spans="1:21">
      <c r="A222" t="s">
        <v>366</v>
      </c>
      <c r="B222"/>
      <c r="E222"/>
      <c r="H222"/>
      <c r="J222"/>
      <c r="K222" s="13">
        <v>1622.22</v>
      </c>
      <c r="L222">
        <f t="shared" si="50"/>
        <v>1646.48</v>
      </c>
      <c r="M222" s="15">
        <f t="shared" si="48"/>
        <v>0.30324999999999991</v>
      </c>
      <c r="N222"/>
      <c r="P222"/>
      <c r="S222"/>
      <c r="U222"/>
    </row>
    <row r="223" spans="1:21">
      <c r="A223" t="s">
        <v>505</v>
      </c>
      <c r="B223"/>
      <c r="E223"/>
      <c r="H223"/>
      <c r="J223"/>
      <c r="K223" s="13">
        <v>1629.83</v>
      </c>
      <c r="L223">
        <f t="shared" si="50"/>
        <v>1647.97</v>
      </c>
      <c r="M223" s="15">
        <f t="shared" si="48"/>
        <v>0.22675000000000126</v>
      </c>
      <c r="N223"/>
      <c r="P223"/>
      <c r="S223"/>
      <c r="U223"/>
    </row>
    <row r="224" spans="1:21">
      <c r="A224" t="s">
        <v>367</v>
      </c>
      <c r="B224"/>
      <c r="E224"/>
      <c r="H224"/>
      <c r="J224"/>
      <c r="K224" s="13">
        <v>1638.01</v>
      </c>
      <c r="L224">
        <f t="shared" si="50"/>
        <v>1648.27</v>
      </c>
      <c r="M224" s="15">
        <f t="shared" si="48"/>
        <v>0.12824999999999989</v>
      </c>
      <c r="N224"/>
      <c r="P224"/>
      <c r="S224"/>
      <c r="U224"/>
    </row>
    <row r="225" spans="1:21">
      <c r="A225" t="s">
        <v>506</v>
      </c>
      <c r="B225"/>
      <c r="E225"/>
      <c r="H225"/>
      <c r="J225"/>
      <c r="K225" s="13">
        <v>1643.54</v>
      </c>
      <c r="L225">
        <f t="shared" si="50"/>
        <v>1647.84</v>
      </c>
      <c r="M225" s="15">
        <f t="shared" si="48"/>
        <v>5.374999999999943E-2</v>
      </c>
      <c r="N225"/>
      <c r="P225"/>
      <c r="S225"/>
      <c r="U225"/>
    </row>
    <row r="226" spans="1:21">
      <c r="A226" t="s">
        <v>368</v>
      </c>
      <c r="B226"/>
      <c r="E226"/>
      <c r="H226"/>
      <c r="J226"/>
      <c r="K226" s="13">
        <v>1646.48</v>
      </c>
      <c r="L226">
        <f t="shared" si="50"/>
        <v>1647.23</v>
      </c>
      <c r="M226" s="15">
        <f t="shared" si="48"/>
        <v>9.3749999999999997E-3</v>
      </c>
      <c r="N226"/>
      <c r="P226"/>
      <c r="S226"/>
      <c r="U226"/>
    </row>
    <row r="227" spans="1:21">
      <c r="A227" t="s">
        <v>507</v>
      </c>
      <c r="B227"/>
      <c r="E227"/>
      <c r="H227"/>
      <c r="J227"/>
      <c r="K227" s="13">
        <v>1647.97</v>
      </c>
      <c r="L227">
        <f t="shared" si="50"/>
        <v>1646.59</v>
      </c>
      <c r="M227" s="15">
        <f t="shared" si="48"/>
        <v>-1.7250000000001365E-2</v>
      </c>
      <c r="N227"/>
      <c r="P227"/>
      <c r="S227"/>
      <c r="U227"/>
    </row>
    <row r="228" spans="1:21">
      <c r="A228" t="s">
        <v>369</v>
      </c>
      <c r="B228"/>
      <c r="E228"/>
      <c r="H228"/>
      <c r="J228"/>
      <c r="K228" s="13">
        <v>1648.27</v>
      </c>
      <c r="L228">
        <f t="shared" ref="L228" si="51">K232</f>
        <v>1646.62</v>
      </c>
      <c r="M228" s="15">
        <f t="shared" si="48"/>
        <v>-2.0625000000001135E-2</v>
      </c>
      <c r="N228"/>
      <c r="P228"/>
      <c r="S228"/>
      <c r="U228"/>
    </row>
    <row r="229" spans="1:21">
      <c r="A229" t="s">
        <v>508</v>
      </c>
      <c r="B229"/>
      <c r="E229"/>
      <c r="H229"/>
      <c r="J229"/>
      <c r="K229" s="13">
        <v>1647.84</v>
      </c>
      <c r="L229">
        <v>1647.07</v>
      </c>
      <c r="M229" s="15">
        <f t="shared" si="48"/>
        <v>-9.6249999999997726E-3</v>
      </c>
      <c r="N229"/>
      <c r="P229"/>
      <c r="S229"/>
      <c r="U229"/>
    </row>
    <row r="230" spans="1:21">
      <c r="A230" t="s">
        <v>370</v>
      </c>
      <c r="B230"/>
      <c r="E230"/>
      <c r="H230"/>
      <c r="J230"/>
      <c r="K230" s="13">
        <v>1647.23</v>
      </c>
      <c r="L230">
        <v>1647.89</v>
      </c>
      <c r="M230" s="15">
        <f t="shared" si="48"/>
        <v>8.2500000000010239E-3</v>
      </c>
      <c r="N230"/>
      <c r="P230"/>
      <c r="S230"/>
      <c r="U230"/>
    </row>
    <row r="231" spans="1:21">
      <c r="A231" t="s">
        <v>509</v>
      </c>
      <c r="B231"/>
      <c r="E231"/>
      <c r="H231"/>
      <c r="J231"/>
      <c r="K231" s="13">
        <v>1646.59</v>
      </c>
      <c r="L231">
        <f>L232</f>
        <v>1648.22</v>
      </c>
      <c r="M231" s="15">
        <f t="shared" si="48"/>
        <v>2.0375000000001364E-2</v>
      </c>
      <c r="N231"/>
      <c r="P231"/>
      <c r="S231"/>
      <c r="U231"/>
    </row>
    <row r="232" spans="1:21">
      <c r="A232" t="s">
        <v>371</v>
      </c>
      <c r="B232"/>
      <c r="E232"/>
      <c r="H232"/>
      <c r="J232"/>
      <c r="K232" s="13">
        <v>1646.62</v>
      </c>
      <c r="L232">
        <v>1648.22</v>
      </c>
      <c r="M232" s="15">
        <f t="shared" si="48"/>
        <v>2.0000000000001704E-2</v>
      </c>
      <c r="N232"/>
      <c r="P232"/>
      <c r="S232"/>
      <c r="U232"/>
    </row>
    <row r="233" spans="1:21">
      <c r="A233" s="2" t="s">
        <v>511</v>
      </c>
      <c r="B233" s="2"/>
      <c r="C233" s="2"/>
      <c r="D233" s="2"/>
      <c r="E233" s="2"/>
      <c r="F233" s="2"/>
      <c r="G233" s="2"/>
      <c r="H233" s="2"/>
      <c r="I233" s="2"/>
      <c r="J233" s="2"/>
      <c r="K233" s="2">
        <f>K234</f>
        <v>1613.88</v>
      </c>
      <c r="L233" s="2">
        <f>K237</f>
        <v>1633.22</v>
      </c>
      <c r="M233" s="3">
        <f t="shared" si="48"/>
        <v>0.24174999999999897</v>
      </c>
      <c r="N233" s="2"/>
      <c r="O233" s="2"/>
      <c r="P233" s="2"/>
      <c r="S233"/>
      <c r="U233"/>
    </row>
    <row r="234" spans="1:21">
      <c r="A234" t="s">
        <v>372</v>
      </c>
      <c r="B234"/>
      <c r="E234"/>
      <c r="H234"/>
      <c r="J234"/>
      <c r="K234" s="13">
        <v>1613.88</v>
      </c>
      <c r="L234">
        <f>K238</f>
        <v>1642.25</v>
      </c>
      <c r="M234" s="15">
        <f t="shared" si="48"/>
        <v>0.35462499999999864</v>
      </c>
      <c r="N234"/>
      <c r="P234"/>
      <c r="S234"/>
      <c r="U234"/>
    </row>
    <row r="235" spans="1:21">
      <c r="A235" t="s">
        <v>510</v>
      </c>
      <c r="B235"/>
      <c r="E235"/>
      <c r="H235"/>
      <c r="J235"/>
      <c r="K235" s="13">
        <v>1611.42</v>
      </c>
      <c r="L235">
        <f>K239</f>
        <v>1648.98</v>
      </c>
      <c r="M235" s="15">
        <f t="shared" si="48"/>
        <v>0.46949999999999931</v>
      </c>
      <c r="N235"/>
      <c r="P235"/>
      <c r="S235"/>
      <c r="U235"/>
    </row>
    <row r="236" spans="1:21">
      <c r="A236" t="s">
        <v>373</v>
      </c>
      <c r="B236"/>
      <c r="E236"/>
      <c r="H236"/>
      <c r="J236"/>
      <c r="K236" s="13">
        <v>1621.71</v>
      </c>
      <c r="L236">
        <f>K240</f>
        <v>1653.21</v>
      </c>
      <c r="M236" s="15">
        <f t="shared" si="48"/>
        <v>0.39374999999999999</v>
      </c>
      <c r="N236"/>
      <c r="P236"/>
      <c r="S236"/>
      <c r="U236"/>
    </row>
    <row r="237" spans="1:21">
      <c r="A237" t="s">
        <v>512</v>
      </c>
      <c r="B237"/>
      <c r="E237"/>
      <c r="H237"/>
      <c r="J237"/>
      <c r="K237" s="13">
        <v>1633.22</v>
      </c>
      <c r="L237">
        <f>K241</f>
        <v>1655.19</v>
      </c>
      <c r="M237" s="15">
        <f t="shared" si="48"/>
        <v>0.27462500000000034</v>
      </c>
      <c r="N237"/>
      <c r="P237"/>
      <c r="S237"/>
      <c r="U237"/>
    </row>
    <row r="238" spans="1:21">
      <c r="A238" t="s">
        <v>374</v>
      </c>
      <c r="B238"/>
      <c r="E238"/>
      <c r="H238"/>
      <c r="J238"/>
      <c r="K238" s="13">
        <v>1642.25</v>
      </c>
      <c r="L238">
        <f t="shared" ref="L238" si="52">K242</f>
        <v>1656.66</v>
      </c>
      <c r="M238" s="15">
        <f t="shared" si="48"/>
        <v>0.18012500000000103</v>
      </c>
      <c r="N238"/>
      <c r="P238"/>
      <c r="S238"/>
      <c r="U238"/>
    </row>
    <row r="239" spans="1:21">
      <c r="A239" t="s">
        <v>513</v>
      </c>
      <c r="B239"/>
      <c r="E239"/>
      <c r="H239"/>
      <c r="J239"/>
      <c r="K239" s="13">
        <v>1648.98</v>
      </c>
      <c r="L239">
        <v>1658.96</v>
      </c>
      <c r="M239" s="15">
        <f t="shared" si="48"/>
        <v>0.12475000000000022</v>
      </c>
      <c r="N239"/>
      <c r="P239"/>
      <c r="S239"/>
      <c r="U239"/>
    </row>
    <row r="240" spans="1:21">
      <c r="A240" t="s">
        <v>375</v>
      </c>
      <c r="B240"/>
      <c r="E240"/>
      <c r="H240"/>
      <c r="J240"/>
      <c r="K240" s="13">
        <v>1653.21</v>
      </c>
      <c r="L240">
        <v>1661.5</v>
      </c>
      <c r="M240" s="15">
        <f t="shared" si="48"/>
        <v>0.10362499999999955</v>
      </c>
      <c r="N240"/>
      <c r="P240"/>
      <c r="S240"/>
      <c r="U240"/>
    </row>
    <row r="241" spans="1:21">
      <c r="A241" t="s">
        <v>514</v>
      </c>
      <c r="B241"/>
      <c r="E241"/>
      <c r="H241"/>
      <c r="J241"/>
      <c r="K241" s="13">
        <v>1655.19</v>
      </c>
      <c r="L241">
        <f>L242</f>
        <v>1662.42</v>
      </c>
      <c r="M241" s="15">
        <f t="shared" si="48"/>
        <v>9.0375000000000233E-2</v>
      </c>
      <c r="N241"/>
      <c r="P241"/>
      <c r="S241"/>
      <c r="U241"/>
    </row>
    <row r="242" spans="1:21">
      <c r="A242" s="5" t="s">
        <v>376</v>
      </c>
      <c r="B242" s="5"/>
      <c r="C242" s="5"/>
      <c r="D242" s="5"/>
      <c r="E242" s="5"/>
      <c r="F242" s="5"/>
      <c r="G242" s="5"/>
      <c r="H242" s="5"/>
      <c r="I242" s="5"/>
      <c r="J242" s="5"/>
      <c r="K242" s="4">
        <v>1656.66</v>
      </c>
      <c r="L242" s="5">
        <v>1662.42</v>
      </c>
      <c r="M242" s="15">
        <f t="shared" si="48"/>
        <v>7.1999999999999884E-2</v>
      </c>
      <c r="N242" s="5"/>
      <c r="O242" s="5"/>
      <c r="P242" s="5"/>
      <c r="S242"/>
      <c r="U242"/>
    </row>
    <row r="243" spans="1:21">
      <c r="A243" t="s">
        <v>515</v>
      </c>
      <c r="B243"/>
      <c r="E243"/>
      <c r="H243"/>
      <c r="J243"/>
      <c r="K243" s="13">
        <f>K244</f>
        <v>1641.14</v>
      </c>
      <c r="L243">
        <f>K247</f>
        <v>1658.87</v>
      </c>
      <c r="M243" s="3">
        <f t="shared" si="48"/>
        <v>0.22162499999999738</v>
      </c>
      <c r="N243"/>
      <c r="P243"/>
      <c r="S243"/>
      <c r="U243"/>
    </row>
    <row r="244" spans="1:21">
      <c r="A244" t="s">
        <v>377</v>
      </c>
      <c r="B244"/>
      <c r="E244"/>
      <c r="H244"/>
      <c r="J244"/>
      <c r="K244" s="13">
        <v>1641.14</v>
      </c>
      <c r="L244">
        <f>K248</f>
        <v>1664.54</v>
      </c>
      <c r="M244" s="15">
        <f t="shared" si="48"/>
        <v>0.29249999999999832</v>
      </c>
      <c r="N244"/>
      <c r="P244"/>
      <c r="S244"/>
      <c r="U244"/>
    </row>
    <row r="245" spans="1:21">
      <c r="A245" t="s">
        <v>516</v>
      </c>
      <c r="B245"/>
      <c r="E245"/>
      <c r="H245"/>
      <c r="J245"/>
      <c r="K245" s="13">
        <v>1640.9</v>
      </c>
      <c r="L245">
        <v>1669.92</v>
      </c>
      <c r="M245" s="15">
        <f t="shared" si="48"/>
        <v>0.36274999999999979</v>
      </c>
      <c r="N245"/>
      <c r="P245"/>
      <c r="S245"/>
      <c r="U245"/>
    </row>
    <row r="246" spans="1:21">
      <c r="A246" t="s">
        <v>378</v>
      </c>
      <c r="B246"/>
      <c r="E246"/>
      <c r="H246"/>
      <c r="J246"/>
      <c r="K246" s="13">
        <v>1651.5</v>
      </c>
      <c r="L246">
        <v>1672.27</v>
      </c>
      <c r="M246" s="15">
        <f t="shared" si="48"/>
        <v>0.25962499999999977</v>
      </c>
      <c r="N246"/>
      <c r="P246"/>
      <c r="S246"/>
      <c r="U246"/>
    </row>
    <row r="247" spans="1:21">
      <c r="A247" t="s">
        <v>517</v>
      </c>
      <c r="B247"/>
      <c r="E247"/>
      <c r="H247"/>
      <c r="J247"/>
      <c r="K247" s="13">
        <v>1658.87</v>
      </c>
      <c r="L247">
        <f>L248</f>
        <v>1673.82</v>
      </c>
      <c r="M247" s="15">
        <f t="shared" si="48"/>
        <v>0.18687500000000057</v>
      </c>
      <c r="N247"/>
      <c r="P247"/>
      <c r="S247"/>
      <c r="U247"/>
    </row>
    <row r="248" spans="1:21">
      <c r="A248" s="5" t="s">
        <v>379</v>
      </c>
      <c r="B248" s="5"/>
      <c r="C248" s="5"/>
      <c r="D248" s="5"/>
      <c r="E248" s="5"/>
      <c r="F248" s="5"/>
      <c r="G248" s="5"/>
      <c r="H248" s="5"/>
      <c r="I248" s="5"/>
      <c r="J248" s="5"/>
      <c r="K248" s="4">
        <v>1664.54</v>
      </c>
      <c r="L248" s="5">
        <v>1673.82</v>
      </c>
      <c r="M248" s="15">
        <f t="shared" si="48"/>
        <v>0.11599999999999966</v>
      </c>
      <c r="N248" s="5"/>
      <c r="O248" s="5"/>
      <c r="P248" s="5"/>
      <c r="S248"/>
      <c r="U248"/>
    </row>
    <row r="249" spans="1:21">
      <c r="A249" t="s">
        <v>518</v>
      </c>
      <c r="B249"/>
      <c r="E249"/>
      <c r="H249"/>
      <c r="J249"/>
      <c r="K249" s="13">
        <f>K250</f>
        <v>1525.3</v>
      </c>
      <c r="L249">
        <v>1562.96</v>
      </c>
      <c r="M249" s="3">
        <f t="shared" si="48"/>
        <v>0.470750000000001</v>
      </c>
      <c r="N249"/>
      <c r="P249"/>
      <c r="S249"/>
      <c r="U249"/>
    </row>
    <row r="250" spans="1:21">
      <c r="A250" t="s">
        <v>380</v>
      </c>
      <c r="B250"/>
      <c r="E250"/>
      <c r="H250"/>
      <c r="J250"/>
      <c r="K250" s="1">
        <v>1525.3</v>
      </c>
      <c r="L250">
        <v>1571.64</v>
      </c>
      <c r="M250" s="15">
        <f t="shared" si="48"/>
        <v>0.57925000000000182</v>
      </c>
      <c r="N250"/>
      <c r="P250"/>
      <c r="S250"/>
      <c r="U250"/>
    </row>
    <row r="251" spans="1:21">
      <c r="A251" t="s">
        <v>519</v>
      </c>
      <c r="B251"/>
      <c r="E251"/>
      <c r="H251"/>
      <c r="J251"/>
      <c r="K251" s="13">
        <v>1542.36</v>
      </c>
      <c r="L251">
        <f>L252</f>
        <v>1572.83</v>
      </c>
      <c r="M251" s="15">
        <f t="shared" si="48"/>
        <v>0.38087500000000035</v>
      </c>
      <c r="N251"/>
      <c r="P251"/>
      <c r="S251"/>
      <c r="U251"/>
    </row>
    <row r="252" spans="1:21">
      <c r="A252" s="5" t="s">
        <v>381</v>
      </c>
      <c r="B252" s="5"/>
      <c r="C252" s="5"/>
      <c r="D252" s="5"/>
      <c r="E252" s="5"/>
      <c r="F252" s="5"/>
      <c r="G252" s="5"/>
      <c r="H252" s="5"/>
      <c r="I252" s="5"/>
      <c r="J252" s="5"/>
      <c r="K252" s="4">
        <v>1552.84</v>
      </c>
      <c r="L252" s="5">
        <v>1572.83</v>
      </c>
      <c r="M252" s="15">
        <f t="shared" si="48"/>
        <v>0.24987500000000012</v>
      </c>
      <c r="N252"/>
      <c r="P252"/>
      <c r="S252"/>
      <c r="U252"/>
    </row>
    <row r="253" spans="1:21">
      <c r="A253" t="s">
        <v>526</v>
      </c>
      <c r="B253"/>
      <c r="E253"/>
      <c r="H253"/>
      <c r="J253"/>
      <c r="K253" s="13">
        <f>K254</f>
        <v>1533.83</v>
      </c>
      <c r="L253">
        <f t="shared" ref="L253:L263" si="53">K257</f>
        <v>1569.93</v>
      </c>
      <c r="M253" s="3">
        <f t="shared" si="48"/>
        <v>0.45125000000000171</v>
      </c>
      <c r="N253"/>
      <c r="P253"/>
      <c r="S253"/>
      <c r="U253"/>
    </row>
    <row r="254" spans="1:21">
      <c r="A254" t="s">
        <v>382</v>
      </c>
      <c r="B254"/>
      <c r="E254"/>
      <c r="H254"/>
      <c r="J254"/>
      <c r="K254" s="13">
        <v>1533.83</v>
      </c>
      <c r="L254">
        <f t="shared" si="53"/>
        <v>1580.73</v>
      </c>
      <c r="M254" s="15">
        <f t="shared" si="48"/>
        <v>0.58625000000000116</v>
      </c>
      <c r="N254"/>
      <c r="P254"/>
      <c r="S254"/>
      <c r="U254"/>
    </row>
    <row r="255" spans="1:21">
      <c r="A255" t="s">
        <v>527</v>
      </c>
      <c r="B255"/>
      <c r="E255"/>
      <c r="H255"/>
      <c r="J255"/>
      <c r="K255" s="13">
        <v>1546.98</v>
      </c>
      <c r="L255">
        <f t="shared" si="53"/>
        <v>1592.12</v>
      </c>
      <c r="M255" s="15">
        <f t="shared" si="48"/>
        <v>0.56424999999999836</v>
      </c>
      <c r="N255"/>
      <c r="P255"/>
      <c r="S255"/>
      <c r="U255"/>
    </row>
    <row r="256" spans="1:21">
      <c r="A256" t="s">
        <v>383</v>
      </c>
      <c r="B256"/>
      <c r="E256"/>
      <c r="H256"/>
      <c r="J256"/>
      <c r="K256" s="13">
        <v>1558.77</v>
      </c>
      <c r="L256">
        <f t="shared" si="53"/>
        <v>1602.63</v>
      </c>
      <c r="M256" s="15">
        <f t="shared" si="48"/>
        <v>0.54825000000000157</v>
      </c>
      <c r="N256"/>
      <c r="P256"/>
      <c r="S256"/>
      <c r="U256"/>
    </row>
    <row r="257" spans="1:21">
      <c r="A257" t="s">
        <v>528</v>
      </c>
      <c r="B257"/>
      <c r="E257"/>
      <c r="H257"/>
      <c r="J257"/>
      <c r="K257" s="13">
        <v>1569.93</v>
      </c>
      <c r="L257">
        <f t="shared" si="53"/>
        <v>1611.21</v>
      </c>
      <c r="M257" s="15">
        <f t="shared" si="48"/>
        <v>0.51599999999999968</v>
      </c>
      <c r="N257"/>
      <c r="P257"/>
      <c r="S257"/>
      <c r="U257"/>
    </row>
    <row r="258" spans="1:21">
      <c r="A258" t="s">
        <v>384</v>
      </c>
      <c r="B258"/>
      <c r="E258"/>
      <c r="H258"/>
      <c r="J258"/>
      <c r="K258" s="13">
        <v>1580.73</v>
      </c>
      <c r="L258">
        <f t="shared" si="53"/>
        <v>1620.33</v>
      </c>
      <c r="M258" s="15">
        <f t="shared" si="48"/>
        <v>0.49499999999999889</v>
      </c>
      <c r="N258"/>
      <c r="P258"/>
      <c r="S258"/>
      <c r="U258"/>
    </row>
    <row r="259" spans="1:21">
      <c r="A259" t="s">
        <v>529</v>
      </c>
      <c r="B259"/>
      <c r="E259"/>
      <c r="H259"/>
      <c r="J259"/>
      <c r="K259" s="13">
        <v>1592.12</v>
      </c>
      <c r="L259">
        <f t="shared" si="53"/>
        <v>1628.36</v>
      </c>
      <c r="M259" s="15">
        <f t="shared" si="48"/>
        <v>0.45300000000000012</v>
      </c>
      <c r="N259"/>
      <c r="P259"/>
      <c r="S259"/>
      <c r="U259"/>
    </row>
    <row r="260" spans="1:21">
      <c r="A260" t="s">
        <v>385</v>
      </c>
      <c r="B260"/>
      <c r="E260"/>
      <c r="H260"/>
      <c r="J260"/>
      <c r="K260" s="13">
        <v>1602.63</v>
      </c>
      <c r="L260">
        <f t="shared" si="53"/>
        <v>1636.85</v>
      </c>
      <c r="M260" s="15">
        <f t="shared" si="48"/>
        <v>0.42774999999999752</v>
      </c>
      <c r="N260"/>
      <c r="P260"/>
      <c r="S260"/>
      <c r="U260"/>
    </row>
    <row r="261" spans="1:21">
      <c r="A261" t="s">
        <v>530</v>
      </c>
      <c r="B261"/>
      <c r="E261"/>
      <c r="H261"/>
      <c r="J261"/>
      <c r="K261" s="13">
        <v>1611.21</v>
      </c>
      <c r="L261">
        <f t="shared" si="53"/>
        <v>1644.03</v>
      </c>
      <c r="M261" s="15">
        <f t="shared" si="48"/>
        <v>0.41024999999999923</v>
      </c>
      <c r="N261"/>
      <c r="P261"/>
      <c r="S261"/>
      <c r="U261"/>
    </row>
    <row r="262" spans="1:21">
      <c r="A262" t="s">
        <v>386</v>
      </c>
      <c r="B262"/>
      <c r="E262"/>
      <c r="H262"/>
      <c r="J262"/>
      <c r="K262" s="13">
        <v>1620.33</v>
      </c>
      <c r="L262">
        <f t="shared" si="53"/>
        <v>1648.21</v>
      </c>
      <c r="M262" s="15">
        <f t="shared" si="48"/>
        <v>0.34850000000000136</v>
      </c>
      <c r="N262"/>
      <c r="P262"/>
      <c r="S262"/>
      <c r="U262"/>
    </row>
    <row r="263" spans="1:21">
      <c r="A263" t="s">
        <v>531</v>
      </c>
      <c r="B263"/>
      <c r="E263"/>
      <c r="H263"/>
      <c r="J263"/>
      <c r="K263" s="13">
        <v>1628.36</v>
      </c>
      <c r="L263">
        <f t="shared" si="53"/>
        <v>1652.18</v>
      </c>
      <c r="M263" s="15">
        <f t="shared" si="48"/>
        <v>0.29775000000000207</v>
      </c>
      <c r="N263"/>
      <c r="P263"/>
      <c r="S263"/>
      <c r="U263"/>
    </row>
    <row r="264" spans="1:21">
      <c r="A264" t="s">
        <v>387</v>
      </c>
      <c r="B264"/>
      <c r="E264"/>
      <c r="H264"/>
      <c r="J264"/>
      <c r="K264" s="13">
        <v>1636.85</v>
      </c>
      <c r="L264">
        <f t="shared" ref="L264" si="54">K268</f>
        <v>1656.42</v>
      </c>
      <c r="M264" s="15">
        <f t="shared" si="48"/>
        <v>0.24462500000000204</v>
      </c>
      <c r="N264"/>
      <c r="P264"/>
      <c r="S264"/>
      <c r="U264"/>
    </row>
    <row r="265" spans="1:21">
      <c r="A265" t="s">
        <v>532</v>
      </c>
      <c r="B265"/>
      <c r="E265"/>
      <c r="H265"/>
      <c r="J265"/>
      <c r="K265" s="13">
        <v>1644.03</v>
      </c>
      <c r="L265">
        <v>1658.47</v>
      </c>
      <c r="M265" s="15">
        <f t="shared" si="48"/>
        <v>0.18050000000000069</v>
      </c>
      <c r="N265"/>
      <c r="P265"/>
      <c r="S265"/>
      <c r="U265"/>
    </row>
    <row r="266" spans="1:21">
      <c r="A266" t="s">
        <v>388</v>
      </c>
      <c r="B266"/>
      <c r="E266"/>
      <c r="H266"/>
      <c r="J266"/>
      <c r="K266" s="13">
        <v>1648.21</v>
      </c>
      <c r="L266">
        <v>1659.48</v>
      </c>
      <c r="M266" s="15">
        <f t="shared" si="48"/>
        <v>0.14087499999999978</v>
      </c>
      <c r="N266"/>
      <c r="P266"/>
      <c r="S266"/>
      <c r="U266"/>
    </row>
    <row r="267" spans="1:21">
      <c r="A267" t="s">
        <v>533</v>
      </c>
      <c r="B267"/>
      <c r="E267"/>
      <c r="H267"/>
      <c r="J267"/>
      <c r="K267" s="13">
        <v>1652.18</v>
      </c>
      <c r="L267">
        <f>L268</f>
        <v>1660.47</v>
      </c>
      <c r="M267" s="15">
        <f t="shared" si="48"/>
        <v>0.10362499999999955</v>
      </c>
      <c r="N267"/>
      <c r="P267"/>
      <c r="S267"/>
      <c r="U267"/>
    </row>
    <row r="268" spans="1:21">
      <c r="A268" s="5" t="s">
        <v>389</v>
      </c>
      <c r="B268" s="5"/>
      <c r="C268" s="5"/>
      <c r="D268" s="5"/>
      <c r="E268" s="5"/>
      <c r="F268" s="5"/>
      <c r="G268" s="5"/>
      <c r="H268" s="5"/>
      <c r="I268" s="5"/>
      <c r="J268" s="5"/>
      <c r="K268" s="4">
        <v>1656.42</v>
      </c>
      <c r="L268" s="5">
        <v>1660.47</v>
      </c>
      <c r="M268" s="6">
        <f t="shared" si="48"/>
        <v>5.0624999999999434E-2</v>
      </c>
      <c r="N268"/>
      <c r="P268"/>
      <c r="S268"/>
      <c r="U268"/>
    </row>
    <row r="269" spans="1:21">
      <c r="A269" t="s">
        <v>534</v>
      </c>
      <c r="B269"/>
      <c r="E269"/>
      <c r="H269"/>
      <c r="J269"/>
      <c r="K269" s="13">
        <f>K270</f>
        <v>1539.59</v>
      </c>
      <c r="L269">
        <f t="shared" ref="L269:L279" si="55">K273</f>
        <v>1568.19</v>
      </c>
      <c r="N269"/>
      <c r="P269"/>
      <c r="S269"/>
      <c r="U269"/>
    </row>
    <row r="270" spans="1:21">
      <c r="A270" t="s">
        <v>390</v>
      </c>
      <c r="B270"/>
      <c r="E270"/>
      <c r="H270"/>
      <c r="J270"/>
      <c r="K270" s="13">
        <v>1539.59</v>
      </c>
      <c r="L270">
        <f t="shared" si="55"/>
        <v>1578.44</v>
      </c>
      <c r="M270" s="15">
        <f t="shared" ref="M270:M272" si="56">(L270-K270)/80</f>
        <v>0.48562500000000169</v>
      </c>
      <c r="N270"/>
      <c r="P270"/>
      <c r="S270"/>
      <c r="U270"/>
    </row>
    <row r="271" spans="1:21">
      <c r="A271" t="s">
        <v>535</v>
      </c>
      <c r="B271"/>
      <c r="E271"/>
      <c r="H271"/>
      <c r="J271"/>
      <c r="K271" s="13">
        <v>1551.45</v>
      </c>
      <c r="L271">
        <f t="shared" si="55"/>
        <v>1590.22</v>
      </c>
      <c r="N271"/>
      <c r="P271"/>
      <c r="S271"/>
      <c r="U271"/>
    </row>
    <row r="272" spans="1:21">
      <c r="A272" t="s">
        <v>391</v>
      </c>
      <c r="B272"/>
      <c r="E272"/>
      <c r="H272"/>
      <c r="J272"/>
      <c r="K272" s="13">
        <v>1560.65</v>
      </c>
      <c r="L272">
        <f t="shared" si="55"/>
        <v>1600.63</v>
      </c>
      <c r="M272" s="15">
        <f t="shared" si="56"/>
        <v>0.49975000000000025</v>
      </c>
      <c r="N272"/>
      <c r="P272"/>
      <c r="S272"/>
      <c r="U272"/>
    </row>
    <row r="273" spans="1:21">
      <c r="A273" t="s">
        <v>536</v>
      </c>
      <c r="B273"/>
      <c r="E273"/>
      <c r="H273"/>
      <c r="J273"/>
      <c r="K273" s="13">
        <v>1568.19</v>
      </c>
      <c r="L273">
        <f t="shared" si="55"/>
        <v>1611.72</v>
      </c>
      <c r="N273"/>
      <c r="P273"/>
      <c r="S273"/>
      <c r="U273"/>
    </row>
    <row r="274" spans="1:21">
      <c r="A274" t="s">
        <v>392</v>
      </c>
      <c r="B274"/>
      <c r="E274"/>
      <c r="H274"/>
      <c r="J274"/>
      <c r="K274" s="13">
        <v>1578.44</v>
      </c>
      <c r="L274">
        <f t="shared" si="55"/>
        <v>1622.22</v>
      </c>
      <c r="M274" s="15">
        <f t="shared" ref="M274:M348" si="57">(L274-K274)/80</f>
        <v>0.54724999999999968</v>
      </c>
      <c r="N274"/>
      <c r="P274"/>
      <c r="S274"/>
      <c r="U274"/>
    </row>
    <row r="275" spans="1:21">
      <c r="A275" t="s">
        <v>537</v>
      </c>
      <c r="B275"/>
      <c r="E275"/>
      <c r="H275"/>
      <c r="J275"/>
      <c r="K275" s="13">
        <v>1590.22</v>
      </c>
      <c r="L275">
        <f t="shared" si="55"/>
        <v>1632.19</v>
      </c>
      <c r="N275"/>
      <c r="P275"/>
      <c r="S275"/>
      <c r="U275"/>
    </row>
    <row r="276" spans="1:21">
      <c r="A276" t="s">
        <v>393</v>
      </c>
      <c r="B276"/>
      <c r="E276"/>
      <c r="H276"/>
      <c r="J276"/>
      <c r="K276" s="13">
        <v>1600.63</v>
      </c>
      <c r="L276">
        <f t="shared" si="55"/>
        <v>1641.14</v>
      </c>
      <c r="M276" s="15">
        <f t="shared" si="57"/>
        <v>0.50637499999999991</v>
      </c>
      <c r="N276"/>
      <c r="P276"/>
      <c r="S276"/>
      <c r="U276"/>
    </row>
    <row r="277" spans="1:21">
      <c r="A277" t="s">
        <v>538</v>
      </c>
      <c r="B277"/>
      <c r="E277"/>
      <c r="H277"/>
      <c r="J277"/>
      <c r="K277" s="13">
        <v>1611.72</v>
      </c>
      <c r="L277">
        <f t="shared" si="55"/>
        <v>1646.47</v>
      </c>
      <c r="N277"/>
      <c r="P277"/>
      <c r="S277"/>
      <c r="U277"/>
    </row>
    <row r="278" spans="1:21">
      <c r="A278" t="s">
        <v>394</v>
      </c>
      <c r="B278"/>
      <c r="E278"/>
      <c r="H278"/>
      <c r="J278"/>
      <c r="K278" s="13">
        <v>1622.22</v>
      </c>
      <c r="L278">
        <f t="shared" si="55"/>
        <v>1650.92</v>
      </c>
      <c r="M278" s="15">
        <f t="shared" si="57"/>
        <v>0.35875000000000057</v>
      </c>
      <c r="N278"/>
      <c r="P278"/>
      <c r="S278"/>
      <c r="U278"/>
    </row>
    <row r="279" spans="1:21">
      <c r="A279" t="s">
        <v>539</v>
      </c>
      <c r="B279"/>
      <c r="E279"/>
      <c r="H279"/>
      <c r="J279"/>
      <c r="K279" s="13">
        <v>1632.19</v>
      </c>
      <c r="L279">
        <f t="shared" si="55"/>
        <v>1655.83</v>
      </c>
      <c r="N279"/>
      <c r="P279"/>
      <c r="S279"/>
      <c r="U279"/>
    </row>
    <row r="280" spans="1:21">
      <c r="A280" t="s">
        <v>395</v>
      </c>
      <c r="B280"/>
      <c r="E280"/>
      <c r="H280"/>
      <c r="J280"/>
      <c r="K280" s="13">
        <v>1641.14</v>
      </c>
      <c r="L280">
        <f t="shared" ref="L280" si="58">K284</f>
        <v>1658.63</v>
      </c>
      <c r="M280" s="15">
        <f t="shared" si="57"/>
        <v>0.21862500000000012</v>
      </c>
      <c r="N280"/>
      <c r="P280"/>
      <c r="S280"/>
      <c r="U280"/>
    </row>
    <row r="281" spans="1:21">
      <c r="A281" t="s">
        <v>540</v>
      </c>
      <c r="B281"/>
      <c r="E281"/>
      <c r="H281"/>
      <c r="J281"/>
      <c r="K281" s="13">
        <v>1646.47</v>
      </c>
      <c r="L281">
        <v>1660.27</v>
      </c>
      <c r="N281"/>
      <c r="P281"/>
      <c r="S281"/>
      <c r="U281"/>
    </row>
    <row r="282" spans="1:21">
      <c r="A282" t="s">
        <v>396</v>
      </c>
      <c r="B282"/>
      <c r="E282"/>
      <c r="H282"/>
      <c r="J282"/>
      <c r="K282" s="13">
        <v>1650.92</v>
      </c>
      <c r="L282">
        <v>1661.73</v>
      </c>
      <c r="M282" s="15">
        <f t="shared" si="57"/>
        <v>0.13512499999999933</v>
      </c>
      <c r="N282"/>
      <c r="P282"/>
      <c r="S282"/>
      <c r="U282"/>
    </row>
    <row r="283" spans="1:21">
      <c r="A283" t="s">
        <v>541</v>
      </c>
      <c r="B283"/>
      <c r="E283"/>
      <c r="H283"/>
      <c r="J283"/>
      <c r="K283" s="13">
        <v>1655.83</v>
      </c>
      <c r="L283">
        <f>L284</f>
        <v>1662.44</v>
      </c>
      <c r="N283"/>
      <c r="P283"/>
      <c r="S283"/>
      <c r="U283"/>
    </row>
    <row r="284" spans="1:21">
      <c r="A284" s="5" t="s">
        <v>397</v>
      </c>
      <c r="B284" s="5"/>
      <c r="C284" s="5"/>
      <c r="D284" s="5"/>
      <c r="E284" s="5"/>
      <c r="F284" s="5"/>
      <c r="G284" s="5"/>
      <c r="H284" s="5"/>
      <c r="I284" s="5"/>
      <c r="J284" s="5"/>
      <c r="K284" s="4">
        <v>1658.63</v>
      </c>
      <c r="L284" s="5">
        <v>1662.44</v>
      </c>
      <c r="M284" s="6">
        <f t="shared" si="57"/>
        <v>4.7624999999999321E-2</v>
      </c>
      <c r="N284"/>
      <c r="P284"/>
      <c r="S284"/>
      <c r="U284"/>
    </row>
    <row r="285" spans="1:21">
      <c r="A285" t="s">
        <v>542</v>
      </c>
      <c r="B285"/>
      <c r="E285"/>
      <c r="H285"/>
      <c r="J285"/>
      <c r="K285" s="13">
        <f>K286</f>
        <v>1558.05</v>
      </c>
      <c r="L285">
        <f t="shared" ref="L285:L293" si="59">K289</f>
        <v>1584.16</v>
      </c>
      <c r="M285" s="15">
        <f t="shared" si="57"/>
        <v>0.32637500000000158</v>
      </c>
      <c r="N285"/>
      <c r="P285"/>
      <c r="S285"/>
      <c r="U285"/>
    </row>
    <row r="286" spans="1:21">
      <c r="A286" t="s">
        <v>398</v>
      </c>
      <c r="B286"/>
      <c r="E286"/>
      <c r="H286"/>
      <c r="J286"/>
      <c r="K286" s="13">
        <v>1558.05</v>
      </c>
      <c r="L286">
        <f t="shared" si="59"/>
        <v>1591.6</v>
      </c>
      <c r="M286" s="15">
        <f t="shared" si="57"/>
        <v>0.41937499999999944</v>
      </c>
      <c r="N286"/>
      <c r="P286"/>
      <c r="S286"/>
      <c r="U286"/>
    </row>
    <row r="287" spans="1:21">
      <c r="A287" t="s">
        <v>543</v>
      </c>
      <c r="B287"/>
      <c r="E287"/>
      <c r="H287"/>
      <c r="J287"/>
      <c r="K287" s="13">
        <v>1567.11</v>
      </c>
      <c r="L287">
        <f t="shared" si="59"/>
        <v>1600.3</v>
      </c>
      <c r="M287" s="15">
        <f t="shared" si="57"/>
        <v>0.41487500000000066</v>
      </c>
      <c r="N287"/>
      <c r="P287"/>
      <c r="S287"/>
      <c r="U287"/>
    </row>
    <row r="288" spans="1:21">
      <c r="A288" t="s">
        <v>399</v>
      </c>
      <c r="B288"/>
      <c r="E288"/>
      <c r="H288"/>
      <c r="J288"/>
      <c r="K288" s="13">
        <v>1574.93</v>
      </c>
      <c r="L288">
        <f t="shared" si="59"/>
        <v>1608.56</v>
      </c>
      <c r="M288" s="15">
        <f t="shared" si="57"/>
        <v>0.4203749999999985</v>
      </c>
      <c r="N288"/>
      <c r="P288"/>
      <c r="S288"/>
      <c r="U288"/>
    </row>
    <row r="289" spans="1:21">
      <c r="A289" t="s">
        <v>544</v>
      </c>
      <c r="B289"/>
      <c r="E289"/>
      <c r="H289"/>
      <c r="J289"/>
      <c r="K289" s="13">
        <v>1584.16</v>
      </c>
      <c r="L289">
        <f t="shared" si="59"/>
        <v>1620.55</v>
      </c>
      <c r="M289" s="15">
        <f t="shared" si="57"/>
        <v>0.45487499999999842</v>
      </c>
      <c r="N289"/>
      <c r="P289"/>
      <c r="S289"/>
      <c r="U289"/>
    </row>
    <row r="290" spans="1:21">
      <c r="A290" t="s">
        <v>400</v>
      </c>
      <c r="B290"/>
      <c r="E290"/>
      <c r="H290"/>
      <c r="J290"/>
      <c r="K290" s="13">
        <v>1591.6</v>
      </c>
      <c r="L290">
        <f t="shared" si="59"/>
        <v>1630.58</v>
      </c>
      <c r="M290" s="15">
        <f t="shared" si="57"/>
        <v>0.48725000000000024</v>
      </c>
      <c r="N290"/>
      <c r="P290"/>
      <c r="S290"/>
      <c r="U290"/>
    </row>
    <row r="291" spans="1:21">
      <c r="A291" t="s">
        <v>545</v>
      </c>
      <c r="B291"/>
      <c r="E291"/>
      <c r="H291"/>
      <c r="J291"/>
      <c r="K291" s="13">
        <v>1600.3</v>
      </c>
      <c r="L291">
        <f t="shared" si="59"/>
        <v>1644.18</v>
      </c>
      <c r="M291" s="15">
        <f t="shared" si="57"/>
        <v>0.54850000000000132</v>
      </c>
      <c r="N291"/>
      <c r="P291"/>
      <c r="S291"/>
      <c r="U291"/>
    </row>
    <row r="292" spans="1:21">
      <c r="A292" t="s">
        <v>401</v>
      </c>
      <c r="B292"/>
      <c r="E292"/>
      <c r="H292"/>
      <c r="J292"/>
      <c r="K292" s="13">
        <v>1608.56</v>
      </c>
      <c r="L292">
        <f t="shared" si="59"/>
        <v>1651.07</v>
      </c>
      <c r="M292" s="15">
        <f t="shared" si="57"/>
        <v>0.53137499999999993</v>
      </c>
      <c r="N292"/>
      <c r="P292"/>
      <c r="S292"/>
      <c r="U292"/>
    </row>
    <row r="293" spans="1:21">
      <c r="A293" t="s">
        <v>546</v>
      </c>
      <c r="B293"/>
      <c r="E293"/>
      <c r="H293"/>
      <c r="J293"/>
      <c r="K293" s="13">
        <v>1620.55</v>
      </c>
      <c r="L293">
        <f t="shared" si="59"/>
        <v>1658.06</v>
      </c>
      <c r="M293" s="15">
        <f t="shared" si="57"/>
        <v>0.46887499999999988</v>
      </c>
      <c r="N293"/>
      <c r="P293"/>
      <c r="S293"/>
      <c r="U293"/>
    </row>
    <row r="294" spans="1:21">
      <c r="A294" t="s">
        <v>402</v>
      </c>
      <c r="B294"/>
      <c r="E294"/>
      <c r="H294"/>
      <c r="J294"/>
      <c r="K294" s="13">
        <v>1630.58</v>
      </c>
      <c r="L294">
        <f t="shared" ref="L294" si="60">K298</f>
        <v>1661.64</v>
      </c>
      <c r="M294" s="15">
        <f t="shared" si="57"/>
        <v>0.38825000000000215</v>
      </c>
      <c r="N294"/>
      <c r="P294"/>
      <c r="S294"/>
      <c r="U294"/>
    </row>
    <row r="295" spans="1:21">
      <c r="A295" t="s">
        <v>547</v>
      </c>
      <c r="B295"/>
      <c r="E295"/>
      <c r="H295"/>
      <c r="J295"/>
      <c r="K295" s="13">
        <v>1644.18</v>
      </c>
      <c r="L295">
        <v>1662.75</v>
      </c>
      <c r="M295" s="15">
        <f t="shared" si="57"/>
        <v>0.23212499999999919</v>
      </c>
      <c r="N295"/>
      <c r="P295"/>
      <c r="S295"/>
      <c r="U295"/>
    </row>
    <row r="296" spans="1:21">
      <c r="A296" t="s">
        <v>403</v>
      </c>
      <c r="B296"/>
      <c r="E296"/>
      <c r="H296"/>
      <c r="J296"/>
      <c r="K296" s="13">
        <v>1651.07</v>
      </c>
      <c r="L296">
        <v>1663.09</v>
      </c>
      <c r="M296" s="15">
        <f t="shared" si="57"/>
        <v>0.15024999999999977</v>
      </c>
      <c r="N296"/>
      <c r="P296"/>
      <c r="S296"/>
      <c r="U296"/>
    </row>
    <row r="297" spans="1:21">
      <c r="A297" t="s">
        <v>548</v>
      </c>
      <c r="B297"/>
      <c r="E297"/>
      <c r="H297"/>
      <c r="J297"/>
      <c r="K297" s="13">
        <v>1658.06</v>
      </c>
      <c r="L297">
        <f>L298</f>
        <v>1663.21</v>
      </c>
      <c r="M297" s="15">
        <f t="shared" si="57"/>
        <v>6.437500000000114E-2</v>
      </c>
      <c r="N297"/>
      <c r="P297"/>
      <c r="S297"/>
      <c r="U297"/>
    </row>
    <row r="298" spans="1:21">
      <c r="A298" s="5" t="s">
        <v>429</v>
      </c>
      <c r="B298" s="5"/>
      <c r="C298" s="5"/>
      <c r="D298" s="5"/>
      <c r="E298" s="5"/>
      <c r="F298" s="5"/>
      <c r="G298" s="5"/>
      <c r="H298" s="5"/>
      <c r="I298" s="5"/>
      <c r="J298" s="5"/>
      <c r="K298" s="4">
        <v>1661.64</v>
      </c>
      <c r="L298" s="5">
        <v>1663.21</v>
      </c>
      <c r="M298" s="6">
        <f t="shared" si="57"/>
        <v>1.9624999999999206E-2</v>
      </c>
      <c r="N298"/>
      <c r="P298"/>
      <c r="S298"/>
      <c r="U298"/>
    </row>
    <row r="299" spans="1:21">
      <c r="A299" t="s">
        <v>549</v>
      </c>
      <c r="B299"/>
      <c r="E299"/>
      <c r="H299"/>
      <c r="J299"/>
      <c r="K299" s="13">
        <f>K300</f>
        <v>1574.22</v>
      </c>
      <c r="L299">
        <f>K303</f>
        <v>1617.22</v>
      </c>
      <c r="M299" s="15">
        <f t="shared" si="57"/>
        <v>0.53749999999999998</v>
      </c>
      <c r="N299"/>
      <c r="P299"/>
      <c r="S299"/>
      <c r="U299"/>
    </row>
    <row r="300" spans="1:21">
      <c r="A300" t="s">
        <v>404</v>
      </c>
      <c r="B300"/>
      <c r="E300"/>
      <c r="H300"/>
      <c r="J300"/>
      <c r="K300" s="13">
        <v>1574.22</v>
      </c>
      <c r="L300">
        <f>K304</f>
        <v>1636.07</v>
      </c>
      <c r="M300" s="15">
        <f t="shared" si="57"/>
        <v>0.77312499999999884</v>
      </c>
      <c r="N300"/>
      <c r="P300"/>
      <c r="S300"/>
      <c r="U300"/>
    </row>
    <row r="301" spans="1:21">
      <c r="A301" t="s">
        <v>550</v>
      </c>
      <c r="B301"/>
      <c r="E301"/>
      <c r="H301"/>
      <c r="J301"/>
      <c r="K301" s="13">
        <v>1586.64</v>
      </c>
      <c r="L301">
        <f>K305</f>
        <v>1649.26</v>
      </c>
      <c r="M301" s="15">
        <f t="shared" si="57"/>
        <v>0.78274999999999861</v>
      </c>
      <c r="N301"/>
      <c r="P301"/>
      <c r="S301"/>
      <c r="U301"/>
    </row>
    <row r="302" spans="1:21">
      <c r="A302" t="s">
        <v>405</v>
      </c>
      <c r="B302"/>
      <c r="E302"/>
      <c r="H302"/>
      <c r="J302"/>
      <c r="K302" s="13">
        <v>1600.47</v>
      </c>
      <c r="L302">
        <f>K306</f>
        <v>1657.16</v>
      </c>
      <c r="M302" s="15">
        <f t="shared" si="57"/>
        <v>0.70862500000000073</v>
      </c>
      <c r="N302"/>
      <c r="P302"/>
      <c r="S302"/>
      <c r="U302"/>
    </row>
    <row r="303" spans="1:21">
      <c r="A303" t="s">
        <v>551</v>
      </c>
      <c r="B303"/>
      <c r="E303"/>
      <c r="H303"/>
      <c r="J303"/>
      <c r="K303" s="13">
        <v>1617.22</v>
      </c>
      <c r="L303">
        <f>K307</f>
        <v>1661.92</v>
      </c>
      <c r="M303" s="15">
        <f t="shared" si="57"/>
        <v>0.55875000000000052</v>
      </c>
      <c r="N303"/>
      <c r="P303"/>
      <c r="S303"/>
      <c r="U303"/>
    </row>
    <row r="304" spans="1:21">
      <c r="A304" t="s">
        <v>406</v>
      </c>
      <c r="B304"/>
      <c r="E304"/>
      <c r="H304"/>
      <c r="J304"/>
      <c r="K304" s="13">
        <v>1636.07</v>
      </c>
      <c r="L304">
        <f t="shared" ref="L304" si="61">K308</f>
        <v>1663.18</v>
      </c>
      <c r="M304" s="15">
        <f t="shared" si="57"/>
        <v>0.33887500000000159</v>
      </c>
      <c r="N304"/>
      <c r="P304"/>
      <c r="S304"/>
      <c r="U304"/>
    </row>
    <row r="305" spans="1:21">
      <c r="A305" t="s">
        <v>552</v>
      </c>
      <c r="B305"/>
      <c r="E305"/>
      <c r="H305"/>
      <c r="J305"/>
      <c r="K305" s="13">
        <v>1649.26</v>
      </c>
      <c r="L305">
        <v>1663.66</v>
      </c>
      <c r="M305" s="15">
        <f t="shared" si="57"/>
        <v>0.18000000000000113</v>
      </c>
      <c r="N305"/>
      <c r="P305"/>
      <c r="S305"/>
      <c r="U305"/>
    </row>
    <row r="306" spans="1:21">
      <c r="A306" t="s">
        <v>407</v>
      </c>
      <c r="B306"/>
      <c r="E306"/>
      <c r="H306"/>
      <c r="J306"/>
      <c r="K306" s="13">
        <v>1657.16</v>
      </c>
      <c r="L306">
        <v>1663.62</v>
      </c>
      <c r="M306" s="15">
        <f t="shared" si="57"/>
        <v>8.0749999999997615E-2</v>
      </c>
      <c r="N306"/>
      <c r="P306"/>
      <c r="S306"/>
      <c r="U306"/>
    </row>
    <row r="307" spans="1:21">
      <c r="A307" t="s">
        <v>553</v>
      </c>
      <c r="B307"/>
      <c r="E307"/>
      <c r="H307"/>
      <c r="J307"/>
      <c r="K307" s="13">
        <v>1661.92</v>
      </c>
      <c r="L307">
        <f>L308</f>
        <v>1663.92</v>
      </c>
      <c r="M307" s="15">
        <f t="shared" si="57"/>
        <v>2.5000000000000001E-2</v>
      </c>
      <c r="N307"/>
      <c r="P307"/>
      <c r="S307"/>
      <c r="U307"/>
    </row>
    <row r="308" spans="1:21">
      <c r="A308" s="5" t="s">
        <v>408</v>
      </c>
      <c r="B308" s="5"/>
      <c r="C308" s="5"/>
      <c r="D308" s="5"/>
      <c r="E308" s="5"/>
      <c r="F308" s="5"/>
      <c r="G308" s="5"/>
      <c r="H308" s="5"/>
      <c r="I308" s="5"/>
      <c r="J308" s="5"/>
      <c r="K308" s="4">
        <v>1663.18</v>
      </c>
      <c r="L308" s="5">
        <v>1663.92</v>
      </c>
      <c r="M308" s="6">
        <f t="shared" si="57"/>
        <v>9.250000000000114E-3</v>
      </c>
      <c r="N308"/>
      <c r="P308"/>
      <c r="S308"/>
      <c r="U308"/>
    </row>
    <row r="309" spans="1:21">
      <c r="A309" t="s">
        <v>554</v>
      </c>
      <c r="B309"/>
      <c r="E309"/>
      <c r="H309"/>
      <c r="J309"/>
      <c r="K309" s="13">
        <f>K310</f>
        <v>1604.56</v>
      </c>
      <c r="L309">
        <f>K313</f>
        <v>1650.01</v>
      </c>
      <c r="M309" s="15">
        <f t="shared" si="57"/>
        <v>0.56812500000000055</v>
      </c>
      <c r="N309"/>
      <c r="P309"/>
      <c r="S309"/>
      <c r="U309"/>
    </row>
    <row r="310" spans="1:21">
      <c r="A310" t="s">
        <v>409</v>
      </c>
      <c r="B310"/>
      <c r="E310"/>
      <c r="H310"/>
      <c r="J310"/>
      <c r="K310" s="13">
        <v>1604.56</v>
      </c>
      <c r="L310">
        <f>K314</f>
        <v>1657.69</v>
      </c>
      <c r="M310" s="15">
        <f t="shared" si="57"/>
        <v>0.66412500000000141</v>
      </c>
      <c r="N310"/>
      <c r="P310"/>
      <c r="S310"/>
      <c r="U310"/>
    </row>
    <row r="311" spans="1:21">
      <c r="A311" t="s">
        <v>555</v>
      </c>
      <c r="B311"/>
      <c r="E311"/>
      <c r="H311"/>
      <c r="J311"/>
      <c r="K311" s="13">
        <v>1616.57</v>
      </c>
      <c r="L311">
        <f>K315</f>
        <v>1663.35</v>
      </c>
      <c r="M311" s="15">
        <f t="shared" si="57"/>
        <v>0.58474999999999966</v>
      </c>
      <c r="N311"/>
      <c r="P311"/>
      <c r="S311"/>
      <c r="U311"/>
    </row>
    <row r="312" spans="1:21">
      <c r="A312" t="s">
        <v>410</v>
      </c>
      <c r="B312"/>
      <c r="E312"/>
      <c r="H312"/>
      <c r="J312"/>
      <c r="K312" s="13">
        <v>1632.94</v>
      </c>
      <c r="L312">
        <f>K316</f>
        <v>1665.09</v>
      </c>
      <c r="M312" s="15">
        <f t="shared" si="57"/>
        <v>0.40187499999999832</v>
      </c>
      <c r="N312"/>
      <c r="P312"/>
      <c r="S312"/>
      <c r="U312"/>
    </row>
    <row r="313" spans="1:21">
      <c r="A313" t="s">
        <v>556</v>
      </c>
      <c r="B313"/>
      <c r="E313"/>
      <c r="H313"/>
      <c r="J313"/>
      <c r="K313" s="13">
        <v>1650.01</v>
      </c>
      <c r="L313">
        <f>K317</f>
        <v>1665.6</v>
      </c>
      <c r="M313" s="15">
        <f t="shared" si="57"/>
        <v>0.19487499999999897</v>
      </c>
      <c r="N313"/>
      <c r="P313"/>
      <c r="S313"/>
      <c r="U313"/>
    </row>
    <row r="314" spans="1:21">
      <c r="A314" t="s">
        <v>411</v>
      </c>
      <c r="B314"/>
      <c r="E314"/>
      <c r="H314"/>
      <c r="J314"/>
      <c r="K314" s="13">
        <v>1657.69</v>
      </c>
      <c r="L314">
        <f t="shared" ref="L314" si="62">K318</f>
        <v>1666.12</v>
      </c>
      <c r="M314" s="15">
        <f t="shared" si="57"/>
        <v>0.10537499999999796</v>
      </c>
      <c r="N314"/>
      <c r="P314"/>
      <c r="S314"/>
      <c r="U314"/>
    </row>
    <row r="315" spans="1:21">
      <c r="A315" t="s">
        <v>558</v>
      </c>
      <c r="B315"/>
      <c r="E315"/>
      <c r="H315"/>
      <c r="J315"/>
      <c r="K315" s="13">
        <v>1663.35</v>
      </c>
      <c r="L315">
        <v>1666.5</v>
      </c>
      <c r="M315" s="15">
        <f t="shared" si="57"/>
        <v>3.9375000000001138E-2</v>
      </c>
      <c r="N315"/>
      <c r="P315"/>
      <c r="S315"/>
      <c r="U315"/>
    </row>
    <row r="316" spans="1:21">
      <c r="A316" t="s">
        <v>412</v>
      </c>
      <c r="B316"/>
      <c r="E316"/>
      <c r="H316"/>
      <c r="J316"/>
      <c r="K316" s="13">
        <v>1665.09</v>
      </c>
      <c r="L316">
        <v>1666.75</v>
      </c>
      <c r="M316" s="15">
        <f t="shared" si="57"/>
        <v>2.0750000000001025E-2</v>
      </c>
      <c r="N316"/>
      <c r="P316"/>
      <c r="S316"/>
      <c r="U316"/>
    </row>
    <row r="317" spans="1:21">
      <c r="A317" t="s">
        <v>557</v>
      </c>
      <c r="B317"/>
      <c r="E317"/>
      <c r="H317"/>
      <c r="J317"/>
      <c r="K317" s="13">
        <v>1665.6</v>
      </c>
      <c r="L317">
        <f>L318</f>
        <v>1666.8</v>
      </c>
      <c r="M317" s="15">
        <f t="shared" si="57"/>
        <v>1.5000000000000568E-2</v>
      </c>
      <c r="N317"/>
      <c r="P317"/>
      <c r="S317"/>
      <c r="U317"/>
    </row>
    <row r="318" spans="1:21">
      <c r="A318" s="5" t="s">
        <v>413</v>
      </c>
      <c r="B318" s="5"/>
      <c r="C318" s="5"/>
      <c r="D318" s="5"/>
      <c r="E318" s="5"/>
      <c r="F318" s="5"/>
      <c r="G318" s="5"/>
      <c r="H318" s="5"/>
      <c r="I318" s="5"/>
      <c r="J318" s="5"/>
      <c r="K318" s="4">
        <v>1666.12</v>
      </c>
      <c r="L318" s="5">
        <v>1666.8</v>
      </c>
      <c r="M318" s="6">
        <f t="shared" si="57"/>
        <v>8.5000000000007951E-3</v>
      </c>
      <c r="N318"/>
      <c r="P318"/>
      <c r="S318"/>
      <c r="U318"/>
    </row>
    <row r="319" spans="1:21">
      <c r="A319" t="s">
        <v>559</v>
      </c>
      <c r="B319"/>
      <c r="E319"/>
      <c r="H319"/>
      <c r="J319"/>
      <c r="K319" s="13">
        <f>K320</f>
        <v>1622.86</v>
      </c>
      <c r="L319">
        <f>K323</f>
        <v>1659.13</v>
      </c>
      <c r="M319" s="15">
        <f t="shared" si="57"/>
        <v>0.45337500000000264</v>
      </c>
      <c r="N319"/>
      <c r="P319"/>
      <c r="S319"/>
      <c r="U319"/>
    </row>
    <row r="320" spans="1:21">
      <c r="A320" t="s">
        <v>414</v>
      </c>
      <c r="K320" s="13">
        <v>1622.86</v>
      </c>
      <c r="L320">
        <f>K324</f>
        <v>1664.83</v>
      </c>
      <c r="M320" s="15">
        <f t="shared" si="57"/>
        <v>0.52462500000000034</v>
      </c>
    </row>
    <row r="321" spans="1:13">
      <c r="A321" t="s">
        <v>560</v>
      </c>
      <c r="K321" s="13">
        <v>1633.72</v>
      </c>
      <c r="L321">
        <f>K325</f>
        <v>1667.62</v>
      </c>
      <c r="M321" s="15">
        <f t="shared" si="57"/>
        <v>0.42374999999999829</v>
      </c>
    </row>
    <row r="322" spans="1:13">
      <c r="A322" t="s">
        <v>417</v>
      </c>
      <c r="K322" s="13">
        <v>1651.08</v>
      </c>
      <c r="L322">
        <f>K326</f>
        <v>1668.43</v>
      </c>
      <c r="M322" s="15">
        <f t="shared" si="57"/>
        <v>0.21687500000000171</v>
      </c>
    </row>
    <row r="323" spans="1:13">
      <c r="A323" t="s">
        <v>561</v>
      </c>
      <c r="K323" s="13">
        <v>1659.13</v>
      </c>
      <c r="L323">
        <v>1668.6</v>
      </c>
      <c r="M323" s="15">
        <f t="shared" si="57"/>
        <v>0.1183749999999975</v>
      </c>
    </row>
    <row r="324" spans="1:13">
      <c r="A324" t="s">
        <v>415</v>
      </c>
      <c r="K324" s="13">
        <v>1664.83</v>
      </c>
      <c r="L324">
        <v>1668.83</v>
      </c>
      <c r="M324" s="15">
        <f t="shared" si="57"/>
        <v>0.05</v>
      </c>
    </row>
    <row r="325" spans="1:13">
      <c r="A325" t="s">
        <v>562</v>
      </c>
      <c r="K325" s="13">
        <v>1667.62</v>
      </c>
      <c r="L325">
        <f>L326</f>
        <v>1668.73</v>
      </c>
      <c r="M325" s="15">
        <f t="shared" si="57"/>
        <v>1.3875000000001591E-2</v>
      </c>
    </row>
    <row r="326" spans="1:13">
      <c r="A326" s="5" t="s">
        <v>416</v>
      </c>
      <c r="B326" s="4"/>
      <c r="C326" s="5"/>
      <c r="D326" s="5"/>
      <c r="E326" s="4"/>
      <c r="F326" s="5"/>
      <c r="G326" s="5"/>
      <c r="H326" s="4"/>
      <c r="I326" s="5"/>
      <c r="J326" s="6"/>
      <c r="K326" s="4">
        <v>1668.43</v>
      </c>
      <c r="L326" s="5">
        <v>1668.73</v>
      </c>
      <c r="M326" s="6">
        <f t="shared" si="57"/>
        <v>3.7499999999994317E-3</v>
      </c>
    </row>
    <row r="327" spans="1:13">
      <c r="A327" t="s">
        <v>563</v>
      </c>
      <c r="K327" s="13">
        <f>K328</f>
        <v>1641.24</v>
      </c>
      <c r="L327">
        <f>K331</f>
        <v>1667.21</v>
      </c>
      <c r="M327" s="15">
        <f t="shared" si="57"/>
        <v>0.32462500000000033</v>
      </c>
    </row>
    <row r="328" spans="1:13">
      <c r="A328" t="s">
        <v>418</v>
      </c>
      <c r="K328" s="13">
        <v>1641.24</v>
      </c>
      <c r="L328">
        <v>1671.25</v>
      </c>
      <c r="M328" s="15">
        <f t="shared" si="57"/>
        <v>0.37512499999999988</v>
      </c>
    </row>
    <row r="329" spans="1:13">
      <c r="A329" t="s">
        <v>564</v>
      </c>
      <c r="K329" s="13">
        <v>1653.17</v>
      </c>
      <c r="L329">
        <v>1672.71</v>
      </c>
      <c r="M329" s="15">
        <f t="shared" si="57"/>
        <v>0.24424999999999955</v>
      </c>
    </row>
    <row r="330" spans="1:13">
      <c r="A330" t="s">
        <v>419</v>
      </c>
      <c r="K330" s="13">
        <v>1660.76</v>
      </c>
      <c r="L330">
        <v>1673.23</v>
      </c>
      <c r="M330" s="15">
        <f t="shared" si="57"/>
        <v>0.15587500000000035</v>
      </c>
    </row>
    <row r="331" spans="1:13">
      <c r="A331" t="s">
        <v>565</v>
      </c>
      <c r="K331" s="13">
        <v>1667.21</v>
      </c>
      <c r="L331">
        <f>L332</f>
        <v>1673.58</v>
      </c>
      <c r="M331" s="15">
        <f t="shared" si="57"/>
        <v>7.9624999999998641E-2</v>
      </c>
    </row>
    <row r="332" spans="1:13">
      <c r="A332" s="5" t="s">
        <v>420</v>
      </c>
      <c r="B332" s="4"/>
      <c r="C332" s="5"/>
      <c r="D332" s="5"/>
      <c r="E332" s="4"/>
      <c r="F332" s="5"/>
      <c r="G332" s="5"/>
      <c r="H332" s="4"/>
      <c r="I332" s="5"/>
      <c r="J332" s="6"/>
      <c r="K332" s="4">
        <v>1671.25</v>
      </c>
      <c r="L332" s="5">
        <v>1673.58</v>
      </c>
      <c r="M332" s="6">
        <f t="shared" si="57"/>
        <v>2.9124999999999089E-2</v>
      </c>
    </row>
    <row r="333" spans="1:13">
      <c r="A333" t="s">
        <v>566</v>
      </c>
      <c r="K333" s="13">
        <f>K334</f>
        <v>1651.17</v>
      </c>
      <c r="L333">
        <f>K337</f>
        <v>1672.9</v>
      </c>
      <c r="M333" s="15">
        <f t="shared" si="57"/>
        <v>0.27162500000000023</v>
      </c>
    </row>
    <row r="334" spans="1:13">
      <c r="A334" t="s">
        <v>421</v>
      </c>
      <c r="K334" s="13">
        <v>1651.17</v>
      </c>
      <c r="L334">
        <f>K338</f>
        <v>1675.08</v>
      </c>
      <c r="M334" s="15">
        <f t="shared" si="57"/>
        <v>0.29887499999999817</v>
      </c>
    </row>
    <row r="335" spans="1:13">
      <c r="A335" t="s">
        <v>567</v>
      </c>
      <c r="K335" s="13">
        <v>1660.11</v>
      </c>
      <c r="L335">
        <f>K339</f>
        <v>1676.19</v>
      </c>
      <c r="M335" s="15">
        <f t="shared" si="57"/>
        <v>0.20100000000000193</v>
      </c>
    </row>
    <row r="336" spans="1:13">
      <c r="A336" t="s">
        <v>422</v>
      </c>
      <c r="K336" s="13">
        <v>1667.6</v>
      </c>
      <c r="L336">
        <f>K340</f>
        <v>1676.96</v>
      </c>
      <c r="M336" s="15">
        <f t="shared" si="57"/>
        <v>0.11700000000000159</v>
      </c>
    </row>
    <row r="337" spans="1:13">
      <c r="A337" t="s">
        <v>568</v>
      </c>
      <c r="K337" s="13">
        <v>1672.9</v>
      </c>
      <c r="L337">
        <v>1677.28</v>
      </c>
      <c r="M337" s="15">
        <f t="shared" si="57"/>
        <v>5.4749999999998522E-2</v>
      </c>
    </row>
    <row r="338" spans="1:13">
      <c r="A338" t="s">
        <v>423</v>
      </c>
      <c r="K338" s="13">
        <v>1675.08</v>
      </c>
      <c r="L338">
        <v>1677.55</v>
      </c>
      <c r="M338" s="15">
        <f t="shared" si="57"/>
        <v>3.087500000000034E-2</v>
      </c>
    </row>
    <row r="339" spans="1:13">
      <c r="A339" t="s">
        <v>569</v>
      </c>
      <c r="K339" s="13">
        <v>1676.19</v>
      </c>
      <c r="L339">
        <f>L340</f>
        <v>1677.52</v>
      </c>
      <c r="M339" s="15">
        <f t="shared" si="57"/>
        <v>1.6624999999999092E-2</v>
      </c>
    </row>
    <row r="340" spans="1:13">
      <c r="A340" s="5" t="s">
        <v>424</v>
      </c>
      <c r="B340" s="4"/>
      <c r="C340" s="5"/>
      <c r="D340" s="5"/>
      <c r="E340" s="4"/>
      <c r="F340" s="5"/>
      <c r="G340" s="5"/>
      <c r="H340" s="4"/>
      <c r="I340" s="5"/>
      <c r="J340" s="6"/>
      <c r="K340" s="4">
        <v>1676.96</v>
      </c>
      <c r="L340" s="5">
        <v>1677.52</v>
      </c>
      <c r="M340" s="6">
        <f t="shared" si="57"/>
        <v>6.9999999999993175E-3</v>
      </c>
    </row>
    <row r="341" spans="1:13">
      <c r="A341" t="s">
        <v>570</v>
      </c>
      <c r="K341" s="13">
        <f>K342</f>
        <v>1661.24</v>
      </c>
      <c r="L341">
        <f>K345</f>
        <v>1679.12</v>
      </c>
      <c r="M341" s="15">
        <f t="shared" si="57"/>
        <v>0.22349999999999853</v>
      </c>
    </row>
    <row r="342" spans="1:13">
      <c r="A342" t="s">
        <v>425</v>
      </c>
      <c r="K342" s="13">
        <v>1661.24</v>
      </c>
      <c r="L342">
        <f>K346</f>
        <v>1680.12</v>
      </c>
      <c r="M342" s="15">
        <f t="shared" si="57"/>
        <v>0.23599999999999852</v>
      </c>
    </row>
    <row r="343" spans="1:13">
      <c r="A343" t="s">
        <v>571</v>
      </c>
      <c r="K343" s="13">
        <v>1670.63</v>
      </c>
      <c r="L343">
        <f>K347</f>
        <v>1680.74</v>
      </c>
      <c r="M343" s="15">
        <f t="shared" si="57"/>
        <v>0.12637499999999874</v>
      </c>
    </row>
    <row r="344" spans="1:13">
      <c r="A344" t="s">
        <v>426</v>
      </c>
      <c r="K344" s="13">
        <v>1677.08</v>
      </c>
      <c r="L344">
        <f>K348</f>
        <v>1681.2</v>
      </c>
      <c r="M344" s="15">
        <f t="shared" si="57"/>
        <v>5.1500000000001475E-2</v>
      </c>
    </row>
    <row r="345" spans="1:13">
      <c r="A345" t="s">
        <v>572</v>
      </c>
      <c r="K345" s="13">
        <v>1679.12</v>
      </c>
      <c r="L345">
        <v>1681.82</v>
      </c>
      <c r="M345" s="15">
        <f t="shared" si="57"/>
        <v>3.3750000000000571E-2</v>
      </c>
    </row>
    <row r="346" spans="1:13">
      <c r="A346" t="s">
        <v>427</v>
      </c>
      <c r="K346" s="13">
        <v>1680.12</v>
      </c>
      <c r="L346">
        <v>1682.46</v>
      </c>
      <c r="M346" s="15">
        <f t="shared" si="57"/>
        <v>2.925000000000182E-2</v>
      </c>
    </row>
    <row r="347" spans="1:13">
      <c r="A347" t="s">
        <v>573</v>
      </c>
      <c r="K347" s="13">
        <v>1680.74</v>
      </c>
      <c r="L347">
        <f>L348</f>
        <v>1682.81</v>
      </c>
      <c r="M347" s="15">
        <f t="shared" si="57"/>
        <v>2.5874999999999204E-2</v>
      </c>
    </row>
    <row r="348" spans="1:13">
      <c r="A348" s="5" t="s">
        <v>428</v>
      </c>
      <c r="B348" s="4"/>
      <c r="C348" s="5"/>
      <c r="D348" s="5"/>
      <c r="E348" s="4"/>
      <c r="F348" s="5"/>
      <c r="G348" s="5"/>
      <c r="H348" s="4"/>
      <c r="I348" s="5"/>
      <c r="J348" s="6"/>
      <c r="K348" s="4">
        <v>1681.2</v>
      </c>
      <c r="L348" s="5">
        <v>1682.81</v>
      </c>
      <c r="M348" s="6">
        <f t="shared" si="57"/>
        <v>2.0124999999998748E-2</v>
      </c>
    </row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tabSelected="1" topLeftCell="A13" workbookViewId="0">
      <selection activeCell="B31" sqref="B31"/>
    </sheetView>
  </sheetViews>
  <sheetFormatPr defaultColWidth="11.44140625" defaultRowHeight="14.4"/>
  <cols>
    <col min="1" max="1" width="10.6640625" style="15"/>
    <col min="2" max="2" width="19.44140625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18.989999999999998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20.04</v>
      </c>
      <c r="C17">
        <v>1565.03</v>
      </c>
      <c r="D17" s="15">
        <v>2.88</v>
      </c>
    </row>
    <row r="18" spans="1:149">
      <c r="B18">
        <v>34.090000000000003</v>
      </c>
      <c r="C18">
        <v>1570.48</v>
      </c>
      <c r="D18" s="15">
        <v>1.42</v>
      </c>
    </row>
    <row r="19" spans="1:149">
      <c r="B19">
        <v>39.44</v>
      </c>
      <c r="C19">
        <v>1572.95</v>
      </c>
      <c r="D19" s="15">
        <v>0.48</v>
      </c>
    </row>
    <row r="20" spans="1:149">
      <c r="B20">
        <v>43.52</v>
      </c>
      <c r="C20">
        <v>1574.79</v>
      </c>
      <c r="D20" s="15">
        <v>2.95</v>
      </c>
    </row>
    <row r="21" spans="1:149">
      <c r="B21">
        <v>49.56</v>
      </c>
      <c r="C21">
        <v>1577.68</v>
      </c>
      <c r="D21" s="15">
        <v>2.33</v>
      </c>
    </row>
    <row r="22" spans="1:149">
      <c r="B22">
        <v>57.3</v>
      </c>
      <c r="C22">
        <v>1583.06</v>
      </c>
      <c r="D22" s="15">
        <v>3.69</v>
      </c>
    </row>
    <row r="23" spans="1:149">
      <c r="B23">
        <v>72.819999999999993</v>
      </c>
      <c r="C23">
        <v>1584.9</v>
      </c>
      <c r="D23" s="15">
        <v>0.95</v>
      </c>
    </row>
    <row r="24" spans="1:149">
      <c r="B24">
        <v>95.19</v>
      </c>
      <c r="C24">
        <v>1586.11</v>
      </c>
      <c r="D24" s="15">
        <v>0.39</v>
      </c>
    </row>
    <row r="25" spans="1:149">
      <c r="B25" s="66">
        <v>101.91</v>
      </c>
      <c r="C25" s="66">
        <v>1586.66</v>
      </c>
      <c r="D25" s="67">
        <v>0.61</v>
      </c>
    </row>
    <row r="26" spans="1:149">
      <c r="B26">
        <v>131.76</v>
      </c>
      <c r="C26">
        <v>1589.12</v>
      </c>
      <c r="D26" s="15">
        <v>0.36</v>
      </c>
    </row>
    <row r="27" spans="1:149">
      <c r="B27">
        <v>136.91</v>
      </c>
      <c r="C27">
        <v>1590.01</v>
      </c>
      <c r="D27" s="15">
        <v>0.42</v>
      </c>
    </row>
    <row r="28" spans="1:149">
      <c r="B28">
        <v>144.63999999999999</v>
      </c>
      <c r="C28">
        <v>1591.02</v>
      </c>
      <c r="D28" s="15">
        <v>0.62</v>
      </c>
    </row>
    <row r="29" spans="1:149">
      <c r="B29">
        <v>176.92</v>
      </c>
      <c r="C29">
        <v>1594.97</v>
      </c>
      <c r="D29" s="15">
        <v>0.74</v>
      </c>
    </row>
    <row r="30" spans="1:149">
      <c r="B30">
        <v>204.92</v>
      </c>
      <c r="C30">
        <v>1597.47</v>
      </c>
      <c r="D30" s="15">
        <v>1.1399999999999999</v>
      </c>
    </row>
    <row r="31" spans="1:149" s="5" customFormat="1">
      <c r="A31" s="6"/>
      <c r="B31" s="5">
        <v>225.82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18.989999999999998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zoomScale="62" zoomScaleNormal="55" workbookViewId="0">
      <selection activeCell="J2" sqref="J1:J1048576"/>
    </sheetView>
  </sheetViews>
  <sheetFormatPr defaultColWidth="8.6640625" defaultRowHeight="14.4"/>
  <cols>
    <col min="1" max="1" width="9.5546875" style="9" bestFit="1" customWidth="1"/>
    <col min="2" max="2" width="9.6640625" customWidth="1"/>
    <col min="3" max="3" width="11.6640625" bestFit="1" customWidth="1"/>
    <col min="4" max="4" width="21.6640625" customWidth="1"/>
    <col min="5" max="5" width="22.664062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6640625" customWidth="1"/>
    <col min="18" max="18" width="6.109375" customWidth="1"/>
    <col min="19" max="19" width="6" customWidth="1"/>
    <col min="20" max="20" width="8.6640625" customWidth="1"/>
    <col min="21" max="21" width="11.6640625" customWidth="1"/>
    <col min="22" max="22" width="6.109375" customWidth="1"/>
    <col min="23" max="25" width="5.6640625" customWidth="1"/>
    <col min="26" max="26" width="9.44140625" customWidth="1"/>
    <col min="27" max="27" width="11.44140625" customWidth="1"/>
    <col min="28" max="28" width="6.6640625" customWidth="1"/>
    <col min="29" max="29" width="5.664062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6640625" customWidth="1"/>
    <col min="35" max="35" width="5.664062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3320312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1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1"/>
      <c r="L1" s="47" t="s">
        <v>18</v>
      </c>
      <c r="M1" s="48"/>
      <c r="N1" s="48"/>
      <c r="O1" s="32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175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0" t="s">
        <v>272</v>
      </c>
      <c r="BE1" s="50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175</v>
      </c>
      <c r="L2" s="4" t="s">
        <v>8</v>
      </c>
      <c r="M2" s="5" t="s">
        <v>9</v>
      </c>
      <c r="N2" s="5" t="s">
        <v>10</v>
      </c>
      <c r="O2" s="6" t="s">
        <v>175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269</v>
      </c>
      <c r="AZ2" s="6" t="s">
        <v>270</v>
      </c>
      <c r="BA2" s="6" t="s">
        <v>271</v>
      </c>
      <c r="BD2" t="s">
        <v>267</v>
      </c>
      <c r="BE2" t="s">
        <v>268</v>
      </c>
      <c r="BF2" t="s">
        <v>266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34.243323442136223</v>
      </c>
      <c r="AW3" s="53">
        <f>(SUM(Outcrop!D2:D15)/(channel_morph!I2-channel_morph!F2))*100</f>
        <v>33.166666666666664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-0.36999999999999744</v>
      </c>
      <c r="G8" s="3">
        <f>Outcrop!B18-hillslope_morph!D8</f>
        <v>14.420000000000002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30.177799135031314</v>
      </c>
      <c r="AW8" s="53">
        <f>(SUM(Outcrop!D16:D31)/(channel_morph!I3-channel_morph!F3))*100</f>
        <v>24.84120568194944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0.27000000000000313</v>
      </c>
      <c r="G9" s="15">
        <f>Outcrop!B20-hillslope_morph!D9</f>
        <v>3.8100000000000023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2.5100000000000051</v>
      </c>
      <c r="G10" s="15">
        <f>Outcrop!B23-hillslope_morph!D10</f>
        <v>13.009999999999991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7.1800000000000068</v>
      </c>
      <c r="G11" s="15">
        <f>Outcrop!B24-hillslope_morph!D11</f>
        <v>15.189999999999998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-2.0099999999999909</v>
      </c>
      <c r="G12" s="15">
        <f>Outcrop!B26-hillslope_morph!D12</f>
        <v>31.859999999999985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-12.059999999999988</v>
      </c>
      <c r="G13" s="15">
        <f>Outcrop!B27-hillslope_morph!D13</f>
        <v>17.209999999999994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3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-4.9799999999999898</v>
      </c>
      <c r="G14" s="15">
        <f>Outcrop!B29-hillslope_morph!D14</f>
        <v>37.259999999999991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-17.089999999999975</v>
      </c>
      <c r="G15" s="15">
        <f>Outcrop!B30-hillslope_morph!D15</f>
        <v>45.089999999999975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3.4699999999999989</v>
      </c>
      <c r="G16" s="15">
        <f>Outcrop!B30-hillslope_morph!D16</f>
        <v>24.53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3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-25.47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3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173</v>
      </c>
      <c r="C18">
        <v>1599.27</v>
      </c>
      <c r="D18">
        <v>220.55</v>
      </c>
      <c r="E18">
        <f>E19+20.14</f>
        <v>236.35000000000002</v>
      </c>
      <c r="F18">
        <f>D18-Outcrop!B31</f>
        <v>-5.2699999999999818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14.870000000000005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2.2594444444444441</v>
      </c>
      <c r="AO20" s="59">
        <f>MIN(Outcrop!D32:D49)</f>
        <v>0.35</v>
      </c>
      <c r="AP20" s="59">
        <f>MAX(Outcrop!D32:D49)</f>
        <v>18.989999999999998</v>
      </c>
      <c r="AQ20" s="59">
        <f>COUNT(Outcrop!D32:D49)</f>
        <v>18</v>
      </c>
      <c r="AR20" s="59">
        <f>STDEV(Outcrop!D32:D49)</f>
        <v>4.3761055372559987</v>
      </c>
      <c r="AS20" s="53">
        <f>SUM(Outcrop!D32:D49)</f>
        <v>40.669999999999995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23.152530032762993</v>
      </c>
      <c r="AW20" s="53">
        <f>(SUM(Outcrop!D32:D49)/(channel_morph!I4-channel_morph!F4))*100</f>
        <v>28.284303498157037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12.674999999999999</v>
      </c>
      <c r="AI21">
        <f>MIN(Outcrop!D32:D33)</f>
        <v>6.36</v>
      </c>
      <c r="AJ21">
        <f>MAX(Outcrop!D32:D33)</f>
        <v>18.989999999999998</v>
      </c>
      <c r="AK21">
        <f>COUNT(Outcrop!D32:D33)</f>
        <v>2</v>
      </c>
      <c r="AL21">
        <f>STDEV(Outcrop!D32:D33)</f>
        <v>8.9307586463860904</v>
      </c>
      <c r="AM21" s="15">
        <f>SUM(Outcrop!D32:D33)</f>
        <v>25.349999999999998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12.674999999999999</v>
      </c>
      <c r="AI22">
        <f>MIN(Outcrop!D32:D33)</f>
        <v>6.36</v>
      </c>
      <c r="AJ22">
        <f>MAX(Outcrop!D32:D33)</f>
        <v>18.989999999999998</v>
      </c>
      <c r="AK22">
        <f>COUNT(Outcrop!D32:D33)</f>
        <v>2</v>
      </c>
      <c r="AL22">
        <f>STDEV(Outcrop!D32:D33)</f>
        <v>8.9307586463860904</v>
      </c>
      <c r="AM22" s="15">
        <f>SUM(Outcrop!D32:D33)</f>
        <v>25.349999999999998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18.989999999999998</v>
      </c>
      <c r="Q23">
        <f>MIN(Outcrop!D33)</f>
        <v>18.989999999999998</v>
      </c>
      <c r="R23">
        <f>MAX(Outcrop!D33)</f>
        <v>18.989999999999998</v>
      </c>
      <c r="S23">
        <f>COUNT(Outcrop!D33)</f>
        <v>1</v>
      </c>
      <c r="U23">
        <f>SUM(Outcrop!D33)</f>
        <v>18.989999999999998</v>
      </c>
      <c r="V23" s="13">
        <f>AVERAGE(Outcrop!D33)</f>
        <v>18.989999999999998</v>
      </c>
      <c r="W23">
        <f>MIN(Outcrop!D33)</f>
        <v>18.989999999999998</v>
      </c>
      <c r="X23">
        <f>MAX(Outcrop!D33)</f>
        <v>18.989999999999998</v>
      </c>
      <c r="Y23">
        <f>COUNT(Outcrop!D33)</f>
        <v>1</v>
      </c>
      <c r="AA23" s="15">
        <f>SUM(Outcrop!D33)</f>
        <v>18.989999999999998</v>
      </c>
      <c r="AB23" s="13">
        <f>AVERAGE(Outcrop!D33)</f>
        <v>18.989999999999998</v>
      </c>
      <c r="AC23">
        <f>MIN(Outcrop!D33)</f>
        <v>18.989999999999998</v>
      </c>
      <c r="AD23">
        <f>MAX(Outcrop!D33)</f>
        <v>18.989999999999998</v>
      </c>
      <c r="AE23">
        <f>COUNT(Outcrop!D33)</f>
        <v>1</v>
      </c>
      <c r="AG23" s="15">
        <f>SUM(Outcrop!D33)</f>
        <v>18.989999999999998</v>
      </c>
      <c r="AH23" s="13">
        <f>AVERAGE(Outcrop!D33)</f>
        <v>18.989999999999998</v>
      </c>
      <c r="AI23">
        <f>MIN(Outcrop!D33)</f>
        <v>18.989999999999998</v>
      </c>
      <c r="AJ23">
        <f>MAX(Outcrop!D33)</f>
        <v>18.989999999999998</v>
      </c>
      <c r="AK23">
        <f>COUNT(Outcrop!D33)</f>
        <v>1</v>
      </c>
      <c r="AM23" s="15">
        <f>SUM(Outcrop!D33)</f>
        <v>18.989999999999998</v>
      </c>
      <c r="AN23" s="57"/>
      <c r="AO23" s="60"/>
      <c r="AP23" s="60"/>
      <c r="AQ23" s="60"/>
      <c r="AR23" s="60"/>
      <c r="AS23" s="54"/>
      <c r="AT23" s="33">
        <f>((0.33*Outcrop!D33)/(Slope!C23-Slope!B23))*100</f>
        <v>75.4115523465709</v>
      </c>
      <c r="AU23" s="33">
        <f>((0.5*Outcrop!D33)/(Slope!F23-Slope!E23))*100</f>
        <v>50.424853956452665</v>
      </c>
      <c r="AV23">
        <f>(SUM(Outcrop!D33)/(Slope!I23-Slope!H23))*100</f>
        <v>58.037897310513401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18.989999999999998</v>
      </c>
      <c r="AC24">
        <f>MIN(Outcrop!D33)</f>
        <v>18.989999999999998</v>
      </c>
      <c r="AD24">
        <f>MAX(Outcrop!D33)</f>
        <v>18.989999999999998</v>
      </c>
      <c r="AE24">
        <f>COUNT(Outcrop!D33)</f>
        <v>1</v>
      </c>
      <c r="AG24" s="15">
        <f>SUM(Outcrop!D33)</f>
        <v>18.989999999999998</v>
      </c>
      <c r="AH24" s="13">
        <f>AVERAGE(Outcrop!D33:D35)</f>
        <v>7.1099999999999994</v>
      </c>
      <c r="AI24">
        <f>MIN(Outcrop!D33:D35)</f>
        <v>0.97</v>
      </c>
      <c r="AJ24">
        <f>MAX(Outcrop!D33:D35)</f>
        <v>18.989999999999998</v>
      </c>
      <c r="AK24">
        <f>COUNT(Outcrop!D33:D35)</f>
        <v>3</v>
      </c>
      <c r="AL24">
        <f>STDEV(Outcrop!D33:D35)</f>
        <v>10.290325553645033</v>
      </c>
      <c r="AM24" s="15">
        <f>SUM(Outcrop!D33:D35)</f>
        <v>21.33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82.817269952028497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7.1099999999999994</v>
      </c>
      <c r="AI25">
        <f>MIN(Outcrop!D33:D35)</f>
        <v>0.97</v>
      </c>
      <c r="AJ25">
        <f>MAX(Outcrop!D33:D35)</f>
        <v>18.989999999999998</v>
      </c>
      <c r="AK25">
        <f>COUNT(Outcrop!D33:D35)</f>
        <v>3</v>
      </c>
      <c r="AL25">
        <f>STDEV(Outcrop!D33:D35)</f>
        <v>10.290325553645033</v>
      </c>
      <c r="AM25" s="15">
        <f>SUM(Outcrop!D33:D35)</f>
        <v>21.33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62.646310432569685</v>
      </c>
      <c r="AW35" s="53">
        <f>(SUM(Outcrop!D50:D61)/(channel_morph!I5-channel_morph!F5))*100</f>
        <v>33.5169318645451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37.911544439734364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6"/>
      <c r="AN49" s="29"/>
      <c r="AO49" s="23"/>
      <c r="AP49" s="23"/>
      <c r="AQ49" s="23"/>
      <c r="AR49" s="23"/>
      <c r="AS49" s="30"/>
      <c r="AT49" s="34"/>
      <c r="AW49" s="21"/>
      <c r="AX49"/>
      <c r="AY49" s="21"/>
      <c r="AZ49" s="21"/>
      <c r="BA49" s="21"/>
      <c r="BB49"/>
      <c r="BC49"/>
      <c r="BD49" s="21"/>
      <c r="BE49" s="21"/>
      <c r="BF49" s="21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(SUM(Outcrop!D76)/(Slope!C55-Slope!B55))*100</f>
        <v>84.664536741214178</v>
      </c>
      <c r="AU50">
        <f>(SUM(Outcrop!D76)/(Slope!F55-Slope!E55))*100</f>
        <v>46.328671328671106</v>
      </c>
      <c r="AV50">
        <f>(SUM(Outcrop!D75:D77)/(Slope!I55-Slope!H55))*100</f>
        <v>72.438552885943494</v>
      </c>
      <c r="AW50" s="53">
        <f>(SUM(Outcrop!D75:D93)/(channel_morph!I7-channel_morph!F7))*100</f>
        <v>39.15557246101185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(SUM(0)/(Slope!C56-Slope!B56))*100</f>
        <v>0</v>
      </c>
      <c r="AU51">
        <f>(SUM(Outcrop!D77:D78)/(Slope!F56-Slope!E56))*100</f>
        <v>66.25</v>
      </c>
      <c r="AV51">
        <f>(SUM(Outcrop!D77:D79)/(Slope!I56-Slope!H56))*100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(SUM(Outcrop!D79:D80)/(Slope!C57-Slope!B57))*100</f>
        <v>87.610619469025139</v>
      </c>
      <c r="AU52">
        <f>(SUM(Outcrop!D79:D80)/(Slope!F57-Slope!E57))*100</f>
        <v>42.672413793103786</v>
      </c>
      <c r="AV52">
        <f>(SUM(Outcrop!D78:D81)/(Slope!I57-Slope!H57))*100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(SUM(Outcrop!D82)/(Slope!C58-Slope!B58))*100</f>
        <v>47.752808988762737</v>
      </c>
      <c r="AU53">
        <f>(SUM(Outcrop!D81:D82)/(Slope!F58-Slope!E58))*100</f>
        <v>33.141919606234474</v>
      </c>
      <c r="AV53">
        <f>(SUM(Outcrop!D80:D83)/(Slope!I58-Slope!H58))*100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(SUM(Outcrop!D84)/(Slope!C59-Slope!B59))*100</f>
        <v>11.655405405405261</v>
      </c>
      <c r="AU54">
        <f>(SUM(Outcrop!D83:D84)/(Slope!F59-Slope!E59))*100</f>
        <v>10.295519542421346</v>
      </c>
      <c r="AV54">
        <f>(SUM(Outcrop!D82:D85)/(Slope!I59-Slope!H59))*100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(SUM(0)/(Slope!C60-Slope!B60))*100</f>
        <v>0</v>
      </c>
      <c r="AU55">
        <f>(SUM(Outcrop!D85)/(Slope!F60-Slope!E60))*100</f>
        <v>13.435897435897438</v>
      </c>
      <c r="AV55">
        <f>(SUM(Outcrop!D84:D86)/(Slope!I60-Slope!H60))*100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(SUM(0)/(Slope!C61-Slope!B61))*100</f>
        <v>0</v>
      </c>
      <c r="AU56">
        <f>(SUM(Outcrop!D86:D87)/(Slope!F61-Slope!E61))*100</f>
        <v>33.830845771144439</v>
      </c>
      <c r="AV56">
        <f>(SUM(Outcrop!D86:D87)/(Slope!I61-Slope!H61))*100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(SUM(Outcrop!D88)/(Slope!C62-Slope!B62))*100</f>
        <v>63.00268096514715</v>
      </c>
      <c r="AU57">
        <f>(SUM(Outcrop!D88)/(Slope!F62-Slope!E62))*100</f>
        <v>27.167630057803898</v>
      </c>
      <c r="AV57">
        <f>(SUM(Outcrop!D87:D88)/(Slope!I62-Slope!H62))*100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(SUM(Outcrop!D89)/(Slope!C63-Slope!B63))*100</f>
        <v>22.755741127348816</v>
      </c>
      <c r="AU58">
        <f>(SUM(Outcrop!D89:D90)/(Slope!F63-Slope!E63))*100</f>
        <v>28.936170212765678</v>
      </c>
      <c r="AV58">
        <f>(SUM(Outcrop!D88:D91)/(Slope!I63-Slope!H63))*100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(SUM(0)/(Slope!C64-Slope!B64))*100</f>
        <v>0</v>
      </c>
      <c r="AU59">
        <f>(SUM(Outcrop!D91:D92)/(Slope!F64-Slope!E64))*100</f>
        <v>29.718309859155305</v>
      </c>
      <c r="AV59">
        <f>(SUM(Outcrop!D89:D92)/(Slope!I64-Slope!H64))*100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(SUM(0)/(Slope!C65-Slope!B65))*100</f>
        <v>0</v>
      </c>
      <c r="AU60">
        <f>(SUM(0)/(Slope!F65-Slope!E65))*100</f>
        <v>0</v>
      </c>
      <c r="AV60">
        <f>(SUM(Outcrop!D92)/(Slope!I65-Slope!H65))*100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(SUM(0)/(Slope!C66-Slope!B66))*100</f>
        <v>0</v>
      </c>
      <c r="AU61">
        <f>(SUM(0)/(Slope!F66-Slope!E66))*100</f>
        <v>0</v>
      </c>
      <c r="AV61">
        <f>(SUM(Outcrop!D93)/(Slope!I66-Slope!H66))*100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(SUM(Outcrop!D93)/(Slope!C67-Slope!B67))*100</f>
        <v>30.994152046782968</v>
      </c>
      <c r="AU62">
        <f>(SUM(Outcrop!D93)/(Slope!F67-Slope!E67))*100</f>
        <v>16.459627329192408</v>
      </c>
      <c r="AV62">
        <f>(SUM(Outcrop!D93)/(Slope!I67-Slope!H67))*100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2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(SUM(0)/(Slope!C68-Slope!B68))*100</f>
        <v>0</v>
      </c>
      <c r="AU63" s="5">
        <f>(SUM(0)/(Slope!F68-Slope!E68))*100</f>
        <v>0</v>
      </c>
      <c r="AV63" s="5">
        <f>(SUM(0)/(Slope!I68-Slope!H68))*100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(SUM(0)/(Slope!C69-Slope!B69))*100</f>
        <v>0</v>
      </c>
      <c r="AU64">
        <f>(SUM(Outcrop!D95:D96)/(Slope!F69-Slope!E69))*100</f>
        <v>28.35595776772249</v>
      </c>
      <c r="AV64">
        <f>(SUM(Outcrop!D94:D97)/(Slope!I69-Slope!H69))*100</f>
        <v>26.895383312155722</v>
      </c>
      <c r="AW64" s="53">
        <f>(SUM(Outcrop!D94:D120)/(channel_morph!I8-channel_morph!F8))*100</f>
        <v>46.182728410513086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(SUM(Outcrop!D98)/(Slope!C70-Slope!B70))*100</f>
        <v>28.690807799443551</v>
      </c>
      <c r="AU65">
        <f>(SUM(Outcrop!D97:D99)/(Slope!F70-Slope!E70))*100</f>
        <v>44.606819763395599</v>
      </c>
      <c r="AV65">
        <f>(SUM(Outcrop!D95:D100)/(Slope!I70-Slope!H70))*100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165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(SUM(Outcrop!D100:D101)/(Slope!C71-Slope!B71))*100</f>
        <v>59.672619047618802</v>
      </c>
      <c r="AU66">
        <f>(SUM(Outcrop!D100:D102)/(Slope!F71-Slope!E71))*100</f>
        <v>32.63315828957257</v>
      </c>
      <c r="AV66">
        <f>(SUM(Outcrop!D98:D103)/(Slope!I71-Slope!H71))*100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(SUM(Outcrop!D103:D104)/(Slope!C72-Slope!B72))*100</f>
        <v>44.548872180449763</v>
      </c>
      <c r="AU67">
        <f>(SUM(Outcrop!D103:D105)/(Slope!F72-Slope!E72))*100</f>
        <v>25.552825552825475</v>
      </c>
      <c r="AV67">
        <f>(SUM(Outcrop!D101:D107)/(Slope!I72-Slope!H72))*100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(SUM(Outcrop!D107:D108)/(Slope!C73-Slope!B73))*100</f>
        <v>33.741258741258584</v>
      </c>
      <c r="AU68">
        <f>(SUM(Outcrop!D106:D109)/(Slope!F73-Slope!E73))*100</f>
        <v>48.939929328622185</v>
      </c>
      <c r="AV68">
        <f>(SUM(Outcrop!D104:D110)/(Slope!I73-Slope!H73))*100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(SUM(Outcrop!D111)/(Slope!C74-Slope!B74))*100</f>
        <v>44.333333333333336</v>
      </c>
      <c r="AU69">
        <f>(SUM(Outcrop!D110:D112)/(Slope!F74-Slope!E74))*100</f>
        <v>80.657894736841868</v>
      </c>
      <c r="AV69">
        <f>(SUM(Outcrop!D108:D113)/(Slope!I74-Slope!H74))*100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(SUM(Outcrop!D114)/(Slope!C75-Slope!B75))*100</f>
        <v>70.4545454545448</v>
      </c>
      <c r="AU70" s="33">
        <f>((0.5*Outcrop!D113+SUM(Outcrop!D114:D115)+0.5*Outcrop!D116)/(Slope!F75-Slope!E75))*100</f>
        <v>73.949579831932539</v>
      </c>
      <c r="AV70">
        <f>(SUM(Outcrop!D111:D117)/(Slope!I75-Slope!H75))*100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3">
        <f>((0.5*Outcrop!D117)/(Slope!C76-Slope!B76))*100</f>
        <v>53.645833333331304</v>
      </c>
      <c r="AU71">
        <f>(SUM(Outcrop!D117)/(Slope!F76-Slope!E76))*100</f>
        <v>54.933333333333337</v>
      </c>
      <c r="AV71">
        <f>(SUM(Outcrop!D114:D118)/(Slope!I76-Slope!H76))*100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(SUM(Outcrop!D118)/(Slope!C77-Slope!B77))*100</f>
        <v>22.488038277510395</v>
      </c>
      <c r="AU72">
        <f>(SUM(Outcrop!D118)/(Slope!F77-Slope!E77))*100</f>
        <v>11.519607843136818</v>
      </c>
      <c r="AV72">
        <f>(SUM(Outcrop!D118)/(Slope!I77-Slope!H77))*100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(SUM(Outcrop!D119)/(Slope!C78-Slope!B78))*100</f>
        <v>26.020408163264825</v>
      </c>
      <c r="AU73">
        <f>(SUM(Outcrop!D119)/(Slope!F78-Slope!E78))*100</f>
        <v>12.655086848635321</v>
      </c>
      <c r="AV73">
        <f>(SUM(Outcrop!D119:D120)/(Slope!I78-Slope!H78))*100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2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(SUM(Outcrop!D120)/(Slope!C79-Slope!B79))*100</f>
        <v>17.712177121770981</v>
      </c>
      <c r="AU74" s="5">
        <f>(SUM(Outcrop!D120)/(Slope!F79-Slope!E79))*100</f>
        <v>10.884353741496396</v>
      </c>
      <c r="AV74" s="5">
        <f>(SUM(Outcrop!D119:D120)/(Slope!I79-Slope!H79))*100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  <mergeCell ref="BD3:BD7"/>
    <mergeCell ref="BE3:BE7"/>
    <mergeCell ref="BF3:BF7"/>
    <mergeCell ref="BD8:BD19"/>
    <mergeCell ref="BE8:BE19"/>
    <mergeCell ref="BF8:BF19"/>
    <mergeCell ref="AY50:AY63"/>
    <mergeCell ref="AY64:AY74"/>
    <mergeCell ref="AY3:AY7"/>
    <mergeCell ref="AY8:AY19"/>
    <mergeCell ref="AY20:AY34"/>
    <mergeCell ref="AY35:AY41"/>
    <mergeCell ref="AY42:AY48"/>
    <mergeCell ref="AZ50:AZ63"/>
    <mergeCell ref="AZ64:AZ74"/>
    <mergeCell ref="AZ3:AZ7"/>
    <mergeCell ref="AZ8:AZ19"/>
    <mergeCell ref="AZ20:AZ34"/>
    <mergeCell ref="AZ35:AZ41"/>
    <mergeCell ref="AZ42:AZ48"/>
    <mergeCell ref="AS64:AS74"/>
    <mergeCell ref="AN64:AN74"/>
    <mergeCell ref="AO64:AO74"/>
    <mergeCell ref="AP64:AP74"/>
    <mergeCell ref="AQ64:AQ74"/>
    <mergeCell ref="AR64:AR74"/>
    <mergeCell ref="AR42:AR48"/>
    <mergeCell ref="AS42:AS48"/>
    <mergeCell ref="AO50:AO63"/>
    <mergeCell ref="AP50:AP63"/>
    <mergeCell ref="AQ50:AQ63"/>
    <mergeCell ref="AR50:AR63"/>
    <mergeCell ref="AS50:AS63"/>
    <mergeCell ref="AN42:AN48"/>
    <mergeCell ref="AN50:AN63"/>
    <mergeCell ref="AO42:AO48"/>
    <mergeCell ref="AP42:AP48"/>
    <mergeCell ref="AQ42:AQ48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H1:J1"/>
    <mergeCell ref="L1:N1"/>
    <mergeCell ref="A1:B1"/>
    <mergeCell ref="P1:U1"/>
    <mergeCell ref="V1:AA1"/>
    <mergeCell ref="AS8:AS19"/>
    <mergeCell ref="AN8:AN19"/>
    <mergeCell ref="AO8:AO19"/>
    <mergeCell ref="AP8:AP19"/>
    <mergeCell ref="AQ8:AQ19"/>
    <mergeCell ref="AR8:AR19"/>
    <mergeCell ref="AW50:AW63"/>
    <mergeCell ref="AW64:AW74"/>
    <mergeCell ref="AW3:AW7"/>
    <mergeCell ref="AW8:AW19"/>
    <mergeCell ref="AW20:AW34"/>
    <mergeCell ref="AW35:AW41"/>
    <mergeCell ref="AW42:AW48"/>
    <mergeCell ref="BA50:BA63"/>
    <mergeCell ref="BA64:BA74"/>
    <mergeCell ref="BA3:BA7"/>
    <mergeCell ref="BA8:BA19"/>
    <mergeCell ref="BA20:BA34"/>
    <mergeCell ref="BA35:BA41"/>
    <mergeCell ref="BA42:BA48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ADF3-6A06-4EAC-B2A4-79EFEEA460E2}">
  <dimension ref="A1:E73"/>
  <sheetViews>
    <sheetView workbookViewId="0">
      <selection activeCell="C2" sqref="C2:C6"/>
    </sheetView>
  </sheetViews>
  <sheetFormatPr defaultRowHeight="14.4"/>
  <cols>
    <col min="2" max="2" width="22.6640625" bestFit="1" customWidth="1"/>
  </cols>
  <sheetData>
    <row r="1" spans="1:5">
      <c r="A1" t="s">
        <v>64</v>
      </c>
      <c r="B1" t="s">
        <v>1</v>
      </c>
      <c r="C1" t="s">
        <v>18</v>
      </c>
      <c r="D1" t="s">
        <v>436</v>
      </c>
      <c r="E1" t="s">
        <v>437</v>
      </c>
    </row>
    <row r="2" spans="1:5">
      <c r="A2">
        <v>3.1</v>
      </c>
      <c r="B2">
        <v>20.12</v>
      </c>
      <c r="C2">
        <v>0.41037499999999999</v>
      </c>
      <c r="D2">
        <v>-0.82193054839658275</v>
      </c>
      <c r="E2">
        <v>-9.8288072000000017</v>
      </c>
    </row>
    <row r="3" spans="1:5">
      <c r="B3">
        <v>40.159999999999997</v>
      </c>
      <c r="C3">
        <v>0.55587500000000001</v>
      </c>
    </row>
    <row r="4" spans="1:5">
      <c r="B4">
        <v>60.26</v>
      </c>
      <c r="C4">
        <v>-0.31825000000000003</v>
      </c>
    </row>
    <row r="5" spans="1:5">
      <c r="B5">
        <v>80.28</v>
      </c>
      <c r="C5">
        <v>-0.47074999999999995</v>
      </c>
    </row>
    <row r="6" spans="1:5">
      <c r="B6">
        <v>100.4</v>
      </c>
      <c r="C6">
        <v>-0.30074999999999996</v>
      </c>
    </row>
    <row r="7" spans="1:5">
      <c r="A7">
        <v>3.2</v>
      </c>
      <c r="B7">
        <v>19.670000000000002</v>
      </c>
      <c r="C7">
        <v>-0.16762500000000005</v>
      </c>
      <c r="D7">
        <f>CORREL(B7:B18,C7:C18)</f>
        <v>-2.3569658651410269E-3</v>
      </c>
      <c r="E7">
        <f>COVAR(B7:B18,C7:C18)</f>
        <v>-9.0867656250003634E-2</v>
      </c>
    </row>
    <row r="8" spans="1:5">
      <c r="B8">
        <v>39.71</v>
      </c>
      <c r="C8">
        <v>-0.52787500000000009</v>
      </c>
    </row>
    <row r="9" spans="1:5">
      <c r="B9">
        <v>59.81</v>
      </c>
      <c r="C9">
        <v>-0.1845</v>
      </c>
    </row>
    <row r="10" spans="1:5">
      <c r="B10">
        <v>80</v>
      </c>
      <c r="C10">
        <v>0.44424999999999998</v>
      </c>
    </row>
    <row r="11" spans="1:5">
      <c r="B11">
        <v>99.9</v>
      </c>
      <c r="C11">
        <v>-0.42787499999999995</v>
      </c>
    </row>
    <row r="12" spans="1:5">
      <c r="B12">
        <v>119.7</v>
      </c>
      <c r="C12">
        <v>-0.43312500000000009</v>
      </c>
    </row>
    <row r="13" spans="1:5">
      <c r="B13">
        <v>139.66</v>
      </c>
      <c r="C13">
        <v>0.96312500000000001</v>
      </c>
    </row>
    <row r="14" spans="1:5">
      <c r="B14">
        <v>159.83000000000001</v>
      </c>
      <c r="C14">
        <v>-8.2874999999999949E-2</v>
      </c>
    </row>
    <row r="15" spans="1:5">
      <c r="B15">
        <v>180.39</v>
      </c>
      <c r="C15">
        <v>0.79962499999999992</v>
      </c>
    </row>
    <row r="16" spans="1:5">
      <c r="B16">
        <v>200.35</v>
      </c>
      <c r="C16">
        <v>0.39112500000000006</v>
      </c>
    </row>
    <row r="17" spans="1:5">
      <c r="B17">
        <v>220.55</v>
      </c>
      <c r="C17">
        <v>-0.767625</v>
      </c>
    </row>
    <row r="18" spans="1:5">
      <c r="B18">
        <v>240.69</v>
      </c>
      <c r="C18">
        <v>-0.72700000000000009</v>
      </c>
    </row>
    <row r="19" spans="1:5">
      <c r="A19">
        <v>3.3</v>
      </c>
      <c r="B19">
        <v>19.440000000000001</v>
      </c>
      <c r="C19">
        <v>0.35537500000000005</v>
      </c>
      <c r="D19">
        <f>CORREL(B19:B33,C19:C33)</f>
        <v>-0.23768855899537164</v>
      </c>
      <c r="E19">
        <f>COVAR(B19:B33,C19:C33)</f>
        <v>-12.584889055555555</v>
      </c>
    </row>
    <row r="20" spans="1:5">
      <c r="B20">
        <v>39.479999999999997</v>
      </c>
      <c r="C20">
        <v>0.97624999999999995</v>
      </c>
    </row>
    <row r="21" spans="1:5">
      <c r="B21">
        <v>59.49</v>
      </c>
      <c r="C21">
        <v>-0.22237499999999991</v>
      </c>
    </row>
    <row r="22" spans="1:5">
      <c r="B22">
        <v>79.489999999999995</v>
      </c>
      <c r="C22">
        <v>1.0749999999999992E-2</v>
      </c>
    </row>
    <row r="23" spans="1:5">
      <c r="B23">
        <v>99.49</v>
      </c>
      <c r="C23">
        <v>5.9249999999999935E-2</v>
      </c>
    </row>
    <row r="24" spans="1:5">
      <c r="B24">
        <v>119.49</v>
      </c>
      <c r="C24">
        <v>0.63112500000000016</v>
      </c>
    </row>
    <row r="25" spans="1:5">
      <c r="B25">
        <v>139.49</v>
      </c>
      <c r="C25">
        <v>-0.424875</v>
      </c>
    </row>
    <row r="26" spans="1:5">
      <c r="B26">
        <v>159.49</v>
      </c>
      <c r="C26">
        <v>-0.27524999999999994</v>
      </c>
    </row>
    <row r="27" spans="1:5">
      <c r="B27">
        <v>179.51</v>
      </c>
      <c r="C27">
        <v>-0.5891249999999999</v>
      </c>
    </row>
    <row r="28" spans="1:5">
      <c r="B28">
        <v>199.49</v>
      </c>
      <c r="C28">
        <v>-1.48325</v>
      </c>
    </row>
    <row r="29" spans="1:5">
      <c r="B29">
        <v>219.51</v>
      </c>
      <c r="C29">
        <v>-0.26775000000000004</v>
      </c>
    </row>
    <row r="30" spans="1:5">
      <c r="B30">
        <v>239.5</v>
      </c>
      <c r="C30">
        <v>8.7374999999999939E-2</v>
      </c>
    </row>
    <row r="31" spans="1:5">
      <c r="B31">
        <v>259.51</v>
      </c>
      <c r="C31">
        <v>1.0728750000000002</v>
      </c>
    </row>
    <row r="32" spans="1:5">
      <c r="B32">
        <v>279.61</v>
      </c>
      <c r="C32">
        <v>-0.20962500000000003</v>
      </c>
    </row>
    <row r="33" spans="1:5">
      <c r="B33">
        <v>299.70999999999998</v>
      </c>
      <c r="C33">
        <v>-0.17724999999999999</v>
      </c>
    </row>
    <row r="34" spans="1:5">
      <c r="A34">
        <v>3.4</v>
      </c>
      <c r="B34">
        <v>19.989999999999998</v>
      </c>
      <c r="C34">
        <v>-0.175625</v>
      </c>
      <c r="D34">
        <f>CORREL(B34:B40,C34:C40)</f>
        <v>-0.15892415822066094</v>
      </c>
      <c r="E34">
        <f>COVAR(B34:B40,C34:C40)</f>
        <v>-1.6262820408163261</v>
      </c>
    </row>
    <row r="35" spans="1:5">
      <c r="B35">
        <v>39.97</v>
      </c>
      <c r="C35">
        <v>-0.20812499999999998</v>
      </c>
    </row>
    <row r="36" spans="1:5">
      <c r="B36">
        <v>59.98</v>
      </c>
      <c r="C36">
        <v>0.28912499999999997</v>
      </c>
    </row>
    <row r="37" spans="1:5">
      <c r="B37">
        <v>80</v>
      </c>
      <c r="C37">
        <v>-0.270625</v>
      </c>
    </row>
    <row r="38" spans="1:5">
      <c r="B38">
        <v>100</v>
      </c>
      <c r="C38">
        <v>-1.1624999999999996E-2</v>
      </c>
    </row>
    <row r="39" spans="1:5">
      <c r="B39">
        <v>120</v>
      </c>
      <c r="C39">
        <v>0.17487499999999997</v>
      </c>
    </row>
    <row r="40" spans="1:5">
      <c r="B40">
        <v>140</v>
      </c>
      <c r="C40">
        <v>-0.52037499999999992</v>
      </c>
    </row>
    <row r="41" spans="1:5">
      <c r="A41">
        <v>1.1000000000000001</v>
      </c>
      <c r="B41">
        <v>20</v>
      </c>
      <c r="C41">
        <v>-9.1250000000000012E-2</v>
      </c>
      <c r="D41">
        <f>CORREL(B41:B47,C41:C47)</f>
        <v>-0.70844188639698968</v>
      </c>
      <c r="E41">
        <f>COVAR(B41:B47,C41:C47)</f>
        <v>-14.217263443877552</v>
      </c>
    </row>
    <row r="42" spans="1:5">
      <c r="B42">
        <v>40</v>
      </c>
      <c r="C42">
        <v>0.47462499999999996</v>
      </c>
    </row>
    <row r="43" spans="1:5">
      <c r="B43">
        <v>59.99</v>
      </c>
      <c r="C43">
        <v>0.62650000000000006</v>
      </c>
    </row>
    <row r="44" spans="1:5">
      <c r="B44">
        <v>80</v>
      </c>
      <c r="C44">
        <v>-0.484375</v>
      </c>
    </row>
    <row r="45" spans="1:5">
      <c r="B45">
        <v>100.01</v>
      </c>
      <c r="C45">
        <v>-4.9249999999999974E-2</v>
      </c>
    </row>
    <row r="46" spans="1:5">
      <c r="B46">
        <v>120.01</v>
      </c>
      <c r="C46">
        <v>-0.67100000000000004</v>
      </c>
    </row>
    <row r="47" spans="1:5">
      <c r="B47">
        <v>140.01</v>
      </c>
      <c r="C47">
        <v>-0.760625</v>
      </c>
    </row>
    <row r="49" spans="1:5">
      <c r="A49">
        <v>1.3</v>
      </c>
      <c r="B49">
        <v>20.010000000000002</v>
      </c>
      <c r="C49">
        <v>0.65187499999999998</v>
      </c>
      <c r="D49">
        <f>CORREL(B49:B62,C49:C62)</f>
        <v>-0.60504212789059564</v>
      </c>
      <c r="E49">
        <f>COVAR(B49:B62,C49:C62)</f>
        <v>-13.8267937627551</v>
      </c>
    </row>
    <row r="50" spans="1:5">
      <c r="B50">
        <v>40.01</v>
      </c>
      <c r="C50">
        <v>0.26024999999999998</v>
      </c>
    </row>
    <row r="51" spans="1:5">
      <c r="B51">
        <v>60.01</v>
      </c>
      <c r="C51">
        <v>-0.29300000000000004</v>
      </c>
    </row>
    <row r="52" spans="1:5">
      <c r="B52">
        <v>80.010000000000005</v>
      </c>
      <c r="C52">
        <v>-0.16250000000000001</v>
      </c>
    </row>
    <row r="53" spans="1:5">
      <c r="B53">
        <v>100.01</v>
      </c>
      <c r="C53">
        <v>7.3749999999999982E-2</v>
      </c>
    </row>
    <row r="54" spans="1:5">
      <c r="B54">
        <v>120.01</v>
      </c>
      <c r="C54">
        <v>7.2874999999999981E-2</v>
      </c>
    </row>
    <row r="55" spans="1:5">
      <c r="B55">
        <v>140.01</v>
      </c>
      <c r="C55">
        <v>-0.18112499999999998</v>
      </c>
    </row>
    <row r="56" spans="1:5">
      <c r="B56">
        <v>160.01</v>
      </c>
      <c r="C56">
        <v>-0.40350000000000003</v>
      </c>
    </row>
    <row r="57" spans="1:5">
      <c r="B57">
        <v>180.02</v>
      </c>
      <c r="C57">
        <v>-0.27537499999999993</v>
      </c>
    </row>
    <row r="58" spans="1:5">
      <c r="B58">
        <v>200.02</v>
      </c>
      <c r="C58">
        <v>8.2500000000000018E-2</v>
      </c>
    </row>
    <row r="59" spans="1:5">
      <c r="B59">
        <v>220.01</v>
      </c>
      <c r="C59">
        <v>1.937500000000001E-2</v>
      </c>
    </row>
    <row r="60" spans="1:5">
      <c r="B60">
        <v>240.01</v>
      </c>
      <c r="C60">
        <v>-0.20224999999999999</v>
      </c>
    </row>
    <row r="61" spans="1:5">
      <c r="B61">
        <v>259.5</v>
      </c>
      <c r="C61">
        <v>-0.389625</v>
      </c>
    </row>
    <row r="62" spans="1:5">
      <c r="B62">
        <v>279.89999999999998</v>
      </c>
      <c r="C62">
        <v>-0.355375</v>
      </c>
    </row>
    <row r="63" spans="1:5">
      <c r="A63">
        <v>1.4</v>
      </c>
      <c r="B63">
        <v>20</v>
      </c>
      <c r="C63">
        <v>-0.83125000000000004</v>
      </c>
      <c r="D63">
        <f>CORREL(B63:B73,C63:C73)</f>
        <v>0.35505270693792934</v>
      </c>
      <c r="E63">
        <f>COVAR(B63:B73,C63:C73)</f>
        <v>9.2808777995867775</v>
      </c>
    </row>
    <row r="64" spans="1:5">
      <c r="B64">
        <v>40.01</v>
      </c>
      <c r="C64">
        <v>-0.68149999999999999</v>
      </c>
    </row>
    <row r="65" spans="2:3">
      <c r="B65">
        <v>60.01</v>
      </c>
      <c r="C65">
        <v>-0.42075000000000007</v>
      </c>
    </row>
    <row r="66" spans="2:3">
      <c r="B66">
        <v>80.02</v>
      </c>
      <c r="C66">
        <v>0.42162500000000003</v>
      </c>
    </row>
    <row r="67" spans="2:3">
      <c r="B67">
        <v>100.02</v>
      </c>
      <c r="C67">
        <v>0.12612499999999999</v>
      </c>
    </row>
    <row r="68" spans="2:3">
      <c r="B68">
        <v>120.02</v>
      </c>
      <c r="C68">
        <v>0.43325000000000002</v>
      </c>
    </row>
    <row r="69" spans="2:3">
      <c r="B69">
        <v>140.05000000000001</v>
      </c>
      <c r="C69">
        <v>1.2499999999999735E-4</v>
      </c>
    </row>
    <row r="70" spans="2:3">
      <c r="B70">
        <v>160.08000000000001</v>
      </c>
      <c r="C70">
        <v>-0.42750000000000005</v>
      </c>
    </row>
    <row r="71" spans="2:3">
      <c r="B71">
        <v>180.1</v>
      </c>
      <c r="C71">
        <v>-0.105625</v>
      </c>
    </row>
    <row r="72" spans="2:3">
      <c r="B72">
        <v>200.08</v>
      </c>
      <c r="C72">
        <v>-0.46275000000000005</v>
      </c>
    </row>
    <row r="73" spans="2:3">
      <c r="B73">
        <v>220.08</v>
      </c>
      <c r="C73">
        <v>0.19024999999999997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8"/>
  <sheetViews>
    <sheetView zoomScale="96" zoomScaleNormal="70" workbookViewId="0">
      <pane xSplit="1" topLeftCell="M1" activePane="topRight" state="frozen"/>
      <selection pane="topRight" activeCell="S2" sqref="S2:S8"/>
    </sheetView>
  </sheetViews>
  <sheetFormatPr defaultColWidth="8.6640625" defaultRowHeight="14.4"/>
  <cols>
    <col min="1" max="3" width="16" customWidth="1"/>
    <col min="4" max="4" width="30.33203125" bestFit="1" customWidth="1"/>
    <col min="5" max="5" width="19.5546875" bestFit="1" customWidth="1"/>
    <col min="6" max="6" width="21.6640625" bestFit="1" customWidth="1"/>
    <col min="7" max="7" width="56.33203125" customWidth="1"/>
    <col min="8" max="8" width="22.664062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  <col min="19" max="19" width="21.33203125" customWidth="1"/>
  </cols>
  <sheetData>
    <row r="1" spans="1:68" s="12" customFormat="1">
      <c r="A1" s="5" t="s">
        <v>37</v>
      </c>
      <c r="B1" s="5" t="s">
        <v>179</v>
      </c>
      <c r="C1" s="5" t="s">
        <v>180</v>
      </c>
      <c r="D1" s="5" t="s">
        <v>181</v>
      </c>
      <c r="E1" s="5" t="s">
        <v>58</v>
      </c>
      <c r="F1" s="5" t="s">
        <v>62</v>
      </c>
      <c r="G1" s="5" t="s">
        <v>59</v>
      </c>
      <c r="H1" s="5" t="s">
        <v>177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267</v>
      </c>
      <c r="Q1" t="s">
        <v>268</v>
      </c>
      <c r="R1" t="s">
        <v>266</v>
      </c>
      <c r="S1" t="s">
        <v>574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G2">
        <v>1615.91</v>
      </c>
      <c r="I2">
        <v>1634.33</v>
      </c>
      <c r="J2">
        <v>79.19</v>
      </c>
      <c r="K2" s="17">
        <v>58.61</v>
      </c>
      <c r="L2">
        <f>(G2-F2)/J2</f>
        <v>0.29776486930168145</v>
      </c>
      <c r="M2">
        <f>Curvature!R3</f>
        <v>1.0414193711327189</v>
      </c>
      <c r="N2">
        <f>(I2-G2)/K2</f>
        <v>0.31428083944719065</v>
      </c>
      <c r="O2" s="15">
        <f>Curvature!U3</f>
        <v>-1.2484217710288348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  <c r="S2">
        <v>585.23</v>
      </c>
    </row>
    <row r="3" spans="1:68">
      <c r="A3" t="s">
        <v>120</v>
      </c>
      <c r="B3">
        <f t="shared" ref="B3:B8" si="0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G3">
        <v>1579.66</v>
      </c>
      <c r="H3">
        <v>2.5</v>
      </c>
      <c r="I3">
        <v>1637.86</v>
      </c>
      <c r="J3">
        <v>65.930000000000007</v>
      </c>
      <c r="K3">
        <v>470.53</v>
      </c>
      <c r="L3">
        <f t="shared" ref="L3:L8" si="1">(G3-F3)/J3</f>
        <v>0.4306082208402866</v>
      </c>
      <c r="M3">
        <f>Curvature!R4</f>
        <v>1.1243743364174121</v>
      </c>
      <c r="N3">
        <f>(I3-G3)/K3</f>
        <v>0.12369030667545071</v>
      </c>
      <c r="O3" s="15">
        <f>Curvature!U4</f>
        <v>-0.27154485367564241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  <c r="S3">
        <v>1311.42</v>
      </c>
    </row>
    <row r="4" spans="1:68">
      <c r="A4" t="s">
        <v>119</v>
      </c>
      <c r="B4">
        <f t="shared" si="0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G4">
        <v>1544.85</v>
      </c>
      <c r="I4">
        <v>1616.83</v>
      </c>
      <c r="J4">
        <v>97.8</v>
      </c>
      <c r="K4" s="16">
        <v>230.4</v>
      </c>
      <c r="L4">
        <f t="shared" si="1"/>
        <v>0.73425357873210584</v>
      </c>
      <c r="M4">
        <f>Curvature!R5</f>
        <v>1.3420245398773007</v>
      </c>
      <c r="N4">
        <f>(I4-G4)/K4</f>
        <v>0.31241319444444454</v>
      </c>
      <c r="O4" s="15">
        <f>Curvature!U5</f>
        <v>-7.6258680555555527E-2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  <c r="S4">
        <v>1810.08</v>
      </c>
    </row>
    <row r="5" spans="1:68">
      <c r="A5" t="s">
        <v>121</v>
      </c>
      <c r="B5">
        <f t="shared" si="0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G5">
        <v>1648.75</v>
      </c>
      <c r="I5">
        <v>1671.76</v>
      </c>
      <c r="J5">
        <v>59.98</v>
      </c>
      <c r="K5">
        <v>107.36</v>
      </c>
      <c r="L5">
        <f t="shared" si="1"/>
        <v>0.43364454818272746</v>
      </c>
      <c r="M5">
        <f>Curvature!R6</f>
        <v>9.0030010003334313E-3</v>
      </c>
      <c r="N5">
        <f t="shared" ref="N5:N8" si="2">(I5-G5)/K5</f>
        <v>0.21432563338301036</v>
      </c>
      <c r="O5" s="35">
        <f>Curvature!U6</f>
        <v>0.11792101341281666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  <c r="S5">
        <v>157.27000000000001</v>
      </c>
    </row>
    <row r="6" spans="1:68">
      <c r="A6" t="s">
        <v>122</v>
      </c>
      <c r="B6">
        <f t="shared" si="0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1647.17</v>
      </c>
      <c r="I6">
        <v>1665.03</v>
      </c>
      <c r="J6">
        <v>90.04</v>
      </c>
      <c r="K6">
        <v>147.58000000000001</v>
      </c>
      <c r="L6">
        <f t="shared" si="1"/>
        <v>0.58762772101288407</v>
      </c>
      <c r="M6">
        <f>Curvature!R7</f>
        <v>-0.17170146601510439</v>
      </c>
      <c r="N6">
        <f t="shared" si="2"/>
        <v>0.12101910828025408</v>
      </c>
      <c r="O6" s="15">
        <f>Curvature!U7</f>
        <v>-8.4632063965306939E-2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  <c r="S6">
        <v>1320.88</v>
      </c>
    </row>
    <row r="7" spans="1:68">
      <c r="A7" t="s">
        <v>123</v>
      </c>
      <c r="B7">
        <f t="shared" si="0"/>
        <v>0.40787513963013478</v>
      </c>
      <c r="C7">
        <f>(Curvature!T9-Curvature!P9)/channel_morph!E7</f>
        <v>1.3125232716892143E-2</v>
      </c>
      <c r="D7">
        <f>Slope!U9</f>
        <v>0.64359999999999973</v>
      </c>
      <c r="E7">
        <v>322.27999999999997</v>
      </c>
      <c r="F7">
        <v>1527.14</v>
      </c>
      <c r="G7">
        <v>1641.41</v>
      </c>
      <c r="H7">
        <v>-4</v>
      </c>
      <c r="I7">
        <v>1658.59</v>
      </c>
      <c r="J7">
        <v>193.99</v>
      </c>
      <c r="K7">
        <v>116.95</v>
      </c>
      <c r="L7">
        <f t="shared" si="1"/>
        <v>0.58905098200938177</v>
      </c>
      <c r="M7">
        <f>Curvature!R9</f>
        <v>0.37058611268622094</v>
      </c>
      <c r="N7">
        <f t="shared" si="2"/>
        <v>0.14690038477981904</v>
      </c>
      <c r="O7" s="15">
        <f>Curvature!U9</f>
        <v>-0.57853783668234282</v>
      </c>
      <c r="P7">
        <f>'combo lc3shallow 1 and 2'!W2</f>
        <v>325.40428485904749</v>
      </c>
      <c r="Q7">
        <f>'combo lc3shallow 1 and 2'!W4</f>
        <v>265.09948851575905</v>
      </c>
      <c r="R7">
        <f>'D50-ksn'!L5</f>
        <v>197.1340204903743</v>
      </c>
      <c r="S7">
        <v>1847.91</v>
      </c>
    </row>
    <row r="8" spans="1:68" s="5" customFormat="1" ht="16.2" customHeight="1">
      <c r="A8" s="5" t="s">
        <v>124</v>
      </c>
      <c r="B8" s="5">
        <f t="shared" si="0"/>
        <v>0.31023962724650578</v>
      </c>
      <c r="C8" s="5">
        <f>(Curvature!T10-Curvature!P10)/channel_morph!E8</f>
        <v>-0.21011759485245177</v>
      </c>
      <c r="D8" s="5">
        <f>Slope!U10</f>
        <v>0.62526666666666642</v>
      </c>
      <c r="E8" s="5">
        <v>360.56</v>
      </c>
      <c r="F8" s="5">
        <v>1551.02</v>
      </c>
      <c r="G8" s="5">
        <v>1637.86</v>
      </c>
      <c r="I8" s="5">
        <v>1662.88</v>
      </c>
      <c r="J8" s="5">
        <v>146.02000000000001</v>
      </c>
      <c r="K8" s="5">
        <v>165.37</v>
      </c>
      <c r="L8" s="5">
        <f t="shared" si="1"/>
        <v>0.59471305300643684</v>
      </c>
      <c r="M8" s="5">
        <f>Curvature!R10</f>
        <v>-0.39508286536090942</v>
      </c>
      <c r="N8" s="5">
        <f t="shared" si="2"/>
        <v>0.15129709137086658</v>
      </c>
      <c r="O8" s="6">
        <f>Curvature!U10</f>
        <v>-0.10927012154562496</v>
      </c>
      <c r="P8">
        <f>'combo lc3shallow 1 and 2'!V2</f>
        <v>486.5782461326238</v>
      </c>
      <c r="Q8">
        <f>'combo lc3shallow 1 and 2'!W4</f>
        <v>265.09948851575905</v>
      </c>
      <c r="R8">
        <f>'D50-ksn'!K5</f>
        <v>363.00745077680978</v>
      </c>
      <c r="S8">
        <v>1629.22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</row>
    <row r="9" spans="1:68">
      <c r="A9" s="13" t="s">
        <v>274</v>
      </c>
      <c r="E9">
        <v>124.9</v>
      </c>
      <c r="F9">
        <v>1390.61</v>
      </c>
      <c r="I9">
        <v>1436.17</v>
      </c>
      <c r="S9">
        <v>2171.6799999999998</v>
      </c>
    </row>
    <row r="10" spans="1:68">
      <c r="A10" s="13" t="s">
        <v>275</v>
      </c>
      <c r="E10">
        <v>273.08</v>
      </c>
      <c r="F10">
        <v>1440.99</v>
      </c>
      <c r="I10">
        <v>1574.19</v>
      </c>
      <c r="S10">
        <v>1967.81</v>
      </c>
    </row>
    <row r="11" spans="1:68">
      <c r="A11" s="13" t="s">
        <v>276</v>
      </c>
      <c r="E11">
        <v>399.22</v>
      </c>
      <c r="F11">
        <v>1509.91</v>
      </c>
      <c r="I11">
        <v>1631.67</v>
      </c>
      <c r="S11">
        <v>1661.42</v>
      </c>
    </row>
    <row r="12" spans="1:68">
      <c r="A12" s="13" t="s">
        <v>277</v>
      </c>
      <c r="E12">
        <v>493.23</v>
      </c>
      <c r="F12">
        <v>1544.59</v>
      </c>
      <c r="I12">
        <v>1637.28</v>
      </c>
      <c r="S12">
        <v>1486.61</v>
      </c>
    </row>
    <row r="13" spans="1:68">
      <c r="A13" s="13" t="s">
        <v>278</v>
      </c>
      <c r="E13">
        <v>440.79</v>
      </c>
      <c r="F13">
        <v>1561.42</v>
      </c>
      <c r="I13">
        <v>1633.82</v>
      </c>
      <c r="S13">
        <v>1181.31</v>
      </c>
    </row>
    <row r="14" spans="1:68">
      <c r="A14" s="13" t="s">
        <v>279</v>
      </c>
      <c r="E14">
        <v>481.75</v>
      </c>
      <c r="F14">
        <v>1564.69</v>
      </c>
      <c r="I14">
        <v>1634.54</v>
      </c>
      <c r="S14">
        <v>1001.58</v>
      </c>
    </row>
    <row r="15" spans="1:68">
      <c r="A15" s="13" t="s">
        <v>280</v>
      </c>
      <c r="E15">
        <v>564.28</v>
      </c>
      <c r="F15">
        <v>1580.75</v>
      </c>
      <c r="I15">
        <v>1643.3</v>
      </c>
      <c r="S15">
        <v>780.02</v>
      </c>
    </row>
    <row r="16" spans="1:68">
      <c r="A16" s="13" t="s">
        <v>281</v>
      </c>
      <c r="E16">
        <v>376.08</v>
      </c>
      <c r="F16">
        <v>1597.44</v>
      </c>
      <c r="I16">
        <v>1648.22</v>
      </c>
      <c r="S16">
        <v>452.91</v>
      </c>
    </row>
    <row r="17" spans="1:19">
      <c r="A17" s="13" t="s">
        <v>282</v>
      </c>
      <c r="E17">
        <v>221.75</v>
      </c>
      <c r="F17">
        <v>1613.88</v>
      </c>
      <c r="I17">
        <v>1662.42</v>
      </c>
      <c r="S17">
        <v>291.85000000000002</v>
      </c>
    </row>
    <row r="18" spans="1:19">
      <c r="A18" s="13" t="s">
        <v>431</v>
      </c>
      <c r="E18">
        <v>141.33000000000001</v>
      </c>
      <c r="F18">
        <v>1641.14</v>
      </c>
      <c r="I18">
        <v>1673.82</v>
      </c>
      <c r="S18">
        <v>35.83</v>
      </c>
    </row>
    <row r="19" spans="1:19">
      <c r="A19" s="13" t="s">
        <v>283</v>
      </c>
      <c r="E19">
        <v>82.53</v>
      </c>
      <c r="F19">
        <v>1525.3</v>
      </c>
      <c r="I19">
        <v>1572.18</v>
      </c>
      <c r="S19">
        <v>1891.78</v>
      </c>
    </row>
    <row r="20" spans="1:19">
      <c r="A20" s="13" t="s">
        <v>284</v>
      </c>
      <c r="E20">
        <v>342.86</v>
      </c>
      <c r="F20">
        <v>1533.83</v>
      </c>
      <c r="I20">
        <v>1660.47</v>
      </c>
      <c r="S20">
        <v>1773.06</v>
      </c>
    </row>
    <row r="21" spans="1:19">
      <c r="A21" s="13" t="s">
        <v>285</v>
      </c>
      <c r="E21">
        <v>345.95</v>
      </c>
      <c r="F21">
        <v>1539.59</v>
      </c>
      <c r="I21">
        <v>1662.44</v>
      </c>
      <c r="S21">
        <v>1688.67</v>
      </c>
    </row>
    <row r="22" spans="1:19">
      <c r="A22" s="13" t="s">
        <v>286</v>
      </c>
      <c r="E22">
        <v>289.67</v>
      </c>
      <c r="F22">
        <v>1558.05</v>
      </c>
      <c r="I22">
        <v>1663.21</v>
      </c>
      <c r="S22">
        <v>1532.72</v>
      </c>
    </row>
    <row r="23" spans="1:19">
      <c r="A23" s="13" t="s">
        <v>287</v>
      </c>
      <c r="E23">
        <v>211.86</v>
      </c>
      <c r="F23">
        <v>1574.22</v>
      </c>
      <c r="I23">
        <v>1663.92</v>
      </c>
      <c r="S23">
        <v>1381.16</v>
      </c>
    </row>
    <row r="24" spans="1:19">
      <c r="A24" s="13" t="s">
        <v>288</v>
      </c>
      <c r="E24">
        <v>226.67</v>
      </c>
      <c r="F24">
        <v>1604.56</v>
      </c>
      <c r="I24">
        <v>1666.8</v>
      </c>
      <c r="S24">
        <v>1212.1300000000001</v>
      </c>
    </row>
    <row r="25" spans="1:19">
      <c r="A25" s="13" t="s">
        <v>289</v>
      </c>
      <c r="E25">
        <v>178.84</v>
      </c>
      <c r="F25">
        <v>1622.86</v>
      </c>
      <c r="I25">
        <v>1668.73</v>
      </c>
      <c r="S25">
        <v>1072.92</v>
      </c>
    </row>
    <row r="26" spans="1:19">
      <c r="A26" s="13" t="s">
        <v>290</v>
      </c>
      <c r="E26">
        <v>129.76</v>
      </c>
      <c r="F26">
        <v>1641.24</v>
      </c>
      <c r="I26">
        <v>1673.58</v>
      </c>
      <c r="S26">
        <v>874.94</v>
      </c>
    </row>
    <row r="27" spans="1:19">
      <c r="A27" s="13" t="s">
        <v>291</v>
      </c>
      <c r="E27">
        <v>166.11</v>
      </c>
      <c r="F27">
        <v>1651.17</v>
      </c>
      <c r="I27">
        <v>1677.52</v>
      </c>
      <c r="S27">
        <v>739.11</v>
      </c>
    </row>
    <row r="28" spans="1:19">
      <c r="A28" t="s">
        <v>430</v>
      </c>
      <c r="E28">
        <v>176.16</v>
      </c>
      <c r="F28">
        <v>1661.24</v>
      </c>
      <c r="I28">
        <v>1682.81</v>
      </c>
      <c r="S28">
        <v>570.28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zoomScale="70" zoomScaleNormal="70" workbookViewId="0">
      <selection activeCell="P19" sqref="P19"/>
    </sheetView>
  </sheetViews>
  <sheetFormatPr defaultRowHeight="14.4"/>
  <sheetData>
    <row r="37" spans="13:13">
      <c r="M37" t="s">
        <v>273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6640625" bestFit="1" customWidth="1"/>
    <col min="9" max="9" width="11.6640625" bestFit="1" customWidth="1"/>
  </cols>
  <sheetData>
    <row r="1" spans="1:13">
      <c r="A1" t="s">
        <v>244</v>
      </c>
    </row>
    <row r="2" spans="1:13">
      <c r="B2" s="36" t="s">
        <v>183</v>
      </c>
      <c r="C2" s="38" t="s">
        <v>184</v>
      </c>
      <c r="D2" s="38" t="s">
        <v>185</v>
      </c>
      <c r="E2" s="38" t="s">
        <v>186</v>
      </c>
      <c r="F2" s="38" t="s">
        <v>187</v>
      </c>
      <c r="G2" s="38" t="s">
        <v>188</v>
      </c>
      <c r="H2" s="38" t="s">
        <v>189</v>
      </c>
      <c r="I2" s="38" t="s">
        <v>190</v>
      </c>
      <c r="J2" s="38" t="s">
        <v>191</v>
      </c>
      <c r="K2" s="38" t="s">
        <v>192</v>
      </c>
      <c r="L2" s="38" t="s">
        <v>193</v>
      </c>
      <c r="M2" s="38" t="s">
        <v>245</v>
      </c>
    </row>
    <row r="3" spans="1:13">
      <c r="A3" t="s">
        <v>212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213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214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246</v>
      </c>
    </row>
    <row r="10" spans="1:13">
      <c r="B10" s="36" t="s">
        <v>183</v>
      </c>
      <c r="C10" s="38" t="s">
        <v>184</v>
      </c>
      <c r="D10" s="38" t="s">
        <v>185</v>
      </c>
      <c r="E10" s="38" t="s">
        <v>186</v>
      </c>
      <c r="F10" s="38" t="s">
        <v>187</v>
      </c>
      <c r="G10" s="38" t="s">
        <v>188</v>
      </c>
      <c r="H10" s="38" t="s">
        <v>189</v>
      </c>
      <c r="I10" s="38" t="s">
        <v>190</v>
      </c>
      <c r="J10" s="38" t="s">
        <v>191</v>
      </c>
      <c r="K10" s="38" t="s">
        <v>192</v>
      </c>
      <c r="L10" s="38" t="s">
        <v>193</v>
      </c>
      <c r="M10" s="38" t="s">
        <v>245</v>
      </c>
    </row>
    <row r="11" spans="1:13">
      <c r="A11" t="s">
        <v>212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213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214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247</v>
      </c>
    </row>
    <row r="18" spans="1:13">
      <c r="B18" s="36" t="s">
        <v>183</v>
      </c>
      <c r="C18" s="38" t="s">
        <v>184</v>
      </c>
      <c r="D18" s="38" t="s">
        <v>185</v>
      </c>
      <c r="E18" s="38" t="s">
        <v>186</v>
      </c>
      <c r="F18" s="38" t="s">
        <v>187</v>
      </c>
      <c r="G18" s="38" t="s">
        <v>188</v>
      </c>
      <c r="H18" s="38" t="s">
        <v>189</v>
      </c>
      <c r="I18" s="38" t="s">
        <v>190</v>
      </c>
      <c r="J18" s="38" t="s">
        <v>191</v>
      </c>
      <c r="K18" s="38" t="s">
        <v>192</v>
      </c>
      <c r="L18" s="38" t="s">
        <v>193</v>
      </c>
      <c r="M18" s="38" t="s">
        <v>245</v>
      </c>
    </row>
    <row r="19" spans="1:13">
      <c r="A19" t="s">
        <v>212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213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214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248</v>
      </c>
    </row>
    <row r="27" spans="1:13">
      <c r="B27" s="36" t="s">
        <v>183</v>
      </c>
      <c r="C27" s="38" t="s">
        <v>184</v>
      </c>
      <c r="D27" s="38" t="s">
        <v>185</v>
      </c>
      <c r="E27" s="38" t="s">
        <v>186</v>
      </c>
      <c r="F27" s="38" t="s">
        <v>187</v>
      </c>
      <c r="G27" s="38" t="s">
        <v>188</v>
      </c>
      <c r="H27" s="38" t="s">
        <v>189</v>
      </c>
      <c r="I27" s="38" t="s">
        <v>190</v>
      </c>
      <c r="J27" s="38" t="s">
        <v>191</v>
      </c>
      <c r="K27" s="38" t="s">
        <v>192</v>
      </c>
      <c r="L27" s="38" t="s">
        <v>193</v>
      </c>
      <c r="M27" s="38" t="s">
        <v>245</v>
      </c>
    </row>
    <row r="28" spans="1:13">
      <c r="A28" t="s">
        <v>212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213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214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Curvature</vt:lpstr>
      <vt:lpstr>curveVSdistance</vt:lpstr>
      <vt:lpstr>Slope</vt:lpstr>
      <vt:lpstr>Outcrop</vt:lpstr>
      <vt:lpstr>hillslope_morph</vt:lpstr>
      <vt:lpstr>correlation_coeff's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Brieler, Sophia T</cp:lastModifiedBy>
  <dcterms:created xsi:type="dcterms:W3CDTF">2021-11-04T15:57:40Z</dcterms:created>
  <dcterms:modified xsi:type="dcterms:W3CDTF">2023-10-30T20:58:09Z</dcterms:modified>
</cp:coreProperties>
</file>