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pt\SPT WPOP\BANK RJH 2021\"/>
    </mc:Choice>
  </mc:AlternateContent>
  <xr:revisionPtr revIDLastSave="0" documentId="13_ncr:1_{214AB774-0EDC-475C-8C44-A13E80AF19B9}" xr6:coauthVersionLast="47" xr6:coauthVersionMax="47" xr10:uidLastSave="{00000000-0000-0000-0000-000000000000}"/>
  <bookViews>
    <workbookView xWindow="-120" yWindow="-120" windowWidth="15600" windowHeight="11160" tabRatio="500" activeTab="3" xr2:uid="{00000000-000D-0000-FFFF-FFFF00000000}"/>
  </bookViews>
  <sheets>
    <sheet name="2017" sheetId="1" r:id="rId1"/>
    <sheet name="Int Calc" sheetId="2" r:id="rId2"/>
    <sheet name="2018" sheetId="3" r:id="rId3"/>
    <sheet name="2121" sheetId="4" r:id="rId4"/>
    <sheet name="2019b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80" i="5" l="1"/>
  <c r="N79" i="5"/>
  <c r="R78" i="5"/>
  <c r="N78" i="5"/>
  <c r="P78" i="5" s="1"/>
  <c r="R77" i="5"/>
  <c r="P77" i="5"/>
  <c r="N77" i="5"/>
  <c r="P76" i="5"/>
  <c r="N76" i="5"/>
  <c r="R76" i="5" s="1"/>
  <c r="N75" i="5"/>
  <c r="R74" i="5"/>
  <c r="N74" i="5"/>
  <c r="P74" i="5" s="1"/>
  <c r="R73" i="5"/>
  <c r="P73" i="5"/>
  <c r="N73" i="5"/>
  <c r="P72" i="5"/>
  <c r="N72" i="5"/>
  <c r="R72" i="5" s="1"/>
  <c r="N71" i="5"/>
  <c r="R70" i="5"/>
  <c r="N70" i="5"/>
  <c r="P70" i="5" s="1"/>
  <c r="R69" i="5"/>
  <c r="P69" i="5"/>
  <c r="N69" i="5"/>
  <c r="P68" i="5"/>
  <c r="N68" i="5"/>
  <c r="R68" i="5" s="1"/>
  <c r="P64" i="5"/>
  <c r="N64" i="5"/>
  <c r="R64" i="5" s="1"/>
  <c r="P63" i="5"/>
  <c r="N63" i="5"/>
  <c r="R63" i="5" s="1"/>
  <c r="P62" i="5"/>
  <c r="N62" i="5"/>
  <c r="R62" i="5" s="1"/>
  <c r="P61" i="5"/>
  <c r="N61" i="5"/>
  <c r="R61" i="5" s="1"/>
  <c r="P60" i="5"/>
  <c r="N60" i="5"/>
  <c r="R60" i="5" s="1"/>
  <c r="P59" i="5"/>
  <c r="N59" i="5"/>
  <c r="R59" i="5" s="1"/>
  <c r="P56" i="5"/>
  <c r="N56" i="5"/>
  <c r="R56" i="5" s="1"/>
  <c r="M56" i="5"/>
  <c r="R55" i="5"/>
  <c r="Q55" i="5"/>
  <c r="P55" i="5"/>
  <c r="N55" i="5"/>
  <c r="R54" i="5"/>
  <c r="Q54" i="5"/>
  <c r="P54" i="5"/>
  <c r="N54" i="5"/>
  <c r="R53" i="5"/>
  <c r="Q53" i="5"/>
  <c r="P53" i="5"/>
  <c r="N53" i="5"/>
  <c r="R52" i="5"/>
  <c r="Q52" i="5"/>
  <c r="P52" i="5"/>
  <c r="N52" i="5"/>
  <c r="R51" i="5"/>
  <c r="Q51" i="5"/>
  <c r="P51" i="5"/>
  <c r="N51" i="5"/>
  <c r="R50" i="5"/>
  <c r="Q50" i="5"/>
  <c r="P50" i="5"/>
  <c r="N50" i="5"/>
  <c r="R49" i="5"/>
  <c r="Q49" i="5"/>
  <c r="P49" i="5"/>
  <c r="N49" i="5"/>
  <c r="R45" i="5"/>
  <c r="Q45" i="5"/>
  <c r="N45" i="5"/>
  <c r="P45" i="5" s="1"/>
  <c r="R44" i="5"/>
  <c r="Q44" i="5"/>
  <c r="N44" i="5"/>
  <c r="P44" i="5" s="1"/>
  <c r="R43" i="5"/>
  <c r="Q43" i="5"/>
  <c r="P43" i="5"/>
  <c r="D42" i="5"/>
  <c r="D41" i="5"/>
  <c r="N40" i="5"/>
  <c r="D40" i="5"/>
  <c r="N39" i="5"/>
  <c r="D39" i="5"/>
  <c r="N38" i="5"/>
  <c r="D38" i="5"/>
  <c r="N37" i="5"/>
  <c r="D37" i="5"/>
  <c r="C37" i="5"/>
  <c r="P36" i="5"/>
  <c r="N36" i="5"/>
  <c r="R36" i="5" s="1"/>
  <c r="P35" i="5"/>
  <c r="N35" i="5"/>
  <c r="R35" i="5" s="1"/>
  <c r="F35" i="5"/>
  <c r="D35" i="5"/>
  <c r="H35" i="5" s="1"/>
  <c r="P34" i="5"/>
  <c r="N34" i="5"/>
  <c r="R34" i="5" s="1"/>
  <c r="F34" i="5"/>
  <c r="D34" i="5"/>
  <c r="H34" i="5" s="1"/>
  <c r="P33" i="5"/>
  <c r="N33" i="5"/>
  <c r="R33" i="5" s="1"/>
  <c r="F33" i="5"/>
  <c r="D33" i="5"/>
  <c r="H33" i="5" s="1"/>
  <c r="P32" i="5"/>
  <c r="N32" i="5"/>
  <c r="R32" i="5" s="1"/>
  <c r="P31" i="5"/>
  <c r="N31" i="5"/>
  <c r="R31" i="5" s="1"/>
  <c r="F31" i="5"/>
  <c r="D31" i="5"/>
  <c r="H31" i="5" s="1"/>
  <c r="P30" i="5"/>
  <c r="N30" i="5"/>
  <c r="R30" i="5" s="1"/>
  <c r="F30" i="5"/>
  <c r="D30" i="5"/>
  <c r="H30" i="5" s="1"/>
  <c r="P29" i="5"/>
  <c r="N29" i="5"/>
  <c r="R29" i="5" s="1"/>
  <c r="P28" i="5"/>
  <c r="N28" i="5"/>
  <c r="R28" i="5" s="1"/>
  <c r="D28" i="5"/>
  <c r="R27" i="5"/>
  <c r="Q27" i="5"/>
  <c r="P27" i="5"/>
  <c r="N27" i="5"/>
  <c r="H27" i="5"/>
  <c r="G27" i="5"/>
  <c r="F27" i="5"/>
  <c r="D27" i="5"/>
  <c r="R26" i="5"/>
  <c r="Q26" i="5"/>
  <c r="P26" i="5"/>
  <c r="N26" i="5"/>
  <c r="H26" i="5"/>
  <c r="G26" i="5"/>
  <c r="F26" i="5"/>
  <c r="D26" i="5"/>
  <c r="R25" i="5"/>
  <c r="Q25" i="5"/>
  <c r="P25" i="5"/>
  <c r="N25" i="5"/>
  <c r="R24" i="5"/>
  <c r="Q24" i="5"/>
  <c r="P24" i="5"/>
  <c r="N24" i="5"/>
  <c r="R23" i="5"/>
  <c r="Q23" i="5"/>
  <c r="P23" i="5"/>
  <c r="N23" i="5"/>
  <c r="H23" i="5"/>
  <c r="F23" i="5"/>
  <c r="D23" i="5"/>
  <c r="R22" i="5"/>
  <c r="Q22" i="5"/>
  <c r="P22" i="5"/>
  <c r="N22" i="5"/>
  <c r="D22" i="5"/>
  <c r="H22" i="5" s="1"/>
  <c r="N21" i="5"/>
  <c r="P21" i="5" s="1"/>
  <c r="N20" i="5"/>
  <c r="D20" i="5"/>
  <c r="R19" i="5"/>
  <c r="N19" i="5"/>
  <c r="H19" i="5"/>
  <c r="D19" i="5"/>
  <c r="F19" i="5" s="1"/>
  <c r="R18" i="5"/>
  <c r="Q18" i="5"/>
  <c r="N18" i="5"/>
  <c r="P18" i="5" s="1"/>
  <c r="H18" i="5"/>
  <c r="F18" i="5"/>
  <c r="D18" i="5"/>
  <c r="R17" i="5"/>
  <c r="Q17" i="5"/>
  <c r="P17" i="5"/>
  <c r="N17" i="5"/>
  <c r="R16" i="5"/>
  <c r="Q16" i="5"/>
  <c r="P16" i="5"/>
  <c r="N16" i="5"/>
  <c r="D16" i="5"/>
  <c r="Q15" i="5"/>
  <c r="N15" i="5"/>
  <c r="R15" i="5" s="1"/>
  <c r="F15" i="5"/>
  <c r="D15" i="5"/>
  <c r="N14" i="5"/>
  <c r="R13" i="5"/>
  <c r="N13" i="5"/>
  <c r="Q13" i="5" s="1"/>
  <c r="D13" i="5"/>
  <c r="Q12" i="5"/>
  <c r="N12" i="5"/>
  <c r="R12" i="5" s="1"/>
  <c r="G12" i="5"/>
  <c r="F12" i="5"/>
  <c r="D12" i="5"/>
  <c r="H12" i="5" s="1"/>
  <c r="N11" i="5"/>
  <c r="P11" i="5" s="1"/>
  <c r="D11" i="5"/>
  <c r="Q10" i="5"/>
  <c r="N10" i="5"/>
  <c r="R10" i="5" s="1"/>
  <c r="G10" i="5"/>
  <c r="F10" i="5"/>
  <c r="D10" i="5"/>
  <c r="H10" i="5" s="1"/>
  <c r="N9" i="5"/>
  <c r="D9" i="5"/>
  <c r="D44" i="5" s="1"/>
  <c r="Q8" i="5"/>
  <c r="N8" i="5"/>
  <c r="R8" i="5" s="1"/>
  <c r="G8" i="5"/>
  <c r="F8" i="5"/>
  <c r="D8" i="5"/>
  <c r="H8" i="5" s="1"/>
  <c r="N7" i="5"/>
  <c r="M86" i="4"/>
  <c r="P85" i="4"/>
  <c r="N85" i="4"/>
  <c r="R85" i="4" s="1"/>
  <c r="N84" i="4"/>
  <c r="P84" i="4" s="1"/>
  <c r="R83" i="4"/>
  <c r="P83" i="4"/>
  <c r="N83" i="4"/>
  <c r="P82" i="4"/>
  <c r="N82" i="4"/>
  <c r="R82" i="4" s="1"/>
  <c r="N81" i="4"/>
  <c r="R81" i="4" s="1"/>
  <c r="R80" i="4"/>
  <c r="N80" i="4"/>
  <c r="P80" i="4" s="1"/>
  <c r="R79" i="4"/>
  <c r="P79" i="4"/>
  <c r="N79" i="4"/>
  <c r="R78" i="4"/>
  <c r="N78" i="4"/>
  <c r="P78" i="4" s="1"/>
  <c r="P77" i="4"/>
  <c r="N77" i="4"/>
  <c r="R77" i="4" s="1"/>
  <c r="N76" i="4"/>
  <c r="P76" i="4" s="1"/>
  <c r="R75" i="4"/>
  <c r="P75" i="4"/>
  <c r="N75" i="4"/>
  <c r="P74" i="4"/>
  <c r="N74" i="4"/>
  <c r="R74" i="4" s="1"/>
  <c r="N73" i="4"/>
  <c r="R73" i="4" s="1"/>
  <c r="R72" i="4"/>
  <c r="N72" i="4"/>
  <c r="P72" i="4" s="1"/>
  <c r="R71" i="4"/>
  <c r="P71" i="4"/>
  <c r="N71" i="4"/>
  <c r="R70" i="4"/>
  <c r="N70" i="4"/>
  <c r="P70" i="4" s="1"/>
  <c r="P69" i="4"/>
  <c r="N69" i="4"/>
  <c r="R69" i="4" s="1"/>
  <c r="N68" i="4"/>
  <c r="P68" i="4" s="1"/>
  <c r="Q64" i="4"/>
  <c r="N64" i="4"/>
  <c r="N63" i="4"/>
  <c r="R62" i="4"/>
  <c r="N62" i="4"/>
  <c r="P62" i="4" s="1"/>
  <c r="R61" i="4"/>
  <c r="Q61" i="4"/>
  <c r="N61" i="4"/>
  <c r="P61" i="4" s="1"/>
  <c r="Q60" i="4"/>
  <c r="N60" i="4"/>
  <c r="N59" i="4"/>
  <c r="M56" i="4"/>
  <c r="N55" i="4"/>
  <c r="P54" i="4"/>
  <c r="N54" i="4"/>
  <c r="N53" i="4"/>
  <c r="P53" i="4" s="1"/>
  <c r="P52" i="4"/>
  <c r="N52" i="4"/>
  <c r="N51" i="4"/>
  <c r="P51" i="4" s="1"/>
  <c r="P50" i="4"/>
  <c r="N50" i="4"/>
  <c r="N49" i="4"/>
  <c r="Q45" i="4"/>
  <c r="P45" i="4"/>
  <c r="N45" i="4"/>
  <c r="R45" i="4" s="1"/>
  <c r="Q44" i="4"/>
  <c r="P44" i="4"/>
  <c r="N44" i="4"/>
  <c r="N46" i="4" s="1"/>
  <c r="R46" i="4" s="1"/>
  <c r="R43" i="4"/>
  <c r="Q43" i="4"/>
  <c r="P43" i="4"/>
  <c r="H42" i="4"/>
  <c r="G42" i="4"/>
  <c r="F42" i="4"/>
  <c r="D42" i="4"/>
  <c r="H41" i="4"/>
  <c r="G41" i="4"/>
  <c r="D41" i="4"/>
  <c r="F41" i="4" s="1"/>
  <c r="R40" i="4"/>
  <c r="Q40" i="4"/>
  <c r="N40" i="4"/>
  <c r="P40" i="4" s="1"/>
  <c r="H40" i="4"/>
  <c r="G40" i="4"/>
  <c r="D40" i="4"/>
  <c r="F40" i="4" s="1"/>
  <c r="R39" i="4"/>
  <c r="Q39" i="4"/>
  <c r="N39" i="4"/>
  <c r="P39" i="4" s="1"/>
  <c r="H39" i="4"/>
  <c r="G39" i="4"/>
  <c r="D39" i="4"/>
  <c r="F39" i="4" s="1"/>
  <c r="R38" i="4"/>
  <c r="Q38" i="4"/>
  <c r="N38" i="4"/>
  <c r="P38" i="4" s="1"/>
  <c r="H38" i="4"/>
  <c r="G38" i="4"/>
  <c r="D38" i="4"/>
  <c r="F38" i="4" s="1"/>
  <c r="R37" i="4"/>
  <c r="Q37" i="4"/>
  <c r="N37" i="4"/>
  <c r="P37" i="4" s="1"/>
  <c r="H37" i="4"/>
  <c r="G37" i="4"/>
  <c r="D37" i="4"/>
  <c r="F37" i="4" s="1"/>
  <c r="R36" i="4"/>
  <c r="Q36" i="4"/>
  <c r="N36" i="4"/>
  <c r="P36" i="4" s="1"/>
  <c r="R35" i="4"/>
  <c r="Q35" i="4"/>
  <c r="N35" i="4"/>
  <c r="P35" i="4" s="1"/>
  <c r="H35" i="4"/>
  <c r="G35" i="4"/>
  <c r="D35" i="4"/>
  <c r="F35" i="4" s="1"/>
  <c r="R34" i="4"/>
  <c r="Q34" i="4"/>
  <c r="N34" i="4"/>
  <c r="P34" i="4" s="1"/>
  <c r="H34" i="4"/>
  <c r="G34" i="4"/>
  <c r="D34" i="4"/>
  <c r="F34" i="4" s="1"/>
  <c r="R33" i="4"/>
  <c r="Q33" i="4"/>
  <c r="N33" i="4"/>
  <c r="P33" i="4" s="1"/>
  <c r="H33" i="4"/>
  <c r="G33" i="4"/>
  <c r="D33" i="4"/>
  <c r="F33" i="4" s="1"/>
  <c r="R32" i="4"/>
  <c r="Q32" i="4"/>
  <c r="N32" i="4"/>
  <c r="P32" i="4" s="1"/>
  <c r="R31" i="4"/>
  <c r="Q31" i="4"/>
  <c r="N31" i="4"/>
  <c r="P31" i="4" s="1"/>
  <c r="H31" i="4"/>
  <c r="G31" i="4"/>
  <c r="D31" i="4"/>
  <c r="F31" i="4" s="1"/>
  <c r="R30" i="4"/>
  <c r="Q30" i="4"/>
  <c r="N30" i="4"/>
  <c r="P30" i="4" s="1"/>
  <c r="H30" i="4"/>
  <c r="G30" i="4"/>
  <c r="D30" i="4"/>
  <c r="F30" i="4" s="1"/>
  <c r="R29" i="4"/>
  <c r="Q29" i="4"/>
  <c r="N29" i="4"/>
  <c r="P29" i="4" s="1"/>
  <c r="R28" i="4"/>
  <c r="Q28" i="4"/>
  <c r="N28" i="4"/>
  <c r="P28" i="4" s="1"/>
  <c r="D28" i="4"/>
  <c r="N27" i="4"/>
  <c r="H27" i="4"/>
  <c r="D27" i="4"/>
  <c r="N26" i="4"/>
  <c r="H26" i="4"/>
  <c r="D26" i="4"/>
  <c r="N25" i="4"/>
  <c r="R24" i="4"/>
  <c r="N24" i="4"/>
  <c r="N23" i="4"/>
  <c r="D23" i="4"/>
  <c r="N22" i="4"/>
  <c r="H22" i="4"/>
  <c r="D22" i="4"/>
  <c r="F22" i="4" s="1"/>
  <c r="R21" i="4"/>
  <c r="Q21" i="4"/>
  <c r="N21" i="4"/>
  <c r="P21" i="4" s="1"/>
  <c r="R20" i="4"/>
  <c r="Q20" i="4"/>
  <c r="N20" i="4"/>
  <c r="P20" i="4" s="1"/>
  <c r="H20" i="4"/>
  <c r="F20" i="4"/>
  <c r="D20" i="4"/>
  <c r="R19" i="4"/>
  <c r="Q19" i="4"/>
  <c r="P19" i="4"/>
  <c r="N19" i="4"/>
  <c r="D19" i="4"/>
  <c r="H19" i="4" s="1"/>
  <c r="P18" i="4"/>
  <c r="N18" i="4"/>
  <c r="D18" i="4"/>
  <c r="R17" i="4"/>
  <c r="N17" i="4"/>
  <c r="N16" i="4"/>
  <c r="H16" i="4"/>
  <c r="D16" i="4"/>
  <c r="F16" i="4" s="1"/>
  <c r="R15" i="4"/>
  <c r="Q15" i="4"/>
  <c r="N15" i="4"/>
  <c r="P15" i="4" s="1"/>
  <c r="H15" i="4"/>
  <c r="F15" i="4"/>
  <c r="D15" i="4"/>
  <c r="R14" i="4"/>
  <c r="Q14" i="4"/>
  <c r="P14" i="4"/>
  <c r="N14" i="4"/>
  <c r="R13" i="4"/>
  <c r="Q13" i="4"/>
  <c r="P13" i="4"/>
  <c r="N13" i="4"/>
  <c r="D13" i="4"/>
  <c r="R12" i="4"/>
  <c r="Q12" i="4"/>
  <c r="N12" i="4"/>
  <c r="P12" i="4" s="1"/>
  <c r="H12" i="4"/>
  <c r="G12" i="4"/>
  <c r="D12" i="4"/>
  <c r="F12" i="4" s="1"/>
  <c r="R11" i="4"/>
  <c r="Q11" i="4"/>
  <c r="N11" i="4"/>
  <c r="P11" i="4" s="1"/>
  <c r="H11" i="4"/>
  <c r="G11" i="4"/>
  <c r="D11" i="4"/>
  <c r="F11" i="4" s="1"/>
  <c r="R10" i="4"/>
  <c r="Q10" i="4"/>
  <c r="N10" i="4"/>
  <c r="P10" i="4" s="1"/>
  <c r="H10" i="4"/>
  <c r="G10" i="4"/>
  <c r="D10" i="4"/>
  <c r="F10" i="4" s="1"/>
  <c r="R9" i="4"/>
  <c r="Q9" i="4"/>
  <c r="N9" i="4"/>
  <c r="P9" i="4" s="1"/>
  <c r="H9" i="4"/>
  <c r="G9" i="4"/>
  <c r="D9" i="4"/>
  <c r="F9" i="4" s="1"/>
  <c r="R8" i="4"/>
  <c r="Q8" i="4"/>
  <c r="N8" i="4"/>
  <c r="P8" i="4" s="1"/>
  <c r="H8" i="4"/>
  <c r="G8" i="4"/>
  <c r="D8" i="4"/>
  <c r="F8" i="4" s="1"/>
  <c r="R7" i="4"/>
  <c r="Q7" i="4"/>
  <c r="N7" i="4"/>
  <c r="P7" i="4" s="1"/>
  <c r="M47" i="3"/>
  <c r="R46" i="3"/>
  <c r="P46" i="3"/>
  <c r="N46" i="3"/>
  <c r="N45" i="3"/>
  <c r="R45" i="3" s="1"/>
  <c r="N44" i="3"/>
  <c r="R43" i="3"/>
  <c r="N43" i="3"/>
  <c r="P43" i="3" s="1"/>
  <c r="R42" i="3"/>
  <c r="P42" i="3"/>
  <c r="N42" i="3"/>
  <c r="N41" i="3"/>
  <c r="R41" i="3" s="1"/>
  <c r="P40" i="3"/>
  <c r="N40" i="3"/>
  <c r="R40" i="3" s="1"/>
  <c r="N39" i="3"/>
  <c r="R38" i="3"/>
  <c r="N38" i="3"/>
  <c r="P38" i="3" s="1"/>
  <c r="R37" i="3"/>
  <c r="P37" i="3"/>
  <c r="N37" i="3"/>
  <c r="C37" i="3"/>
  <c r="F35" i="3"/>
  <c r="D35" i="3"/>
  <c r="F34" i="3"/>
  <c r="D34" i="3"/>
  <c r="N33" i="3"/>
  <c r="F33" i="3"/>
  <c r="D33" i="3"/>
  <c r="N32" i="3"/>
  <c r="F32" i="3"/>
  <c r="D32" i="3"/>
  <c r="N31" i="3"/>
  <c r="F31" i="3"/>
  <c r="D31" i="3"/>
  <c r="D30" i="3"/>
  <c r="G29" i="3"/>
  <c r="F29" i="3"/>
  <c r="D29" i="3"/>
  <c r="H29" i="3" s="1"/>
  <c r="G28" i="3"/>
  <c r="F28" i="3"/>
  <c r="D28" i="3"/>
  <c r="H28" i="3" s="1"/>
  <c r="M27" i="3"/>
  <c r="H27" i="3"/>
  <c r="G27" i="3"/>
  <c r="F27" i="3"/>
  <c r="D27" i="3"/>
  <c r="R26" i="3"/>
  <c r="Q26" i="3"/>
  <c r="P26" i="3"/>
  <c r="N26" i="3"/>
  <c r="H26" i="3"/>
  <c r="G26" i="3"/>
  <c r="F26" i="3"/>
  <c r="D26" i="3"/>
  <c r="R25" i="3"/>
  <c r="Q25" i="3"/>
  <c r="N25" i="3"/>
  <c r="P25" i="3" s="1"/>
  <c r="H25" i="3"/>
  <c r="G25" i="3"/>
  <c r="F25" i="3"/>
  <c r="D25" i="3"/>
  <c r="R24" i="3"/>
  <c r="Q24" i="3"/>
  <c r="P24" i="3"/>
  <c r="N24" i="3"/>
  <c r="D24" i="3"/>
  <c r="R23" i="3"/>
  <c r="N23" i="3"/>
  <c r="D23" i="3"/>
  <c r="R22" i="3"/>
  <c r="N22" i="3"/>
  <c r="D22" i="3"/>
  <c r="R21" i="3"/>
  <c r="N21" i="3"/>
  <c r="D20" i="3"/>
  <c r="H19" i="3"/>
  <c r="F19" i="3"/>
  <c r="D19" i="3"/>
  <c r="H18" i="3"/>
  <c r="F18" i="3"/>
  <c r="D18" i="3"/>
  <c r="Q17" i="3"/>
  <c r="P17" i="3"/>
  <c r="N17" i="3"/>
  <c r="R17" i="3" s="1"/>
  <c r="D17" i="3"/>
  <c r="H17" i="3" s="1"/>
  <c r="P16" i="3"/>
  <c r="N16" i="3"/>
  <c r="D16" i="3"/>
  <c r="R15" i="3"/>
  <c r="Q15" i="3"/>
  <c r="P15" i="3"/>
  <c r="H15" i="3"/>
  <c r="F15" i="3"/>
  <c r="D15" i="3"/>
  <c r="F14" i="3"/>
  <c r="D14" i="3"/>
  <c r="N13" i="3"/>
  <c r="D13" i="3"/>
  <c r="Q12" i="3"/>
  <c r="P12" i="3"/>
  <c r="N12" i="3"/>
  <c r="R12" i="3" s="1"/>
  <c r="G12" i="3"/>
  <c r="F12" i="3"/>
  <c r="D12" i="3"/>
  <c r="H12" i="3" s="1"/>
  <c r="P11" i="3"/>
  <c r="N11" i="3"/>
  <c r="R11" i="3" s="1"/>
  <c r="D11" i="3"/>
  <c r="H11" i="3" s="1"/>
  <c r="N10" i="3"/>
  <c r="R10" i="3" s="1"/>
  <c r="H10" i="3"/>
  <c r="D10" i="3"/>
  <c r="G10" i="3" s="1"/>
  <c r="R9" i="3"/>
  <c r="N9" i="3"/>
  <c r="Q9" i="3" s="1"/>
  <c r="H9" i="3"/>
  <c r="D9" i="3"/>
  <c r="G9" i="3" s="1"/>
  <c r="R8" i="3"/>
  <c r="N8" i="3"/>
  <c r="Q8" i="3" s="1"/>
  <c r="H8" i="3"/>
  <c r="D8" i="3"/>
  <c r="R7" i="3"/>
  <c r="N7" i="3"/>
  <c r="N14" i="3" s="1"/>
  <c r="C40" i="1"/>
  <c r="L38" i="1"/>
  <c r="D38" i="1"/>
  <c r="D37" i="1"/>
  <c r="N36" i="1"/>
  <c r="D36" i="1"/>
  <c r="N35" i="1"/>
  <c r="D35" i="1"/>
  <c r="N34" i="1"/>
  <c r="D34" i="1"/>
  <c r="N33" i="1"/>
  <c r="D33" i="1"/>
  <c r="N32" i="1"/>
  <c r="D32" i="1"/>
  <c r="N31" i="1"/>
  <c r="D31" i="1"/>
  <c r="N30" i="1"/>
  <c r="D30" i="1"/>
  <c r="N29" i="1"/>
  <c r="D29" i="1"/>
  <c r="N28" i="1"/>
  <c r="D28" i="1"/>
  <c r="N27" i="1"/>
  <c r="D27" i="1"/>
  <c r="D26" i="1"/>
  <c r="N25" i="1"/>
  <c r="D25" i="1"/>
  <c r="N24" i="1"/>
  <c r="D24" i="1"/>
  <c r="N23" i="1"/>
  <c r="D23" i="1"/>
  <c r="N22" i="1"/>
  <c r="D22" i="1"/>
  <c r="N21" i="1"/>
  <c r="D21" i="1"/>
  <c r="N20" i="1"/>
  <c r="D20" i="1"/>
  <c r="N19" i="1"/>
  <c r="D19" i="1"/>
  <c r="N18" i="1"/>
  <c r="D18" i="1"/>
  <c r="N17" i="1"/>
  <c r="D17" i="1"/>
  <c r="N16" i="1"/>
  <c r="D16" i="1"/>
  <c r="N15" i="1"/>
  <c r="D15" i="1"/>
  <c r="F19" i="1" s="1"/>
  <c r="N14" i="1"/>
  <c r="D14" i="1"/>
  <c r="N13" i="1"/>
  <c r="D13" i="1"/>
  <c r="N12" i="1"/>
  <c r="D12" i="1"/>
  <c r="L11" i="1"/>
  <c r="N11" i="1" s="1"/>
  <c r="D11" i="1"/>
  <c r="N10" i="1"/>
  <c r="D10" i="1"/>
  <c r="N9" i="1"/>
  <c r="D9" i="1"/>
  <c r="L8" i="1"/>
  <c r="N8" i="1" s="1"/>
  <c r="D8" i="1"/>
  <c r="N7" i="1"/>
  <c r="D7" i="1"/>
  <c r="N6" i="1"/>
  <c r="D6" i="1"/>
  <c r="N5" i="1"/>
  <c r="D5" i="1"/>
  <c r="D4" i="1"/>
  <c r="D40" i="1" s="1"/>
  <c r="E40" i="1" s="1"/>
  <c r="P86" i="4" l="1"/>
  <c r="L26" i="1"/>
  <c r="R49" i="4"/>
  <c r="Q49" i="4"/>
  <c r="R55" i="4"/>
  <c r="Q55" i="4"/>
  <c r="R7" i="5"/>
  <c r="N41" i="5"/>
  <c r="Q7" i="5"/>
  <c r="R9" i="5"/>
  <c r="Q9" i="5"/>
  <c r="G41" i="5"/>
  <c r="F41" i="5"/>
  <c r="H41" i="5"/>
  <c r="R14" i="3"/>
  <c r="D37" i="3"/>
  <c r="F11" i="3"/>
  <c r="Q11" i="3"/>
  <c r="R13" i="3"/>
  <c r="Q13" i="3"/>
  <c r="P14" i="3"/>
  <c r="H16" i="3"/>
  <c r="F16" i="3"/>
  <c r="F17" i="3"/>
  <c r="H20" i="3"/>
  <c r="F20" i="3"/>
  <c r="G22" i="3"/>
  <c r="F22" i="3"/>
  <c r="G23" i="3"/>
  <c r="F23" i="3"/>
  <c r="R31" i="3"/>
  <c r="Q31" i="3"/>
  <c r="R32" i="3"/>
  <c r="Q32" i="3"/>
  <c r="R33" i="3"/>
  <c r="Q33" i="3"/>
  <c r="N34" i="3"/>
  <c r="N47" i="3"/>
  <c r="E48" i="4"/>
  <c r="Q16" i="4"/>
  <c r="P16" i="4"/>
  <c r="H18" i="4"/>
  <c r="I23" i="4" s="1"/>
  <c r="F18" i="4"/>
  <c r="F44" i="4" s="1"/>
  <c r="F19" i="4"/>
  <c r="Q22" i="4"/>
  <c r="P22" i="4"/>
  <c r="Q23" i="4"/>
  <c r="P23" i="4"/>
  <c r="Q25" i="4"/>
  <c r="P25" i="4"/>
  <c r="Q26" i="4"/>
  <c r="P26" i="4"/>
  <c r="Q27" i="4"/>
  <c r="P27" i="4"/>
  <c r="P49" i="4"/>
  <c r="P55" i="4"/>
  <c r="P59" i="4"/>
  <c r="N65" i="4"/>
  <c r="R59" i="4"/>
  <c r="Q59" i="4"/>
  <c r="P63" i="4"/>
  <c r="R63" i="4"/>
  <c r="Q63" i="4"/>
  <c r="P7" i="5"/>
  <c r="P9" i="5"/>
  <c r="R53" i="4"/>
  <c r="Q53" i="4"/>
  <c r="P7" i="3"/>
  <c r="F8" i="3"/>
  <c r="P8" i="3"/>
  <c r="F9" i="3"/>
  <c r="P9" i="3"/>
  <c r="F10" i="3"/>
  <c r="P10" i="3"/>
  <c r="G11" i="3"/>
  <c r="P13" i="3"/>
  <c r="Q14" i="3"/>
  <c r="R16" i="3"/>
  <c r="N18" i="3"/>
  <c r="N49" i="3" s="1"/>
  <c r="Q16" i="3"/>
  <c r="H22" i="3"/>
  <c r="H23" i="3"/>
  <c r="P31" i="3"/>
  <c r="P32" i="3"/>
  <c r="P33" i="3"/>
  <c r="R39" i="3"/>
  <c r="P39" i="3"/>
  <c r="P41" i="3"/>
  <c r="P45" i="3"/>
  <c r="R16" i="4"/>
  <c r="R18" i="4"/>
  <c r="Q18" i="4"/>
  <c r="R22" i="4"/>
  <c r="R23" i="4"/>
  <c r="R25" i="4"/>
  <c r="R26" i="4"/>
  <c r="R27" i="4"/>
  <c r="P46" i="4"/>
  <c r="R50" i="4"/>
  <c r="Q50" i="4"/>
  <c r="R52" i="4"/>
  <c r="Q52" i="4"/>
  <c r="R54" i="4"/>
  <c r="Q54" i="4"/>
  <c r="P60" i="4"/>
  <c r="R60" i="4"/>
  <c r="P64" i="4"/>
  <c r="R64" i="4"/>
  <c r="Q14" i="5"/>
  <c r="R14" i="5"/>
  <c r="P14" i="5"/>
  <c r="H20" i="5"/>
  <c r="F20" i="5"/>
  <c r="R71" i="5"/>
  <c r="P71" i="5"/>
  <c r="N80" i="5"/>
  <c r="R75" i="5"/>
  <c r="P75" i="5"/>
  <c r="R79" i="5"/>
  <c r="P79" i="5"/>
  <c r="R44" i="3"/>
  <c r="P44" i="3"/>
  <c r="R51" i="4"/>
  <c r="Q51" i="4"/>
  <c r="R11" i="5"/>
  <c r="Q11" i="5"/>
  <c r="R21" i="5"/>
  <c r="Q21" i="5"/>
  <c r="G37" i="5"/>
  <c r="F37" i="5"/>
  <c r="H37" i="5"/>
  <c r="G39" i="5"/>
  <c r="F39" i="5"/>
  <c r="H39" i="5"/>
  <c r="Q7" i="3"/>
  <c r="G8" i="3"/>
  <c r="Q10" i="3"/>
  <c r="E41" i="3"/>
  <c r="H14" i="3"/>
  <c r="I20" i="3" s="1"/>
  <c r="N27" i="3"/>
  <c r="Q21" i="3"/>
  <c r="P21" i="3"/>
  <c r="Q22" i="3"/>
  <c r="P22" i="3"/>
  <c r="Q23" i="3"/>
  <c r="P23" i="3"/>
  <c r="H31" i="3"/>
  <c r="G31" i="3"/>
  <c r="H32" i="3"/>
  <c r="G32" i="3"/>
  <c r="H33" i="3"/>
  <c r="G33" i="3"/>
  <c r="H34" i="3"/>
  <c r="G34" i="3"/>
  <c r="H35" i="3"/>
  <c r="G35" i="3"/>
  <c r="Q17" i="4"/>
  <c r="P17" i="4"/>
  <c r="H23" i="4"/>
  <c r="H44" i="4" s="1"/>
  <c r="I43" i="4" s="1"/>
  <c r="F23" i="4"/>
  <c r="Q24" i="4"/>
  <c r="P24" i="4"/>
  <c r="G26" i="4"/>
  <c r="G44" i="4" s="1"/>
  <c r="F26" i="4"/>
  <c r="G27" i="4"/>
  <c r="F27" i="4"/>
  <c r="Q46" i="4"/>
  <c r="N56" i="4"/>
  <c r="H9" i="5"/>
  <c r="G9" i="5"/>
  <c r="F9" i="5"/>
  <c r="F44" i="5" s="1"/>
  <c r="H11" i="5"/>
  <c r="G11" i="5"/>
  <c r="F11" i="5"/>
  <c r="H15" i="5"/>
  <c r="I23" i="5" s="1"/>
  <c r="E48" i="5"/>
  <c r="E44" i="5" s="1"/>
  <c r="H16" i="5"/>
  <c r="F16" i="5"/>
  <c r="Q38" i="5"/>
  <c r="P38" i="5"/>
  <c r="R38" i="5"/>
  <c r="Q40" i="5"/>
  <c r="P40" i="5"/>
  <c r="R40" i="5"/>
  <c r="N41" i="4"/>
  <c r="D44" i="4"/>
  <c r="R44" i="4"/>
  <c r="R20" i="5"/>
  <c r="Q20" i="5"/>
  <c r="Q37" i="5"/>
  <c r="P37" i="5"/>
  <c r="R37" i="5"/>
  <c r="Q39" i="5"/>
  <c r="P39" i="5"/>
  <c r="R39" i="5"/>
  <c r="Q62" i="4"/>
  <c r="R68" i="4"/>
  <c r="P73" i="4"/>
  <c r="R76" i="4"/>
  <c r="P81" i="4"/>
  <c r="R84" i="4"/>
  <c r="N86" i="4"/>
  <c r="R86" i="4" s="1"/>
  <c r="P8" i="5"/>
  <c r="P10" i="5"/>
  <c r="P12" i="5"/>
  <c r="P13" i="5"/>
  <c r="P15" i="5"/>
  <c r="Q19" i="5"/>
  <c r="P19" i="5"/>
  <c r="P20" i="5"/>
  <c r="F22" i="5"/>
  <c r="G38" i="5"/>
  <c r="F38" i="5"/>
  <c r="H38" i="5"/>
  <c r="G40" i="5"/>
  <c r="F40" i="5"/>
  <c r="H40" i="5"/>
  <c r="G42" i="5"/>
  <c r="F42" i="5"/>
  <c r="H42" i="5"/>
  <c r="N65" i="5"/>
  <c r="Q28" i="5"/>
  <c r="Q29" i="5"/>
  <c r="G30" i="5"/>
  <c r="Q30" i="5"/>
  <c r="G31" i="5"/>
  <c r="Q31" i="5"/>
  <c r="Q32" i="5"/>
  <c r="G33" i="5"/>
  <c r="Q33" i="5"/>
  <c r="G34" i="5"/>
  <c r="G44" i="5" s="1"/>
  <c r="Q34" i="5"/>
  <c r="G35" i="5"/>
  <c r="Q35" i="5"/>
  <c r="Q36" i="5"/>
  <c r="N46" i="5"/>
  <c r="Q56" i="5"/>
  <c r="Q59" i="5"/>
  <c r="Q60" i="5"/>
  <c r="Q61" i="5"/>
  <c r="Q62" i="5"/>
  <c r="Q63" i="5"/>
  <c r="Q64" i="5"/>
  <c r="G37" i="3" l="1"/>
  <c r="E44" i="4"/>
  <c r="H37" i="3"/>
  <c r="I36" i="3" s="1"/>
  <c r="F37" i="3"/>
  <c r="P65" i="4"/>
  <c r="Q65" i="4"/>
  <c r="R65" i="4"/>
  <c r="P47" i="3"/>
  <c r="R47" i="3"/>
  <c r="R27" i="3"/>
  <c r="Q27" i="3"/>
  <c r="P27" i="3"/>
  <c r="Q41" i="5"/>
  <c r="P41" i="5"/>
  <c r="N82" i="5"/>
  <c r="R41" i="5"/>
  <c r="R65" i="5"/>
  <c r="Q65" i="5"/>
  <c r="P65" i="5"/>
  <c r="P41" i="4"/>
  <c r="N88" i="4"/>
  <c r="R41" i="4"/>
  <c r="Q41" i="4"/>
  <c r="Q88" i="4" s="1"/>
  <c r="H44" i="5"/>
  <c r="I43" i="5" s="1"/>
  <c r="R80" i="5"/>
  <c r="P80" i="5"/>
  <c r="R34" i="3"/>
  <c r="Q34" i="3"/>
  <c r="P34" i="3"/>
  <c r="N26" i="1"/>
  <c r="L54" i="1"/>
  <c r="Q56" i="4"/>
  <c r="P56" i="4"/>
  <c r="R56" i="4"/>
  <c r="P46" i="5"/>
  <c r="Q46" i="5"/>
  <c r="R46" i="5"/>
  <c r="P18" i="3"/>
  <c r="P49" i="3" s="1"/>
  <c r="R49" i="3" s="1"/>
  <c r="Q18" i="3"/>
  <c r="Q49" i="3" s="1"/>
  <c r="R18" i="3"/>
  <c r="E37" i="3"/>
  <c r="P82" i="5" l="1"/>
  <c r="R82" i="5" s="1"/>
  <c r="Q82" i="5"/>
  <c r="P88" i="4"/>
  <c r="R88" i="4" s="1"/>
</calcChain>
</file>

<file path=xl/sharedStrings.xml><?xml version="1.0" encoding="utf-8"?>
<sst xmlns="http://schemas.openxmlformats.org/spreadsheetml/2006/main" count="736" uniqueCount="101">
  <si>
    <t>usd</t>
  </si>
  <si>
    <t>eur</t>
  </si>
  <si>
    <t>gbp</t>
  </si>
  <si>
    <t>hdk</t>
  </si>
  <si>
    <t>sgd</t>
  </si>
  <si>
    <t>jpy</t>
  </si>
  <si>
    <t>USD</t>
  </si>
  <si>
    <t>Deposit</t>
  </si>
  <si>
    <t>ubs (1/3)</t>
  </si>
  <si>
    <t>Citigroup stock</t>
  </si>
  <si>
    <t xml:space="preserve">argentum coupon </t>
  </si>
  <si>
    <t>ubs</t>
  </si>
  <si>
    <t>EUR</t>
  </si>
  <si>
    <t>Orange stock</t>
  </si>
  <si>
    <t>SGD</t>
  </si>
  <si>
    <t>Singtel stock</t>
  </si>
  <si>
    <t>coupon Majapahit</t>
  </si>
  <si>
    <t>hkd</t>
  </si>
  <si>
    <t>JP Morgan Fixed Coupon Note</t>
  </si>
  <si>
    <t>dividend Citi</t>
  </si>
  <si>
    <t>GBP</t>
  </si>
  <si>
    <t>Goldman Fixed Coupon Note</t>
  </si>
  <si>
    <t>UBS Fixed Coupon Note</t>
  </si>
  <si>
    <t>BNP Paribas Fixed Coupon Note</t>
  </si>
  <si>
    <t>interest</t>
  </si>
  <si>
    <t>Generali Perpetual Bond</t>
  </si>
  <si>
    <t>anz (1/2)</t>
  </si>
  <si>
    <t>ABJA Investment Bond</t>
  </si>
  <si>
    <t>coupon RBC 12m GBP USD</t>
  </si>
  <si>
    <t>BNP Paribas Perpetual Bond</t>
  </si>
  <si>
    <t>interest RBC GBP USD CMS</t>
  </si>
  <si>
    <t>Nuoxi Capital Bond</t>
  </si>
  <si>
    <t>interest Goldman FCN</t>
  </si>
  <si>
    <t>Parkway Pantai Bond</t>
  </si>
  <si>
    <t>Pertamina Bond</t>
  </si>
  <si>
    <t>Interest RBC USD GBP</t>
  </si>
  <si>
    <t>Majapahit Holding Bond</t>
  </si>
  <si>
    <t>Garuda Indonesia Sukuk</t>
  </si>
  <si>
    <t>RBC Interest Linked Notes</t>
  </si>
  <si>
    <t>Jupiter Dynamic Fund</t>
  </si>
  <si>
    <t>Interest FCN</t>
  </si>
  <si>
    <t>GS Emerging Market Fund</t>
  </si>
  <si>
    <t>**</t>
  </si>
  <si>
    <t>coupon Garuda Sukuk</t>
  </si>
  <si>
    <t>GAM Emerging Fund</t>
  </si>
  <si>
    <t>Legg Mason Macro Opportunity Fund</t>
  </si>
  <si>
    <t>Pimco Capital Securities</t>
  </si>
  <si>
    <t xml:space="preserve">VP Greater China </t>
  </si>
  <si>
    <t>Fixed Loan</t>
  </si>
  <si>
    <t>interest ANZ dep</t>
  </si>
  <si>
    <t>anz</t>
  </si>
  <si>
    <t>coupon BNP perp</t>
  </si>
  <si>
    <t>HKD</t>
  </si>
  <si>
    <t>coupon Pertamina</t>
  </si>
  <si>
    <t>EUR USD Swap Loan</t>
  </si>
  <si>
    <t>RJH</t>
  </si>
  <si>
    <t>MSH</t>
  </si>
  <si>
    <t>INH</t>
  </si>
  <si>
    <t>Cash &amp; deposits</t>
  </si>
  <si>
    <t>Amount</t>
  </si>
  <si>
    <t>Net amount in IDR</t>
  </si>
  <si>
    <t>valas</t>
  </si>
  <si>
    <t>idr</t>
  </si>
  <si>
    <t>Interest</t>
  </si>
  <si>
    <t>(1/3)</t>
  </si>
  <si>
    <t>hsbc (1/3)</t>
  </si>
  <si>
    <t>AB Sicav I Low Volatility</t>
  </si>
  <si>
    <t>Wellington Global Quality Growth</t>
  </si>
  <si>
    <t>hsbc (1/2)</t>
  </si>
  <si>
    <t>SGD Deposit Interest</t>
  </si>
  <si>
    <t>USD Deposit Interest</t>
  </si>
  <si>
    <t>hsbc Deposit</t>
  </si>
  <si>
    <t>Deviden</t>
  </si>
  <si>
    <t>withholding</t>
  </si>
  <si>
    <t>Singtel (SGD)</t>
  </si>
  <si>
    <t>Citigroup</t>
  </si>
  <si>
    <t>nilai Nett abis dikurangi withholding tax LN</t>
  </si>
  <si>
    <t>Lennar</t>
  </si>
  <si>
    <t>Bonds</t>
  </si>
  <si>
    <t>Coupon from</t>
  </si>
  <si>
    <t>Majapahit Holding</t>
  </si>
  <si>
    <t>Seattle House / Piutang RJH</t>
  </si>
  <si>
    <t>Abja Investment Co Pte Ltd</t>
  </si>
  <si>
    <t>(1/2)</t>
  </si>
  <si>
    <t>BNP Paribas</t>
  </si>
  <si>
    <t>Total (1/2)</t>
  </si>
  <si>
    <t>Nuoxi Capital Ltd</t>
  </si>
  <si>
    <t>Parkway Pantai Ltd</t>
  </si>
  <si>
    <t>Pertamina</t>
  </si>
  <si>
    <t>Assicurazioni Generali (EUR)</t>
  </si>
  <si>
    <t>nilai nett abis dikurangi withholding tax LN</t>
  </si>
  <si>
    <t>aac shares</t>
  </si>
  <si>
    <t>GS Emerging MF</t>
  </si>
  <si>
    <t>HSBC asian high yield bond</t>
  </si>
  <si>
    <t>AB Fixed maturity bond 2023</t>
  </si>
  <si>
    <t>Blackrock Asian High yield bond</t>
  </si>
  <si>
    <t>AAC tech</t>
  </si>
  <si>
    <t>AB Fixed Bond</t>
  </si>
  <si>
    <t>fee nuoxi</t>
  </si>
  <si>
    <t>fee abja</t>
  </si>
  <si>
    <t>AB 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</si>
</sst>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_-;\-* #,##0_-;_-* \-??_-;_-@_-"/>
    <numFmt numFmtId="166" formatCode="mm/dd/yyyy"/>
    <numFmt numFmtId="167" formatCode="mmm\ dd"/>
  </numFmts>
  <fonts count="5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</font>
    <font>
      <i/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0" fillId="0" borderId="0" xfId="1" applyFont="1" applyBorder="1" applyAlignment="1" applyProtection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0" borderId="0" xfId="1" applyNumberFormat="1" applyFont="1" applyBorder="1" applyAlignment="1" applyProtection="1"/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1" applyFont="1" applyBorder="1" applyAlignment="1" applyProtection="1">
      <alignment horizontal="right"/>
    </xf>
    <xf numFmtId="165" fontId="2" fillId="0" borderId="0" xfId="0" applyNumberFormat="1" applyFont="1" applyAlignment="1">
      <alignment horizontal="right"/>
    </xf>
    <xf numFmtId="164" fontId="3" fillId="0" borderId="0" xfId="1" applyFont="1" applyBorder="1" applyAlignment="1" applyProtection="1"/>
    <xf numFmtId="164" fontId="3" fillId="0" borderId="0" xfId="0" applyNumberFormat="1" applyFont="1"/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165" fontId="0" fillId="0" borderId="0" xfId="0" applyNumberFormat="1" applyFont="1"/>
    <xf numFmtId="165" fontId="3" fillId="0" borderId="0" xfId="1" applyNumberFormat="1" applyFont="1" applyBorder="1" applyAlignment="1" applyProtection="1"/>
    <xf numFmtId="165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="86" zoomScaleNormal="86" workbookViewId="0">
      <selection activeCell="D38" sqref="D38"/>
    </sheetView>
  </sheetViews>
  <sheetFormatPr defaultColWidth="10.625" defaultRowHeight="15.75" x14ac:dyDescent="0.25"/>
  <cols>
    <col min="2" max="2" width="37.125" customWidth="1"/>
    <col min="3" max="3" width="14.125" customWidth="1"/>
    <col min="4" max="4" width="18.125" customWidth="1"/>
    <col min="5" max="5" width="17.625" customWidth="1"/>
    <col min="6" max="6" width="18.875" customWidth="1"/>
    <col min="9" max="9" width="11.875" customWidth="1"/>
    <col min="11" max="11" width="26.875" customWidth="1"/>
    <col min="14" max="14" width="15.125" customWidth="1"/>
  </cols>
  <sheetData>
    <row r="1" spans="1:14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4" x14ac:dyDescent="0.25">
      <c r="D2" s="1">
        <v>13569</v>
      </c>
      <c r="E2" s="1">
        <v>16070.99</v>
      </c>
      <c r="F2" s="1">
        <v>18156.97</v>
      </c>
      <c r="G2" s="1">
        <v>1735.36</v>
      </c>
      <c r="H2" s="1">
        <v>10086.530000000001</v>
      </c>
      <c r="I2" s="2">
        <v>119.962</v>
      </c>
    </row>
    <row r="4" spans="1:14" x14ac:dyDescent="0.25">
      <c r="A4" t="s">
        <v>6</v>
      </c>
      <c r="B4" t="s">
        <v>7</v>
      </c>
      <c r="C4" s="3">
        <v>376.36</v>
      </c>
      <c r="D4" s="4">
        <f>D$2*C4</f>
        <v>5106828.84</v>
      </c>
      <c r="E4" t="s">
        <v>8</v>
      </c>
    </row>
    <row r="5" spans="1:14" x14ac:dyDescent="0.25">
      <c r="A5" t="s">
        <v>6</v>
      </c>
      <c r="B5" t="s">
        <v>9</v>
      </c>
      <c r="C5" s="3">
        <v>7549</v>
      </c>
      <c r="D5" s="4">
        <f>D$2*C5</f>
        <v>102432381</v>
      </c>
      <c r="E5" t="s">
        <v>8</v>
      </c>
      <c r="J5" s="5">
        <v>42767</v>
      </c>
      <c r="K5" t="s">
        <v>10</v>
      </c>
      <c r="L5" s="3">
        <v>1625</v>
      </c>
      <c r="M5" t="s">
        <v>11</v>
      </c>
      <c r="N5" s="6">
        <f t="shared" ref="N5:N36" si="0">L5*D$2</f>
        <v>22049625</v>
      </c>
    </row>
    <row r="6" spans="1:14" x14ac:dyDescent="0.25">
      <c r="A6" t="s">
        <v>12</v>
      </c>
      <c r="B6" t="s">
        <v>13</v>
      </c>
      <c r="C6" s="3">
        <v>97273.32</v>
      </c>
      <c r="D6" s="4">
        <f>E2*C6</f>
        <v>1563278552.9868002</v>
      </c>
      <c r="E6" t="s">
        <v>8</v>
      </c>
      <c r="J6" s="5">
        <v>42767</v>
      </c>
      <c r="K6" t="s">
        <v>10</v>
      </c>
      <c r="L6" s="3">
        <v>801.76</v>
      </c>
      <c r="M6" t="s">
        <v>11</v>
      </c>
      <c r="N6" s="6">
        <f t="shared" si="0"/>
        <v>10879081.439999999</v>
      </c>
    </row>
    <row r="7" spans="1:14" x14ac:dyDescent="0.25">
      <c r="A7" t="s">
        <v>14</v>
      </c>
      <c r="B7" t="s">
        <v>15</v>
      </c>
      <c r="C7" s="3">
        <v>171230.8</v>
      </c>
      <c r="D7" s="4">
        <f>H2*C7</f>
        <v>1727124601.1240001</v>
      </c>
      <c r="E7" t="s">
        <v>8</v>
      </c>
      <c r="J7" s="5">
        <v>42755</v>
      </c>
      <c r="K7" t="s">
        <v>16</v>
      </c>
      <c r="L7" s="3">
        <v>3875</v>
      </c>
      <c r="M7" t="s">
        <v>11</v>
      </c>
      <c r="N7" s="6">
        <f t="shared" si="0"/>
        <v>52579875</v>
      </c>
    </row>
    <row r="8" spans="1:14" x14ac:dyDescent="0.25">
      <c r="A8" t="s">
        <v>17</v>
      </c>
      <c r="B8" t="s">
        <v>18</v>
      </c>
      <c r="C8" s="3">
        <v>1000000</v>
      </c>
      <c r="D8" s="4">
        <f>G2*C8</f>
        <v>1735360000</v>
      </c>
      <c r="E8" t="s">
        <v>8</v>
      </c>
      <c r="J8" s="5">
        <v>42790</v>
      </c>
      <c r="K8" t="s">
        <v>19</v>
      </c>
      <c r="L8" s="3">
        <f>16-4.8</f>
        <v>11.2</v>
      </c>
      <c r="M8" t="s">
        <v>11</v>
      </c>
      <c r="N8" s="6">
        <f t="shared" si="0"/>
        <v>151972.79999999999</v>
      </c>
    </row>
    <row r="9" spans="1:14" x14ac:dyDescent="0.25">
      <c r="A9" t="s">
        <v>20</v>
      </c>
      <c r="B9" t="s">
        <v>21</v>
      </c>
      <c r="C9" s="3">
        <v>196520</v>
      </c>
      <c r="D9" s="4">
        <f>F2*C9</f>
        <v>3568207744.4000001</v>
      </c>
      <c r="E9" t="s">
        <v>8</v>
      </c>
      <c r="J9" s="5">
        <v>42858</v>
      </c>
      <c r="K9" t="s">
        <v>10</v>
      </c>
      <c r="L9" s="3">
        <v>1625</v>
      </c>
      <c r="M9" t="s">
        <v>11</v>
      </c>
      <c r="N9" s="6">
        <f t="shared" si="0"/>
        <v>22049625</v>
      </c>
    </row>
    <row r="10" spans="1:14" x14ac:dyDescent="0.25">
      <c r="A10" t="s">
        <v>5</v>
      </c>
      <c r="B10" t="s">
        <v>21</v>
      </c>
      <c r="C10" s="3">
        <v>22000000</v>
      </c>
      <c r="D10" s="4">
        <f>I2*C10</f>
        <v>2639164000</v>
      </c>
      <c r="E10" t="s">
        <v>8</v>
      </c>
      <c r="J10" s="5">
        <v>42857</v>
      </c>
      <c r="K10" t="s">
        <v>10</v>
      </c>
      <c r="L10" s="3">
        <v>794.84</v>
      </c>
      <c r="M10" t="s">
        <v>11</v>
      </c>
      <c r="N10" s="6">
        <f t="shared" si="0"/>
        <v>10785183.960000001</v>
      </c>
    </row>
    <row r="11" spans="1:14" x14ac:dyDescent="0.25">
      <c r="A11" t="s">
        <v>6</v>
      </c>
      <c r="B11" t="s">
        <v>22</v>
      </c>
      <c r="C11" s="3">
        <v>200000</v>
      </c>
      <c r="D11" s="4">
        <f>D$2*C11</f>
        <v>2713800000</v>
      </c>
      <c r="E11" t="s">
        <v>8</v>
      </c>
      <c r="J11" s="5">
        <v>42881</v>
      </c>
      <c r="K11" t="s">
        <v>19</v>
      </c>
      <c r="L11" s="3">
        <f>16-4.8</f>
        <v>11.2</v>
      </c>
      <c r="M11" t="s">
        <v>11</v>
      </c>
      <c r="N11" s="6">
        <f t="shared" si="0"/>
        <v>151972.79999999999</v>
      </c>
    </row>
    <row r="12" spans="1:14" x14ac:dyDescent="0.25">
      <c r="A12" t="s">
        <v>6</v>
      </c>
      <c r="B12" t="s">
        <v>23</v>
      </c>
      <c r="C12" s="3">
        <v>200000</v>
      </c>
      <c r="D12" s="4">
        <f>D$2*C12</f>
        <v>2713800000</v>
      </c>
      <c r="E12" t="s">
        <v>8</v>
      </c>
      <c r="J12" s="5">
        <v>42936</v>
      </c>
      <c r="K12" t="s">
        <v>16</v>
      </c>
      <c r="L12" s="3">
        <v>3875</v>
      </c>
      <c r="M12" t="s">
        <v>11</v>
      </c>
      <c r="N12" s="6">
        <f t="shared" si="0"/>
        <v>52579875</v>
      </c>
    </row>
    <row r="13" spans="1:14" x14ac:dyDescent="0.25">
      <c r="C13" s="3"/>
      <c r="D13" s="4">
        <f>D$2*C13</f>
        <v>0</v>
      </c>
      <c r="J13" s="5">
        <v>42917</v>
      </c>
      <c r="K13" t="s">
        <v>24</v>
      </c>
      <c r="L13" s="3">
        <v>9.27</v>
      </c>
      <c r="M13" t="s">
        <v>11</v>
      </c>
      <c r="N13" s="6">
        <f t="shared" si="0"/>
        <v>125784.62999999999</v>
      </c>
    </row>
    <row r="14" spans="1:14" x14ac:dyDescent="0.25">
      <c r="A14" t="s">
        <v>12</v>
      </c>
      <c r="B14" t="s">
        <v>25</v>
      </c>
      <c r="C14" s="3">
        <v>257454.79</v>
      </c>
      <c r="D14" s="4">
        <f>E2*C14</f>
        <v>4137553355.5421</v>
      </c>
      <c r="E14" t="s">
        <v>26</v>
      </c>
      <c r="J14" s="5">
        <v>42948</v>
      </c>
      <c r="K14" t="s">
        <v>24</v>
      </c>
      <c r="L14" s="3">
        <v>6.94</v>
      </c>
      <c r="M14" t="s">
        <v>11</v>
      </c>
      <c r="N14" s="6">
        <f t="shared" si="0"/>
        <v>94168.86</v>
      </c>
    </row>
    <row r="15" spans="1:14" x14ac:dyDescent="0.25">
      <c r="A15" t="s">
        <v>6</v>
      </c>
      <c r="B15" t="s">
        <v>27</v>
      </c>
      <c r="C15" s="3">
        <v>197000</v>
      </c>
      <c r="D15" s="4">
        <f t="shared" ref="D15:D23" si="1">D$2*C15</f>
        <v>2673093000</v>
      </c>
      <c r="E15" t="s">
        <v>26</v>
      </c>
      <c r="J15" s="5">
        <v>42954</v>
      </c>
      <c r="K15" t="s">
        <v>28</v>
      </c>
      <c r="L15" s="3">
        <v>1200</v>
      </c>
      <c r="M15" t="s">
        <v>11</v>
      </c>
      <c r="N15" s="6">
        <f t="shared" si="0"/>
        <v>16282800</v>
      </c>
    </row>
    <row r="16" spans="1:14" x14ac:dyDescent="0.25">
      <c r="A16" t="s">
        <v>6</v>
      </c>
      <c r="B16" t="s">
        <v>29</v>
      </c>
      <c r="C16" s="3">
        <v>223896.53</v>
      </c>
      <c r="D16" s="4">
        <f t="shared" si="1"/>
        <v>3038052015.5700002</v>
      </c>
      <c r="E16" t="s">
        <v>26</v>
      </c>
      <c r="J16" s="5">
        <v>42983</v>
      </c>
      <c r="K16" t="s">
        <v>30</v>
      </c>
      <c r="L16" s="3">
        <v>1200</v>
      </c>
      <c r="M16" t="s">
        <v>11</v>
      </c>
      <c r="N16" s="6">
        <f t="shared" si="0"/>
        <v>16282800</v>
      </c>
    </row>
    <row r="17" spans="1:14" x14ac:dyDescent="0.25">
      <c r="A17" t="s">
        <v>6</v>
      </c>
      <c r="B17" t="s">
        <v>31</v>
      </c>
      <c r="C17" s="3">
        <v>199750.11</v>
      </c>
      <c r="D17" s="4">
        <f t="shared" si="1"/>
        <v>2710409242.5899997</v>
      </c>
      <c r="E17" t="s">
        <v>26</v>
      </c>
      <c r="J17" s="5">
        <v>43020</v>
      </c>
      <c r="K17" t="s">
        <v>32</v>
      </c>
      <c r="L17" s="3">
        <v>4125</v>
      </c>
      <c r="M17" t="s">
        <v>11</v>
      </c>
      <c r="N17" s="6">
        <f t="shared" si="0"/>
        <v>55972125</v>
      </c>
    </row>
    <row r="18" spans="1:14" x14ac:dyDescent="0.25">
      <c r="A18" t="s">
        <v>6</v>
      </c>
      <c r="B18" t="s">
        <v>33</v>
      </c>
      <c r="C18" s="3">
        <v>637984</v>
      </c>
      <c r="D18" s="4">
        <f t="shared" si="1"/>
        <v>8656804896</v>
      </c>
      <c r="E18" t="s">
        <v>26</v>
      </c>
      <c r="J18" s="5">
        <v>43009</v>
      </c>
      <c r="K18" t="s">
        <v>24</v>
      </c>
      <c r="L18" s="3">
        <v>1.1499999999999999</v>
      </c>
      <c r="M18" t="s">
        <v>11</v>
      </c>
      <c r="N18" s="6">
        <f t="shared" si="0"/>
        <v>15604.349999999999</v>
      </c>
    </row>
    <row r="19" spans="1:14" x14ac:dyDescent="0.25">
      <c r="A19" t="s">
        <v>6</v>
      </c>
      <c r="B19" t="s">
        <v>34</v>
      </c>
      <c r="C19" s="3">
        <v>210997.23</v>
      </c>
      <c r="D19" s="4">
        <f t="shared" si="1"/>
        <v>2863021413.8700004</v>
      </c>
      <c r="E19" t="s">
        <v>26</v>
      </c>
      <c r="F19" s="6">
        <f>SUM(D14:D19)</f>
        <v>24078933923.572102</v>
      </c>
      <c r="J19" s="5">
        <v>43013</v>
      </c>
      <c r="K19" t="s">
        <v>35</v>
      </c>
      <c r="L19" s="3">
        <v>1200</v>
      </c>
      <c r="M19" t="s">
        <v>11</v>
      </c>
      <c r="N19" s="6">
        <f t="shared" si="0"/>
        <v>16282800</v>
      </c>
    </row>
    <row r="20" spans="1:14" x14ac:dyDescent="0.25">
      <c r="A20" t="s">
        <v>6</v>
      </c>
      <c r="B20" t="s">
        <v>36</v>
      </c>
      <c r="C20" s="3">
        <v>108754.64</v>
      </c>
      <c r="D20" s="4">
        <f t="shared" si="1"/>
        <v>1475691710.1600001</v>
      </c>
      <c r="E20" t="s">
        <v>8</v>
      </c>
      <c r="J20" s="5">
        <v>43040</v>
      </c>
      <c r="K20" t="s">
        <v>24</v>
      </c>
      <c r="L20" s="3">
        <v>1.56</v>
      </c>
      <c r="M20" t="s">
        <v>11</v>
      </c>
      <c r="N20" s="6">
        <f t="shared" si="0"/>
        <v>21167.64</v>
      </c>
    </row>
    <row r="21" spans="1:14" x14ac:dyDescent="0.25">
      <c r="A21" t="s">
        <v>6</v>
      </c>
      <c r="B21" t="s">
        <v>37</v>
      </c>
      <c r="C21" s="3">
        <v>205402.89</v>
      </c>
      <c r="D21" s="4">
        <f t="shared" si="1"/>
        <v>2787111814.4100003</v>
      </c>
      <c r="E21" t="s">
        <v>8</v>
      </c>
      <c r="J21" s="5">
        <v>43045</v>
      </c>
      <c r="K21" t="s">
        <v>30</v>
      </c>
      <c r="L21" s="3">
        <v>1200</v>
      </c>
      <c r="M21" t="s">
        <v>11</v>
      </c>
      <c r="N21" s="6">
        <f t="shared" si="0"/>
        <v>16282800</v>
      </c>
    </row>
    <row r="22" spans="1:14" x14ac:dyDescent="0.25">
      <c r="A22" t="s">
        <v>6</v>
      </c>
      <c r="B22" t="s">
        <v>38</v>
      </c>
      <c r="C22" s="3">
        <v>204474.31</v>
      </c>
      <c r="D22" s="4">
        <f t="shared" si="1"/>
        <v>2774511912.3899999</v>
      </c>
      <c r="E22" t="s">
        <v>8</v>
      </c>
      <c r="J22" s="5">
        <v>43070</v>
      </c>
      <c r="K22" t="s">
        <v>24</v>
      </c>
      <c r="L22" s="3">
        <v>0.66</v>
      </c>
      <c r="M22" t="s">
        <v>11</v>
      </c>
      <c r="N22" s="6">
        <f t="shared" si="0"/>
        <v>8955.5400000000009</v>
      </c>
    </row>
    <row r="23" spans="1:14" x14ac:dyDescent="0.25">
      <c r="C23" s="3"/>
      <c r="D23" s="4">
        <f t="shared" si="1"/>
        <v>0</v>
      </c>
      <c r="J23" s="5">
        <v>43074</v>
      </c>
      <c r="K23" t="s">
        <v>30</v>
      </c>
      <c r="L23" s="3">
        <v>1200</v>
      </c>
      <c r="M23" t="s">
        <v>11</v>
      </c>
      <c r="N23" s="6">
        <f t="shared" si="0"/>
        <v>16282800</v>
      </c>
    </row>
    <row r="24" spans="1:14" x14ac:dyDescent="0.25">
      <c r="A24" t="s">
        <v>12</v>
      </c>
      <c r="B24" t="s">
        <v>39</v>
      </c>
      <c r="C24" s="3">
        <v>979660.99</v>
      </c>
      <c r="D24" s="4">
        <f>E2*C24</f>
        <v>15744121973.680099</v>
      </c>
      <c r="E24" t="s">
        <v>8</v>
      </c>
      <c r="J24" s="7">
        <v>43463</v>
      </c>
      <c r="K24" t="s">
        <v>40</v>
      </c>
      <c r="L24" s="3">
        <v>3900</v>
      </c>
      <c r="M24" t="s">
        <v>11</v>
      </c>
      <c r="N24" s="6">
        <f t="shared" si="0"/>
        <v>52919100</v>
      </c>
    </row>
    <row r="25" spans="1:14" x14ac:dyDescent="0.25">
      <c r="A25" t="s">
        <v>6</v>
      </c>
      <c r="B25" t="s">
        <v>41</v>
      </c>
      <c r="C25" s="3">
        <v>201368.62</v>
      </c>
      <c r="D25" s="4">
        <f t="shared" ref="D25:D30" si="2">D$2*C25</f>
        <v>2732370804.7799997</v>
      </c>
      <c r="E25" t="s">
        <v>8</v>
      </c>
      <c r="I25" t="s">
        <v>42</v>
      </c>
      <c r="J25" s="7">
        <v>43439</v>
      </c>
      <c r="K25" t="s">
        <v>43</v>
      </c>
      <c r="L25" s="3">
        <v>5950</v>
      </c>
      <c r="N25" s="6">
        <f t="shared" si="0"/>
        <v>80735550</v>
      </c>
    </row>
    <row r="26" spans="1:14" x14ac:dyDescent="0.25">
      <c r="A26" t="s">
        <v>6</v>
      </c>
      <c r="B26" t="s">
        <v>44</v>
      </c>
      <c r="C26" s="3">
        <v>212981.71</v>
      </c>
      <c r="D26" s="4">
        <f t="shared" si="2"/>
        <v>2889948822.9899998</v>
      </c>
      <c r="E26" t="s">
        <v>8</v>
      </c>
      <c r="L26" s="3">
        <f>SUM(L5:L25)</f>
        <v>32613.58</v>
      </c>
      <c r="N26" s="6">
        <f t="shared" si="0"/>
        <v>442533667.02000004</v>
      </c>
    </row>
    <row r="27" spans="1:14" x14ac:dyDescent="0.25">
      <c r="A27" t="s">
        <v>6</v>
      </c>
      <c r="B27" t="s">
        <v>45</v>
      </c>
      <c r="C27" s="3">
        <v>207836.87</v>
      </c>
      <c r="D27" s="4">
        <f t="shared" si="2"/>
        <v>2820138489.0299997</v>
      </c>
      <c r="E27" t="s">
        <v>8</v>
      </c>
      <c r="L27" s="3"/>
      <c r="N27" s="6">
        <f t="shared" si="0"/>
        <v>0</v>
      </c>
    </row>
    <row r="28" spans="1:14" x14ac:dyDescent="0.25">
      <c r="A28" t="s">
        <v>6</v>
      </c>
      <c r="B28" t="s">
        <v>46</v>
      </c>
      <c r="C28" s="3">
        <v>196803.65</v>
      </c>
      <c r="D28" s="4">
        <f t="shared" si="2"/>
        <v>2670428726.8499999</v>
      </c>
      <c r="E28" t="s">
        <v>8</v>
      </c>
      <c r="L28" s="3"/>
      <c r="N28" s="6">
        <f t="shared" si="0"/>
        <v>0</v>
      </c>
    </row>
    <row r="29" spans="1:14" x14ac:dyDescent="0.25">
      <c r="A29" t="s">
        <v>6</v>
      </c>
      <c r="B29" t="s">
        <v>47</v>
      </c>
      <c r="C29" s="3">
        <v>99478.14</v>
      </c>
      <c r="D29" s="4">
        <f t="shared" si="2"/>
        <v>1349818881.6600001</v>
      </c>
      <c r="E29" t="s">
        <v>8</v>
      </c>
      <c r="L29" s="3"/>
      <c r="N29" s="6">
        <f t="shared" si="0"/>
        <v>0</v>
      </c>
    </row>
    <row r="30" spans="1:14" x14ac:dyDescent="0.25">
      <c r="C30" s="3"/>
      <c r="D30" s="4">
        <f t="shared" si="2"/>
        <v>0</v>
      </c>
      <c r="L30" s="3"/>
      <c r="N30" s="6">
        <f t="shared" si="0"/>
        <v>0</v>
      </c>
    </row>
    <row r="31" spans="1:14" x14ac:dyDescent="0.25">
      <c r="A31" t="s">
        <v>12</v>
      </c>
      <c r="B31" t="s">
        <v>48</v>
      </c>
      <c r="C31" s="3">
        <v>-133259.97</v>
      </c>
      <c r="D31" s="4">
        <f>E2*C31</f>
        <v>-2141619645.2702999</v>
      </c>
      <c r="E31" t="s">
        <v>8</v>
      </c>
      <c r="J31" s="5">
        <v>42853</v>
      </c>
      <c r="K31" t="s">
        <v>49</v>
      </c>
      <c r="L31" s="3">
        <v>1275.77</v>
      </c>
      <c r="M31" t="s">
        <v>50</v>
      </c>
      <c r="N31" s="6">
        <f t="shared" si="0"/>
        <v>17310923.129999999</v>
      </c>
    </row>
    <row r="32" spans="1:14" x14ac:dyDescent="0.25">
      <c r="A32" t="s">
        <v>20</v>
      </c>
      <c r="B32" t="s">
        <v>48</v>
      </c>
      <c r="C32" s="3">
        <v>-192831.54</v>
      </c>
      <c r="D32" s="4">
        <f>F2*C32</f>
        <v>-3501236486.8338003</v>
      </c>
      <c r="E32" t="s">
        <v>8</v>
      </c>
      <c r="J32" s="5">
        <v>42838</v>
      </c>
      <c r="K32" t="s">
        <v>51</v>
      </c>
      <c r="L32" s="3">
        <v>7625</v>
      </c>
      <c r="M32" t="s">
        <v>50</v>
      </c>
      <c r="N32" s="6">
        <f t="shared" si="0"/>
        <v>103463625</v>
      </c>
    </row>
    <row r="33" spans="1:14" x14ac:dyDescent="0.25">
      <c r="A33" t="s">
        <v>52</v>
      </c>
      <c r="B33" t="s">
        <v>48</v>
      </c>
      <c r="C33" s="3">
        <v>-1000326.06</v>
      </c>
      <c r="D33" s="4">
        <f>G2*C33</f>
        <v>-1735925831.4816</v>
      </c>
      <c r="E33" t="s">
        <v>8</v>
      </c>
      <c r="J33" s="5">
        <v>42901</v>
      </c>
      <c r="K33" t="s">
        <v>49</v>
      </c>
      <c r="L33" s="3">
        <v>715</v>
      </c>
      <c r="M33" t="s">
        <v>50</v>
      </c>
      <c r="N33" s="6">
        <f t="shared" si="0"/>
        <v>9701835</v>
      </c>
    </row>
    <row r="34" spans="1:14" x14ac:dyDescent="0.25">
      <c r="A34" t="s">
        <v>5</v>
      </c>
      <c r="B34" t="s">
        <v>48</v>
      </c>
      <c r="C34" s="3">
        <v>-22001222</v>
      </c>
      <c r="D34" s="4">
        <f>I2*C34</f>
        <v>-2639310593.5640001</v>
      </c>
      <c r="E34" t="s">
        <v>8</v>
      </c>
      <c r="J34" s="5">
        <v>42858</v>
      </c>
      <c r="K34" t="s">
        <v>53</v>
      </c>
      <c r="L34" s="3">
        <v>4875</v>
      </c>
      <c r="M34" t="s">
        <v>50</v>
      </c>
      <c r="N34" s="6">
        <f t="shared" si="0"/>
        <v>66148875</v>
      </c>
    </row>
    <row r="35" spans="1:14" x14ac:dyDescent="0.25">
      <c r="A35" t="s">
        <v>14</v>
      </c>
      <c r="B35" t="s">
        <v>48</v>
      </c>
      <c r="C35" s="3">
        <v>-202208.71</v>
      </c>
      <c r="D35" s="4">
        <f>H2*C35</f>
        <v>-2039584219.6763</v>
      </c>
      <c r="E35" t="s">
        <v>8</v>
      </c>
      <c r="J35" s="5">
        <v>43010</v>
      </c>
      <c r="K35" t="s">
        <v>51</v>
      </c>
      <c r="L35" s="3">
        <v>7625</v>
      </c>
      <c r="M35" t="s">
        <v>50</v>
      </c>
      <c r="N35" s="6">
        <f t="shared" si="0"/>
        <v>103463625</v>
      </c>
    </row>
    <row r="36" spans="1:14" x14ac:dyDescent="0.25">
      <c r="A36" t="s">
        <v>6</v>
      </c>
      <c r="B36" t="s">
        <v>48</v>
      </c>
      <c r="C36" s="3">
        <v>-600471.53</v>
      </c>
      <c r="D36" s="4">
        <f>D$2*C36</f>
        <v>-8147798190.5700006</v>
      </c>
      <c r="E36" t="s">
        <v>8</v>
      </c>
      <c r="J36" s="5">
        <v>43042</v>
      </c>
      <c r="K36" t="s">
        <v>53</v>
      </c>
      <c r="L36" s="3">
        <v>4875</v>
      </c>
      <c r="M36" t="s">
        <v>50</v>
      </c>
      <c r="N36" s="6">
        <f t="shared" si="0"/>
        <v>66148875</v>
      </c>
    </row>
    <row r="37" spans="1:14" x14ac:dyDescent="0.25">
      <c r="A37" t="s">
        <v>6</v>
      </c>
      <c r="B37" t="s">
        <v>48</v>
      </c>
      <c r="C37" s="3">
        <v>-200007.02</v>
      </c>
      <c r="D37" s="4">
        <f>D$2*C37</f>
        <v>-2713895254.3799996</v>
      </c>
      <c r="E37" t="s">
        <v>8</v>
      </c>
      <c r="L37" s="3"/>
    </row>
    <row r="38" spans="1:14" x14ac:dyDescent="0.25">
      <c r="A38" t="s">
        <v>6</v>
      </c>
      <c r="B38" t="s">
        <v>54</v>
      </c>
      <c r="C38" s="3">
        <v>-84279.3</v>
      </c>
      <c r="D38" s="4">
        <f>D$2*C38</f>
        <v>-1143585821.7</v>
      </c>
      <c r="E38" t="s">
        <v>8</v>
      </c>
      <c r="L38" s="3">
        <f>SUM(L31:L37)</f>
        <v>26990.77</v>
      </c>
    </row>
    <row r="39" spans="1:14" x14ac:dyDescent="0.25">
      <c r="C39" s="3"/>
      <c r="D39" s="4"/>
    </row>
    <row r="40" spans="1:14" x14ac:dyDescent="0.25">
      <c r="C40" s="3">
        <f>SUM(C4:C38)</f>
        <v>3602187.8300000043</v>
      </c>
      <c r="D40" s="4">
        <f>SUM(D4:D38)</f>
        <v>52028395124.397026</v>
      </c>
      <c r="E40" s="6">
        <f>D40-F19</f>
        <v>27949461200.824924</v>
      </c>
    </row>
    <row r="41" spans="1:14" x14ac:dyDescent="0.25">
      <c r="C41" s="8"/>
    </row>
    <row r="42" spans="1:14" x14ac:dyDescent="0.25">
      <c r="C42" s="8"/>
    </row>
    <row r="43" spans="1:14" x14ac:dyDescent="0.25">
      <c r="C43" s="8"/>
    </row>
    <row r="44" spans="1:14" x14ac:dyDescent="0.25">
      <c r="C44" s="8"/>
    </row>
    <row r="54" spans="12:12" x14ac:dyDescent="0.25">
      <c r="L54">
        <f>SUM(L19:L30)</f>
        <v>46065.8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9" zoomScale="86" zoomScaleNormal="86" workbookViewId="0">
      <selection activeCell="G23" sqref="G23"/>
    </sheetView>
  </sheetViews>
  <sheetFormatPr defaultColWidth="10.625" defaultRowHeight="15.75" x14ac:dyDescent="0.25"/>
  <cols>
    <col min="2" max="2" width="16.375" customWidth="1"/>
    <col min="5" max="5" width="11.75" customWidth="1"/>
    <col min="7" max="7" width="13.125" customWidth="1"/>
    <col min="8" max="9" width="11.5" customWidth="1"/>
  </cols>
  <sheetData/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1"/>
  <sheetViews>
    <sheetView topLeftCell="A10" zoomScale="86" zoomScaleNormal="86" workbookViewId="0">
      <selection activeCell="E41" sqref="E41"/>
    </sheetView>
  </sheetViews>
  <sheetFormatPr defaultColWidth="10.625" defaultRowHeight="15.75" x14ac:dyDescent="0.25"/>
  <cols>
    <col min="2" max="2" width="31" customWidth="1"/>
    <col min="3" max="3" width="17.875" customWidth="1"/>
    <col min="4" max="4" width="16.625" customWidth="1"/>
    <col min="5" max="5" width="18.125" customWidth="1"/>
    <col min="6" max="6" width="17.375" customWidth="1"/>
    <col min="7" max="7" width="15.375" customWidth="1"/>
    <col min="8" max="8" width="16.875" customWidth="1"/>
    <col min="9" max="9" width="15.125" customWidth="1"/>
    <col min="10" max="10" width="15.375" customWidth="1"/>
    <col min="11" max="11" width="25" customWidth="1"/>
    <col min="13" max="13" width="14.125" customWidth="1"/>
    <col min="14" max="14" width="16.625" customWidth="1"/>
    <col min="16" max="16" width="15.5" customWidth="1"/>
    <col min="17" max="17" width="14" customWidth="1"/>
    <col min="18" max="18" width="16.375" customWidth="1"/>
  </cols>
  <sheetData>
    <row r="1" spans="1:1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8" x14ac:dyDescent="0.25">
      <c r="D2" s="1">
        <v>14500</v>
      </c>
      <c r="E2" s="1">
        <v>16492.650000000001</v>
      </c>
      <c r="F2" s="1">
        <v>18469.849999999999</v>
      </c>
      <c r="G2" s="1">
        <v>1856.26</v>
      </c>
      <c r="H2" s="1">
        <v>10595.4</v>
      </c>
      <c r="I2" s="9">
        <v>128.56</v>
      </c>
    </row>
    <row r="6" spans="1:18" x14ac:dyDescent="0.25">
      <c r="F6" s="10" t="s">
        <v>55</v>
      </c>
      <c r="G6" s="10" t="s">
        <v>56</v>
      </c>
      <c r="H6" s="10" t="s">
        <v>57</v>
      </c>
      <c r="J6" s="11" t="s">
        <v>58</v>
      </c>
      <c r="K6" s="12"/>
      <c r="L6" s="12" t="s">
        <v>59</v>
      </c>
      <c r="M6" s="12"/>
      <c r="N6" s="12" t="s">
        <v>60</v>
      </c>
      <c r="P6" s="10" t="s">
        <v>55</v>
      </c>
      <c r="Q6" s="10" t="s">
        <v>56</v>
      </c>
      <c r="R6" s="10" t="s">
        <v>57</v>
      </c>
    </row>
    <row r="7" spans="1:18" x14ac:dyDescent="0.25">
      <c r="C7" s="13" t="s">
        <v>61</v>
      </c>
      <c r="D7" s="14" t="s">
        <v>62</v>
      </c>
      <c r="J7" s="5">
        <v>43234</v>
      </c>
      <c r="K7" t="s">
        <v>63</v>
      </c>
      <c r="L7" s="3">
        <v>4.2300000000000004</v>
      </c>
      <c r="M7" s="3"/>
      <c r="N7" s="3">
        <f>(L7-M7)*13959</f>
        <v>59046.570000000007</v>
      </c>
      <c r="O7" t="s">
        <v>64</v>
      </c>
      <c r="P7" s="6">
        <f t="shared" ref="P7:P18" si="0">N7/3</f>
        <v>19682.190000000002</v>
      </c>
      <c r="Q7" s="6">
        <f t="shared" ref="Q7:Q18" si="1">N7/3</f>
        <v>19682.190000000002</v>
      </c>
      <c r="R7" s="6">
        <f t="shared" ref="R7:R18" si="2">N7/3</f>
        <v>19682.190000000002</v>
      </c>
    </row>
    <row r="8" spans="1:18" x14ac:dyDescent="0.25">
      <c r="A8" t="s">
        <v>6</v>
      </c>
      <c r="B8" t="s">
        <v>9</v>
      </c>
      <c r="C8" s="3">
        <v>6446</v>
      </c>
      <c r="D8" s="4">
        <f>D$2*C8</f>
        <v>93467000</v>
      </c>
      <c r="E8" t="s">
        <v>65</v>
      </c>
      <c r="F8" s="8">
        <f>D8/3</f>
        <v>31155666.666666668</v>
      </c>
      <c r="G8" s="8">
        <f>D8/3</f>
        <v>31155666.666666668</v>
      </c>
      <c r="H8" s="8">
        <f>D8/3</f>
        <v>31155666.666666668</v>
      </c>
      <c r="J8" s="5">
        <v>43265</v>
      </c>
      <c r="K8" t="s">
        <v>63</v>
      </c>
      <c r="L8" s="3">
        <v>22.65</v>
      </c>
      <c r="M8" s="3"/>
      <c r="N8" s="3">
        <f>(L8-M8)*13923</f>
        <v>315355.94999999995</v>
      </c>
      <c r="O8" t="s">
        <v>64</v>
      </c>
      <c r="P8" s="6">
        <f t="shared" si="0"/>
        <v>105118.64999999998</v>
      </c>
      <c r="Q8" s="6">
        <f t="shared" si="1"/>
        <v>105118.64999999998</v>
      </c>
      <c r="R8" s="6">
        <f t="shared" si="2"/>
        <v>105118.64999999998</v>
      </c>
    </row>
    <row r="9" spans="1:18" x14ac:dyDescent="0.25">
      <c r="A9" t="s">
        <v>14</v>
      </c>
      <c r="B9" t="s">
        <v>15</v>
      </c>
      <c r="C9" s="3">
        <v>152993.20000000001</v>
      </c>
      <c r="D9" s="4">
        <f>H2*C9</f>
        <v>1621024151.28</v>
      </c>
      <c r="E9" t="s">
        <v>65</v>
      </c>
      <c r="F9" s="8">
        <f>D9/3</f>
        <v>540341383.75999999</v>
      </c>
      <c r="G9" s="8">
        <f>D9/3</f>
        <v>540341383.75999999</v>
      </c>
      <c r="H9" s="8">
        <f>D9/3</f>
        <v>540341383.75999999</v>
      </c>
      <c r="J9" s="5">
        <v>43313</v>
      </c>
      <c r="K9" t="s">
        <v>63</v>
      </c>
      <c r="L9" s="3">
        <v>36.74</v>
      </c>
      <c r="M9" s="3"/>
      <c r="N9" s="3">
        <f>(L9-M9)*14436</f>
        <v>530378.64</v>
      </c>
      <c r="O9" t="s">
        <v>64</v>
      </c>
      <c r="P9" s="6">
        <f t="shared" si="0"/>
        <v>176792.88</v>
      </c>
      <c r="Q9" s="6">
        <f t="shared" si="1"/>
        <v>176792.88</v>
      </c>
      <c r="R9" s="6">
        <f t="shared" si="2"/>
        <v>176792.88</v>
      </c>
    </row>
    <row r="10" spans="1:18" x14ac:dyDescent="0.25">
      <c r="A10" t="s">
        <v>17</v>
      </c>
      <c r="B10" t="s">
        <v>18</v>
      </c>
      <c r="C10" s="3">
        <v>54208.28</v>
      </c>
      <c r="D10" s="4">
        <f>G2*C10</f>
        <v>100624661.8328</v>
      </c>
      <c r="E10" t="s">
        <v>65</v>
      </c>
      <c r="F10" s="8">
        <f>D10/3</f>
        <v>33541553.944266666</v>
      </c>
      <c r="G10" s="8">
        <f>D10/3</f>
        <v>33541553.944266666</v>
      </c>
      <c r="H10" s="8">
        <f>D10/3</f>
        <v>33541553.944266666</v>
      </c>
      <c r="J10" s="5">
        <v>43335</v>
      </c>
      <c r="K10" t="s">
        <v>63</v>
      </c>
      <c r="L10" s="3">
        <v>33.51</v>
      </c>
      <c r="M10" s="3"/>
      <c r="N10" s="3">
        <f>(L10-M10)*14599</f>
        <v>489212.49</v>
      </c>
      <c r="O10" t="s">
        <v>64</v>
      </c>
      <c r="P10" s="6">
        <f t="shared" si="0"/>
        <v>163070.82999999999</v>
      </c>
      <c r="Q10" s="6">
        <f t="shared" si="1"/>
        <v>163070.82999999999</v>
      </c>
      <c r="R10" s="6">
        <f t="shared" si="2"/>
        <v>163070.82999999999</v>
      </c>
    </row>
    <row r="11" spans="1:18" x14ac:dyDescent="0.25">
      <c r="A11" t="s">
        <v>6</v>
      </c>
      <c r="B11" t="s">
        <v>66</v>
      </c>
      <c r="C11" s="3">
        <v>201446.52</v>
      </c>
      <c r="D11" s="4">
        <f>D$2*C11</f>
        <v>2920974540</v>
      </c>
      <c r="E11" t="s">
        <v>65</v>
      </c>
      <c r="F11" s="8">
        <f>D11/3</f>
        <v>973658180</v>
      </c>
      <c r="G11" s="8">
        <f>D11/3</f>
        <v>973658180</v>
      </c>
      <c r="H11" s="8">
        <f>D11/3</f>
        <v>973658180</v>
      </c>
      <c r="J11" s="5">
        <v>43405</v>
      </c>
      <c r="K11" t="s">
        <v>63</v>
      </c>
      <c r="L11" s="3">
        <v>35.340000000000003</v>
      </c>
      <c r="M11" s="3"/>
      <c r="N11" s="3">
        <f>(L11-M11)*15213</f>
        <v>537627.42000000004</v>
      </c>
      <c r="O11" t="s">
        <v>64</v>
      </c>
      <c r="P11" s="6">
        <f t="shared" si="0"/>
        <v>179209.14</v>
      </c>
      <c r="Q11" s="6">
        <f t="shared" si="1"/>
        <v>179209.14</v>
      </c>
      <c r="R11" s="6">
        <f t="shared" si="2"/>
        <v>179209.14</v>
      </c>
    </row>
    <row r="12" spans="1:18" x14ac:dyDescent="0.25">
      <c r="A12" t="s">
        <v>6</v>
      </c>
      <c r="B12" t="s">
        <v>67</v>
      </c>
      <c r="C12" s="3">
        <v>200959.48</v>
      </c>
      <c r="D12" s="4">
        <f>D$2*C12</f>
        <v>2913912460</v>
      </c>
      <c r="E12" t="s">
        <v>65</v>
      </c>
      <c r="F12" s="8">
        <f>D12/3</f>
        <v>971304153.33333337</v>
      </c>
      <c r="G12" s="8">
        <f>D12/3</f>
        <v>971304153.33333337</v>
      </c>
      <c r="H12" s="8">
        <f>D12/3</f>
        <v>971304153.33333337</v>
      </c>
      <c r="J12" s="5">
        <v>43427</v>
      </c>
      <c r="K12" t="s">
        <v>63</v>
      </c>
      <c r="L12" s="3">
        <v>24.41</v>
      </c>
      <c r="M12" s="3"/>
      <c r="N12" s="3">
        <f>(L12-M12)*14688</f>
        <v>358534.08</v>
      </c>
      <c r="O12" t="s">
        <v>64</v>
      </c>
      <c r="P12" s="6">
        <f t="shared" si="0"/>
        <v>119511.36</v>
      </c>
      <c r="Q12" s="6">
        <f t="shared" si="1"/>
        <v>119511.36</v>
      </c>
      <c r="R12" s="6">
        <f t="shared" si="2"/>
        <v>119511.36</v>
      </c>
    </row>
    <row r="13" spans="1:18" x14ac:dyDescent="0.25">
      <c r="C13" s="3"/>
      <c r="D13" s="4">
        <f>D$2*C13</f>
        <v>0</v>
      </c>
      <c r="F13" s="8"/>
      <c r="G13" s="8"/>
      <c r="H13" s="8"/>
      <c r="J13" s="5">
        <v>43435</v>
      </c>
      <c r="K13" t="s">
        <v>63</v>
      </c>
      <c r="L13" s="3">
        <v>8.93</v>
      </c>
      <c r="M13" s="3"/>
      <c r="N13" s="15">
        <f>(L13-M13)*14540</f>
        <v>129842.2</v>
      </c>
      <c r="O13" t="s">
        <v>64</v>
      </c>
      <c r="P13" s="16">
        <f t="shared" si="0"/>
        <v>43280.73333333333</v>
      </c>
      <c r="Q13" s="16">
        <f t="shared" si="1"/>
        <v>43280.73333333333</v>
      </c>
      <c r="R13" s="16">
        <f t="shared" si="2"/>
        <v>43280.73333333333</v>
      </c>
    </row>
    <row r="14" spans="1:18" x14ac:dyDescent="0.25">
      <c r="A14" t="s">
        <v>12</v>
      </c>
      <c r="B14" t="s">
        <v>25</v>
      </c>
      <c r="C14" s="3">
        <v>238673.75</v>
      </c>
      <c r="D14" s="4">
        <f>E2*C14</f>
        <v>3936362622.9375005</v>
      </c>
      <c r="E14" t="s">
        <v>68</v>
      </c>
      <c r="F14" s="8">
        <f t="shared" ref="F14:F20" si="3">D14/2</f>
        <v>1968181311.4687502</v>
      </c>
      <c r="G14" s="8"/>
      <c r="H14" s="8">
        <f t="shared" ref="H14:H20" si="4">D14/2</f>
        <v>1968181311.4687502</v>
      </c>
      <c r="L14" s="3"/>
      <c r="M14" s="3"/>
      <c r="N14" s="3">
        <f>SUM(N7:N13)</f>
        <v>2419997.35</v>
      </c>
      <c r="P14" s="6">
        <f t="shared" si="0"/>
        <v>806665.78333333333</v>
      </c>
      <c r="Q14" s="6">
        <f t="shared" si="1"/>
        <v>806665.78333333333</v>
      </c>
      <c r="R14" s="6">
        <f t="shared" si="2"/>
        <v>806665.78333333333</v>
      </c>
    </row>
    <row r="15" spans="1:18" x14ac:dyDescent="0.25">
      <c r="A15" t="s">
        <v>6</v>
      </c>
      <c r="B15" t="s">
        <v>27</v>
      </c>
      <c r="C15" s="3">
        <v>192250</v>
      </c>
      <c r="D15" s="4">
        <f t="shared" ref="D15:D20" si="5">D$2*C15</f>
        <v>2787625000</v>
      </c>
      <c r="E15" t="s">
        <v>68</v>
      </c>
      <c r="F15" s="8">
        <f t="shared" si="3"/>
        <v>1393812500</v>
      </c>
      <c r="G15" s="8"/>
      <c r="H15" s="8">
        <f t="shared" si="4"/>
        <v>1393812500</v>
      </c>
      <c r="J15" s="10" t="s">
        <v>7</v>
      </c>
      <c r="L15" s="3"/>
      <c r="M15" s="3"/>
      <c r="N15" s="3"/>
      <c r="P15" s="6">
        <f t="shared" si="0"/>
        <v>0</v>
      </c>
      <c r="Q15" s="6">
        <f t="shared" si="1"/>
        <v>0</v>
      </c>
      <c r="R15" s="6">
        <f t="shared" si="2"/>
        <v>0</v>
      </c>
    </row>
    <row r="16" spans="1:18" x14ac:dyDescent="0.25">
      <c r="A16" t="s">
        <v>6</v>
      </c>
      <c r="B16" t="s">
        <v>29</v>
      </c>
      <c r="C16" s="3">
        <v>215125.69</v>
      </c>
      <c r="D16" s="4">
        <f t="shared" si="5"/>
        <v>3119322505</v>
      </c>
      <c r="E16" t="s">
        <v>68</v>
      </c>
      <c r="F16" s="8">
        <f t="shared" si="3"/>
        <v>1559661252.5</v>
      </c>
      <c r="G16" s="8"/>
      <c r="H16" s="8">
        <f t="shared" si="4"/>
        <v>1559661252.5</v>
      </c>
      <c r="J16" s="5">
        <v>43332</v>
      </c>
      <c r="K16" t="s">
        <v>69</v>
      </c>
      <c r="L16" s="3">
        <v>31</v>
      </c>
      <c r="M16" s="3"/>
      <c r="N16" s="3">
        <f>(L16-M16)*10577.48</f>
        <v>327901.88</v>
      </c>
      <c r="O16" t="s">
        <v>64</v>
      </c>
      <c r="P16" s="6">
        <f t="shared" si="0"/>
        <v>109300.62666666666</v>
      </c>
      <c r="Q16" s="6">
        <f t="shared" si="1"/>
        <v>109300.62666666666</v>
      </c>
      <c r="R16" s="6">
        <f t="shared" si="2"/>
        <v>109300.62666666666</v>
      </c>
    </row>
    <row r="17" spans="1:19" x14ac:dyDescent="0.25">
      <c r="A17" t="s">
        <v>6</v>
      </c>
      <c r="B17" t="s">
        <v>31</v>
      </c>
      <c r="C17" s="3">
        <v>186894</v>
      </c>
      <c r="D17" s="4">
        <f t="shared" si="5"/>
        <v>2709963000</v>
      </c>
      <c r="E17" t="s">
        <v>68</v>
      </c>
      <c r="F17" s="8">
        <f t="shared" si="3"/>
        <v>1354981500</v>
      </c>
      <c r="G17" s="8"/>
      <c r="H17" s="8">
        <f t="shared" si="4"/>
        <v>1354981500</v>
      </c>
      <c r="J17" s="5">
        <v>43367</v>
      </c>
      <c r="K17" t="s">
        <v>70</v>
      </c>
      <c r="L17" s="3">
        <v>734.24</v>
      </c>
      <c r="M17" s="3"/>
      <c r="N17" s="15">
        <f>(L17-M17)*14856</f>
        <v>10907869.439999999</v>
      </c>
      <c r="O17" t="s">
        <v>64</v>
      </c>
      <c r="P17" s="6">
        <f t="shared" si="0"/>
        <v>3635956.48</v>
      </c>
      <c r="Q17" s="6">
        <f t="shared" si="1"/>
        <v>3635956.48</v>
      </c>
      <c r="R17" s="6">
        <f t="shared" si="2"/>
        <v>3635956.48</v>
      </c>
    </row>
    <row r="18" spans="1:19" x14ac:dyDescent="0.25">
      <c r="A18" t="s">
        <v>6</v>
      </c>
      <c r="B18" t="s">
        <v>33</v>
      </c>
      <c r="C18" s="3">
        <v>376188.89</v>
      </c>
      <c r="D18" s="4">
        <f t="shared" si="5"/>
        <v>5454738905</v>
      </c>
      <c r="E18" t="s">
        <v>68</v>
      </c>
      <c r="F18" s="8">
        <f t="shared" si="3"/>
        <v>2727369452.5</v>
      </c>
      <c r="G18" s="8"/>
      <c r="H18" s="8">
        <f t="shared" si="4"/>
        <v>2727369452.5</v>
      </c>
      <c r="L18" s="3"/>
      <c r="M18" s="3"/>
      <c r="N18" s="3">
        <f>SUM(N16:N17)</f>
        <v>11235771.32</v>
      </c>
      <c r="P18" s="6">
        <f t="shared" si="0"/>
        <v>3745257.1066666669</v>
      </c>
      <c r="Q18" s="6">
        <f t="shared" si="1"/>
        <v>3745257.1066666669</v>
      </c>
      <c r="R18" s="6">
        <f t="shared" si="2"/>
        <v>3745257.1066666669</v>
      </c>
    </row>
    <row r="19" spans="1:19" x14ac:dyDescent="0.25">
      <c r="A19" t="s">
        <v>6</v>
      </c>
      <c r="B19" t="s">
        <v>34</v>
      </c>
      <c r="C19" s="3">
        <v>208883.33</v>
      </c>
      <c r="D19" s="4">
        <f t="shared" si="5"/>
        <v>3028808285</v>
      </c>
      <c r="E19" t="s">
        <v>68</v>
      </c>
      <c r="F19" s="8">
        <f t="shared" si="3"/>
        <v>1514404142.5</v>
      </c>
      <c r="G19" s="8"/>
      <c r="H19" s="8">
        <f t="shared" si="4"/>
        <v>1514404142.5</v>
      </c>
      <c r="L19" s="3"/>
      <c r="M19" s="3"/>
      <c r="N19" s="3"/>
      <c r="P19" s="6"/>
      <c r="Q19" s="6"/>
      <c r="R19" s="6"/>
    </row>
    <row r="20" spans="1:19" x14ac:dyDescent="0.25">
      <c r="A20" t="s">
        <v>0</v>
      </c>
      <c r="B20" t="s">
        <v>71</v>
      </c>
      <c r="C20" s="3">
        <v>188465.1</v>
      </c>
      <c r="D20" s="4">
        <f t="shared" si="5"/>
        <v>2732743950</v>
      </c>
      <c r="E20" t="s">
        <v>68</v>
      </c>
      <c r="F20" s="8">
        <f t="shared" si="3"/>
        <v>1366371975</v>
      </c>
      <c r="G20" s="8"/>
      <c r="H20" s="8">
        <f t="shared" si="4"/>
        <v>1366371975</v>
      </c>
      <c r="I20" s="17">
        <f>SUM(H14:H20)</f>
        <v>11884782133.96875</v>
      </c>
      <c r="J20" s="10" t="s">
        <v>72</v>
      </c>
      <c r="L20" s="3"/>
      <c r="M20" s="3" t="s">
        <v>73</v>
      </c>
      <c r="N20" s="3"/>
      <c r="P20" s="6"/>
      <c r="Q20" s="6"/>
      <c r="R20" s="6"/>
    </row>
    <row r="21" spans="1:19" x14ac:dyDescent="0.25">
      <c r="F21" s="8"/>
      <c r="G21" s="8"/>
      <c r="H21" s="8"/>
      <c r="J21" s="5">
        <v>43325</v>
      </c>
      <c r="K21" t="s">
        <v>74</v>
      </c>
      <c r="L21" s="3">
        <v>5420.62</v>
      </c>
      <c r="M21" s="3"/>
      <c r="N21" s="3">
        <f>(L21-M21)*10593.2</f>
        <v>57421711.784000002</v>
      </c>
      <c r="O21" t="s">
        <v>64</v>
      </c>
      <c r="P21" s="6">
        <f t="shared" ref="P21:P27" si="6">N21/3</f>
        <v>19140570.594666667</v>
      </c>
      <c r="Q21" s="6">
        <f t="shared" ref="Q21:Q27" si="7">N21/3</f>
        <v>19140570.594666667</v>
      </c>
      <c r="R21" s="6">
        <f t="shared" ref="R21:R27" si="8">N21/3</f>
        <v>19140570.594666667</v>
      </c>
    </row>
    <row r="22" spans="1:19" x14ac:dyDescent="0.25">
      <c r="A22" t="s">
        <v>6</v>
      </c>
      <c r="B22" t="s">
        <v>36</v>
      </c>
      <c r="C22" s="3">
        <v>103998.81</v>
      </c>
      <c r="D22" s="4">
        <f t="shared" ref="D22:D30" si="9">D$2*C22</f>
        <v>1507982745</v>
      </c>
      <c r="E22" t="s">
        <v>65</v>
      </c>
      <c r="F22" s="8">
        <f>D22/3</f>
        <v>502660915</v>
      </c>
      <c r="G22" s="8">
        <f>D22/3</f>
        <v>502660915</v>
      </c>
      <c r="H22" s="8">
        <f>D22/3</f>
        <v>502660915</v>
      </c>
      <c r="J22" s="5">
        <v>43157</v>
      </c>
      <c r="K22" t="s">
        <v>75</v>
      </c>
      <c r="L22" s="3">
        <v>32</v>
      </c>
      <c r="M22" s="3">
        <v>-9.6</v>
      </c>
      <c r="N22" s="3">
        <f>(L22+M22)*13581</f>
        <v>304214.39999999997</v>
      </c>
      <c r="O22" t="s">
        <v>64</v>
      </c>
      <c r="P22" s="6">
        <f t="shared" si="6"/>
        <v>101404.79999999999</v>
      </c>
      <c r="Q22" s="6">
        <f t="shared" si="7"/>
        <v>101404.79999999999</v>
      </c>
      <c r="R22" s="6">
        <f t="shared" si="8"/>
        <v>101404.79999999999</v>
      </c>
      <c r="S22" t="s">
        <v>76</v>
      </c>
    </row>
    <row r="23" spans="1:19" x14ac:dyDescent="0.25">
      <c r="A23" t="s">
        <v>6</v>
      </c>
      <c r="B23" t="s">
        <v>37</v>
      </c>
      <c r="C23" s="3">
        <v>197917.22</v>
      </c>
      <c r="D23" s="4">
        <f t="shared" si="9"/>
        <v>2869799690</v>
      </c>
      <c r="E23" t="s">
        <v>65</v>
      </c>
      <c r="F23" s="8">
        <f>D23/3</f>
        <v>956599896.66666663</v>
      </c>
      <c r="G23" s="8">
        <f>D23/3</f>
        <v>956599896.66666663</v>
      </c>
      <c r="H23" s="8">
        <f>D23/3</f>
        <v>956599896.66666663</v>
      </c>
      <c r="J23" s="5">
        <v>43250</v>
      </c>
      <c r="K23" t="s">
        <v>75</v>
      </c>
      <c r="L23" s="3">
        <v>32</v>
      </c>
      <c r="M23" s="3">
        <v>-9.6</v>
      </c>
      <c r="N23" s="3">
        <f>(L23+M23)*14136</f>
        <v>316646.39999999997</v>
      </c>
      <c r="O23" t="s">
        <v>64</v>
      </c>
      <c r="P23" s="6">
        <f t="shared" si="6"/>
        <v>105548.79999999999</v>
      </c>
      <c r="Q23" s="6">
        <f t="shared" si="7"/>
        <v>105548.79999999999</v>
      </c>
      <c r="R23" s="6">
        <f t="shared" si="8"/>
        <v>105548.79999999999</v>
      </c>
      <c r="S23" t="s">
        <v>76</v>
      </c>
    </row>
    <row r="24" spans="1:19" x14ac:dyDescent="0.25">
      <c r="C24" s="3"/>
      <c r="D24" s="4">
        <f t="shared" si="9"/>
        <v>0</v>
      </c>
      <c r="F24" s="8"/>
      <c r="G24" s="8"/>
      <c r="H24" s="8"/>
      <c r="J24" s="5">
        <v>43339</v>
      </c>
      <c r="K24" t="s">
        <v>75</v>
      </c>
      <c r="L24" s="3">
        <v>45</v>
      </c>
      <c r="M24" s="3">
        <v>-13.5</v>
      </c>
      <c r="N24" s="3">
        <f>(L24+M24)*14599</f>
        <v>459868.5</v>
      </c>
      <c r="O24" t="s">
        <v>64</v>
      </c>
      <c r="P24" s="6">
        <f t="shared" si="6"/>
        <v>153289.5</v>
      </c>
      <c r="Q24" s="6">
        <f t="shared" si="7"/>
        <v>153289.5</v>
      </c>
      <c r="R24" s="6">
        <f t="shared" si="8"/>
        <v>153289.5</v>
      </c>
      <c r="S24" t="s">
        <v>76</v>
      </c>
    </row>
    <row r="25" spans="1:19" x14ac:dyDescent="0.25">
      <c r="A25" t="s">
        <v>6</v>
      </c>
      <c r="B25" t="s">
        <v>41</v>
      </c>
      <c r="C25" s="3">
        <v>197445.26</v>
      </c>
      <c r="D25" s="4">
        <f t="shared" si="9"/>
        <v>2862956270</v>
      </c>
      <c r="E25" t="s">
        <v>65</v>
      </c>
      <c r="F25" s="8">
        <f>D25/3</f>
        <v>954318756.66666663</v>
      </c>
      <c r="G25" s="8">
        <f>D25/3</f>
        <v>954318756.66666663</v>
      </c>
      <c r="H25" s="8">
        <f>D25/3</f>
        <v>954318756.66666663</v>
      </c>
      <c r="J25" s="5">
        <v>43427</v>
      </c>
      <c r="K25" t="s">
        <v>75</v>
      </c>
      <c r="L25" s="3">
        <v>45</v>
      </c>
      <c r="M25" s="3">
        <v>-13.5</v>
      </c>
      <c r="N25" s="3">
        <f>(L25+M25)*14688</f>
        <v>462672</v>
      </c>
      <c r="O25" t="s">
        <v>64</v>
      </c>
      <c r="P25" s="6">
        <f t="shared" si="6"/>
        <v>154224</v>
      </c>
      <c r="Q25" s="6">
        <f t="shared" si="7"/>
        <v>154224</v>
      </c>
      <c r="R25" s="6">
        <f t="shared" si="8"/>
        <v>154224</v>
      </c>
      <c r="S25" t="s">
        <v>76</v>
      </c>
    </row>
    <row r="26" spans="1:19" x14ac:dyDescent="0.25">
      <c r="A26" t="s">
        <v>6</v>
      </c>
      <c r="B26" t="s">
        <v>44</v>
      </c>
      <c r="C26" s="3">
        <v>203401.64</v>
      </c>
      <c r="D26" s="4">
        <f t="shared" si="9"/>
        <v>2949323780</v>
      </c>
      <c r="E26" t="s">
        <v>65</v>
      </c>
      <c r="F26" s="8">
        <f>D26/3</f>
        <v>983107926.66666663</v>
      </c>
      <c r="G26" s="8">
        <f>D26/3</f>
        <v>983107926.66666663</v>
      </c>
      <c r="H26" s="8">
        <f>D26/3</f>
        <v>983107926.66666663</v>
      </c>
      <c r="J26" s="5">
        <v>43409</v>
      </c>
      <c r="K26" t="s">
        <v>77</v>
      </c>
      <c r="L26" s="3">
        <v>168.64</v>
      </c>
      <c r="M26" s="3">
        <v>-50.6</v>
      </c>
      <c r="N26" s="15">
        <f>(L26+M26)*15213</f>
        <v>1795742.5199999998</v>
      </c>
      <c r="O26" t="s">
        <v>64</v>
      </c>
      <c r="P26" s="16">
        <f t="shared" si="6"/>
        <v>598580.84</v>
      </c>
      <c r="Q26" s="16">
        <f t="shared" si="7"/>
        <v>598580.84</v>
      </c>
      <c r="R26" s="16">
        <f t="shared" si="8"/>
        <v>598580.84</v>
      </c>
      <c r="S26" t="s">
        <v>76</v>
      </c>
    </row>
    <row r="27" spans="1:19" x14ac:dyDescent="0.25">
      <c r="A27" t="s">
        <v>6</v>
      </c>
      <c r="B27" t="s">
        <v>45</v>
      </c>
      <c r="C27" s="3">
        <v>206118.55</v>
      </c>
      <c r="D27" s="4">
        <f t="shared" si="9"/>
        <v>2988718975</v>
      </c>
      <c r="E27" t="s">
        <v>65</v>
      </c>
      <c r="F27" s="8">
        <f>D27/3</f>
        <v>996239658.33333337</v>
      </c>
      <c r="G27" s="8">
        <f>D27/3</f>
        <v>996239658.33333337</v>
      </c>
      <c r="H27" s="8">
        <f>D27/3</f>
        <v>996239658.33333337</v>
      </c>
      <c r="L27" s="3"/>
      <c r="M27" s="8">
        <f>SUM(M22:M26)*D2</f>
        <v>-1403600.0000000002</v>
      </c>
      <c r="N27" s="3">
        <f>SUM(N21:N26)</f>
        <v>60760855.604000002</v>
      </c>
      <c r="P27" s="6">
        <f t="shared" si="6"/>
        <v>20253618.534666669</v>
      </c>
      <c r="Q27" s="6">
        <f t="shared" si="7"/>
        <v>20253618.534666669</v>
      </c>
      <c r="R27" s="6">
        <f t="shared" si="8"/>
        <v>20253618.534666669</v>
      </c>
    </row>
    <row r="28" spans="1:19" x14ac:dyDescent="0.25">
      <c r="A28" t="s">
        <v>6</v>
      </c>
      <c r="B28" t="s">
        <v>46</v>
      </c>
      <c r="C28" s="3">
        <v>191019.79</v>
      </c>
      <c r="D28" s="4">
        <f t="shared" si="9"/>
        <v>2769786955</v>
      </c>
      <c r="E28" t="s">
        <v>65</v>
      </c>
      <c r="F28" s="8">
        <f>D28/3</f>
        <v>923262318.33333337</v>
      </c>
      <c r="G28" s="8">
        <f>D28/3</f>
        <v>923262318.33333337</v>
      </c>
      <c r="H28" s="8">
        <f>D28/3</f>
        <v>923262318.33333337</v>
      </c>
      <c r="I28" t="s">
        <v>42</v>
      </c>
      <c r="L28" s="3"/>
      <c r="M28" s="3"/>
      <c r="N28" s="3"/>
      <c r="P28" s="6"/>
      <c r="Q28" s="6"/>
      <c r="R28" s="6"/>
    </row>
    <row r="29" spans="1:19" x14ac:dyDescent="0.25">
      <c r="A29" t="s">
        <v>6</v>
      </c>
      <c r="B29" t="s">
        <v>47</v>
      </c>
      <c r="C29" s="3">
        <v>95893.91</v>
      </c>
      <c r="D29" s="4">
        <f t="shared" si="9"/>
        <v>1390461695</v>
      </c>
      <c r="E29" t="s">
        <v>65</v>
      </c>
      <c r="F29" s="8">
        <f>D29/3</f>
        <v>463487231.66666669</v>
      </c>
      <c r="G29" s="8">
        <f>D29/3</f>
        <v>463487231.66666669</v>
      </c>
      <c r="H29" s="8">
        <f>D29/3</f>
        <v>463487231.66666669</v>
      </c>
      <c r="L29" s="3"/>
      <c r="M29" s="3"/>
      <c r="N29" s="3"/>
      <c r="P29" s="6"/>
      <c r="Q29" s="6"/>
      <c r="R29" s="6"/>
    </row>
    <row r="30" spans="1:19" x14ac:dyDescent="0.25">
      <c r="C30" s="3"/>
      <c r="D30" s="4">
        <f t="shared" si="9"/>
        <v>0</v>
      </c>
      <c r="F30" s="8"/>
      <c r="G30" s="8"/>
      <c r="H30" s="8"/>
      <c r="J30" s="10" t="s">
        <v>78</v>
      </c>
      <c r="K30" s="10" t="s">
        <v>79</v>
      </c>
      <c r="L30" s="3"/>
      <c r="M30" s="3" t="s">
        <v>73</v>
      </c>
      <c r="N30" s="3"/>
      <c r="P30" s="6"/>
      <c r="Q30" s="6"/>
      <c r="R30" s="6"/>
    </row>
    <row r="31" spans="1:19" x14ac:dyDescent="0.25">
      <c r="A31" t="s">
        <v>12</v>
      </c>
      <c r="B31" t="s">
        <v>48</v>
      </c>
      <c r="C31" s="3">
        <v>-45257.56</v>
      </c>
      <c r="D31" s="4">
        <f>E2*C31</f>
        <v>-746417096.93400002</v>
      </c>
      <c r="E31" t="s">
        <v>65</v>
      </c>
      <c r="F31" s="8">
        <f>D31/3</f>
        <v>-248805698.97800002</v>
      </c>
      <c r="G31" s="8">
        <f>D31/3</f>
        <v>-248805698.97800002</v>
      </c>
      <c r="H31" s="8">
        <f>D31/3</f>
        <v>-248805698.97800002</v>
      </c>
      <c r="J31" s="5">
        <v>43438</v>
      </c>
      <c r="K31" t="s">
        <v>37</v>
      </c>
      <c r="L31" s="3">
        <v>5950</v>
      </c>
      <c r="M31" s="3"/>
      <c r="N31" s="3">
        <f>(L31-M31)*14540</f>
        <v>86513000</v>
      </c>
      <c r="O31" t="s">
        <v>64</v>
      </c>
      <c r="P31" s="6">
        <f>N31/3</f>
        <v>28837666.666666668</v>
      </c>
      <c r="Q31" s="6">
        <f>N31/3</f>
        <v>28837666.666666668</v>
      </c>
      <c r="R31" s="6">
        <f>N31/3</f>
        <v>28837666.666666668</v>
      </c>
    </row>
    <row r="32" spans="1:19" x14ac:dyDescent="0.25">
      <c r="A32" t="s">
        <v>20</v>
      </c>
      <c r="B32" t="s">
        <v>48</v>
      </c>
      <c r="C32" s="3">
        <v>-11131.77</v>
      </c>
      <c r="D32" s="4">
        <f>F2*C32</f>
        <v>-205602122.1345</v>
      </c>
      <c r="E32" t="s">
        <v>65</v>
      </c>
      <c r="F32" s="8">
        <f>D32/3</f>
        <v>-68534040.711500004</v>
      </c>
      <c r="G32" s="8">
        <f>D32/3</f>
        <v>-68534040.711500004</v>
      </c>
      <c r="H32" s="8">
        <f>D32/3</f>
        <v>-68534040.711500004</v>
      </c>
      <c r="J32" s="5">
        <v>43122</v>
      </c>
      <c r="K32" t="s">
        <v>80</v>
      </c>
      <c r="L32" s="3">
        <v>3875</v>
      </c>
      <c r="M32" s="3"/>
      <c r="N32" s="3">
        <f>(L32-M32)*13391</f>
        <v>51890125</v>
      </c>
      <c r="O32" t="s">
        <v>64</v>
      </c>
      <c r="P32" s="6">
        <f>N32/3</f>
        <v>17296708.333333332</v>
      </c>
      <c r="Q32" s="6">
        <f>N32/3</f>
        <v>17296708.333333332</v>
      </c>
      <c r="R32" s="6">
        <f>N32/3</f>
        <v>17296708.333333332</v>
      </c>
    </row>
    <row r="33" spans="1:19" x14ac:dyDescent="0.25">
      <c r="A33" t="s">
        <v>52</v>
      </c>
      <c r="B33" t="s">
        <v>48</v>
      </c>
      <c r="C33" s="3">
        <v>-911941.07</v>
      </c>
      <c r="D33" s="4">
        <f>G2*C33</f>
        <v>-1692799730.5981998</v>
      </c>
      <c r="E33" t="s">
        <v>65</v>
      </c>
      <c r="F33" s="8">
        <f>D33/3</f>
        <v>-564266576.86606658</v>
      </c>
      <c r="G33" s="8">
        <f>D33/3</f>
        <v>-564266576.86606658</v>
      </c>
      <c r="H33" s="8">
        <f>D33/3</f>
        <v>-564266576.86606658</v>
      </c>
      <c r="J33" s="5">
        <v>43301</v>
      </c>
      <c r="K33" t="s">
        <v>80</v>
      </c>
      <c r="L33" s="3">
        <v>3875</v>
      </c>
      <c r="M33" s="3"/>
      <c r="N33" s="15">
        <f>(L33-M33)*14388</f>
        <v>55753500</v>
      </c>
      <c r="O33" t="s">
        <v>64</v>
      </c>
      <c r="P33" s="16">
        <f>N33/3</f>
        <v>18584500</v>
      </c>
      <c r="Q33" s="16">
        <f>N33/3</f>
        <v>18584500</v>
      </c>
      <c r="R33" s="16">
        <f>N33/3</f>
        <v>18584500</v>
      </c>
    </row>
    <row r="34" spans="1:19" x14ac:dyDescent="0.25">
      <c r="A34" t="s">
        <v>14</v>
      </c>
      <c r="B34" t="s">
        <v>48</v>
      </c>
      <c r="C34" s="3">
        <v>-203418.72</v>
      </c>
      <c r="D34" s="4">
        <f>H2*C34</f>
        <v>-2155302705.888</v>
      </c>
      <c r="E34" t="s">
        <v>65</v>
      </c>
      <c r="F34" s="8">
        <f>D34/3</f>
        <v>-718434235.296</v>
      </c>
      <c r="G34" s="8">
        <f>D34/3</f>
        <v>-718434235.296</v>
      </c>
      <c r="H34" s="8">
        <f>D34/3</f>
        <v>-718434235.296</v>
      </c>
      <c r="N34" s="6">
        <f>SUM(N31:N33)</f>
        <v>194156625</v>
      </c>
      <c r="P34" s="6">
        <f>N34/3</f>
        <v>64718875</v>
      </c>
      <c r="Q34" s="6">
        <f>N34/3</f>
        <v>64718875</v>
      </c>
      <c r="R34" s="6">
        <f>N34/3</f>
        <v>64718875</v>
      </c>
    </row>
    <row r="35" spans="1:19" x14ac:dyDescent="0.25">
      <c r="A35" t="s">
        <v>6</v>
      </c>
      <c r="B35" t="s">
        <v>81</v>
      </c>
      <c r="C35" s="3">
        <v>670000</v>
      </c>
      <c r="D35" s="4">
        <f>D$2*C35</f>
        <v>9715000000</v>
      </c>
      <c r="E35" t="s">
        <v>65</v>
      </c>
      <c r="F35" s="8">
        <f>D35/3</f>
        <v>3238333333.3333335</v>
      </c>
      <c r="G35" s="8">
        <f>D35/3</f>
        <v>3238333333.3333335</v>
      </c>
      <c r="H35" s="8">
        <f>D35/3</f>
        <v>3238333333.3333335</v>
      </c>
    </row>
    <row r="36" spans="1:19" x14ac:dyDescent="0.25">
      <c r="C36" s="3"/>
      <c r="D36" s="4"/>
      <c r="F36" s="8"/>
      <c r="G36" s="8"/>
      <c r="H36" s="8"/>
      <c r="I36" s="17">
        <f>H37-I20</f>
        <v>9967970422.5193634</v>
      </c>
      <c r="J36" s="10" t="s">
        <v>78</v>
      </c>
      <c r="K36" s="10" t="s">
        <v>79</v>
      </c>
    </row>
    <row r="37" spans="1:19" x14ac:dyDescent="0.25">
      <c r="C37" s="3">
        <f>SUM(C7:C35)</f>
        <v>2916580.3000000003</v>
      </c>
      <c r="D37" s="4">
        <f>SUM(D7:D35)</f>
        <v>53673475535.495605</v>
      </c>
      <c r="E37" s="6">
        <f>D37-E41</f>
        <v>29903911267.558105</v>
      </c>
      <c r="F37" s="8">
        <f>SUM(F8:F35)</f>
        <v>21852752556.488113</v>
      </c>
      <c r="G37" s="8">
        <f>SUM(G8:G35)</f>
        <v>9967970422.5193672</v>
      </c>
      <c r="H37" s="8">
        <f>SUM(H8:H35)</f>
        <v>21852752556.488113</v>
      </c>
      <c r="J37" s="5">
        <v>43306</v>
      </c>
      <c r="K37" t="s">
        <v>82</v>
      </c>
      <c r="L37" s="3">
        <v>4450</v>
      </c>
      <c r="M37" s="3"/>
      <c r="N37" s="3">
        <f>(L37-M37)*14478</f>
        <v>64427100</v>
      </c>
      <c r="O37" t="s">
        <v>83</v>
      </c>
      <c r="P37" s="6">
        <f t="shared" ref="P37:P47" si="10">N37/2</f>
        <v>32213550</v>
      </c>
      <c r="R37" s="6">
        <f t="shared" ref="R37:R47" si="11">N37/2</f>
        <v>32213550</v>
      </c>
    </row>
    <row r="38" spans="1:19" x14ac:dyDescent="0.25">
      <c r="J38" s="5">
        <v>43189</v>
      </c>
      <c r="K38" t="s">
        <v>84</v>
      </c>
      <c r="L38" s="3">
        <v>7625</v>
      </c>
      <c r="M38" s="3"/>
      <c r="N38" s="3">
        <f>(L38-M38)*13762</f>
        <v>104935250</v>
      </c>
      <c r="O38" t="s">
        <v>83</v>
      </c>
      <c r="P38" s="6">
        <f t="shared" si="10"/>
        <v>52467625</v>
      </c>
      <c r="R38" s="6">
        <f t="shared" si="11"/>
        <v>52467625</v>
      </c>
    </row>
    <row r="39" spans="1:19" x14ac:dyDescent="0.25">
      <c r="J39" s="5">
        <v>43374</v>
      </c>
      <c r="K39" t="s">
        <v>84</v>
      </c>
      <c r="L39" s="3">
        <v>7625</v>
      </c>
      <c r="M39" s="3"/>
      <c r="N39" s="3">
        <f>(L39-M39)*14864</f>
        <v>113338000</v>
      </c>
      <c r="O39" t="s">
        <v>83</v>
      </c>
      <c r="P39" s="6">
        <f t="shared" si="10"/>
        <v>56669000</v>
      </c>
      <c r="R39" s="6">
        <f t="shared" si="11"/>
        <v>56669000</v>
      </c>
    </row>
    <row r="40" spans="1:19" x14ac:dyDescent="0.25">
      <c r="E40" s="18" t="s">
        <v>85</v>
      </c>
      <c r="J40" s="5">
        <v>43306</v>
      </c>
      <c r="K40" t="s">
        <v>86</v>
      </c>
      <c r="L40" s="3">
        <v>4700</v>
      </c>
      <c r="M40" s="3"/>
      <c r="N40" s="3">
        <f>(L40-M40)*14478</f>
        <v>68046600</v>
      </c>
      <c r="O40" t="s">
        <v>83</v>
      </c>
      <c r="P40" s="6">
        <f t="shared" si="10"/>
        <v>34023300</v>
      </c>
      <c r="R40" s="6">
        <f t="shared" si="11"/>
        <v>34023300</v>
      </c>
    </row>
    <row r="41" spans="1:19" x14ac:dyDescent="0.25">
      <c r="A41" s="5"/>
      <c r="C41" s="3"/>
      <c r="E41" s="6">
        <f>SUM(D14:D20)</f>
        <v>23769564267.9375</v>
      </c>
      <c r="J41" s="5">
        <v>43130</v>
      </c>
      <c r="K41" t="s">
        <v>87</v>
      </c>
      <c r="L41" s="3">
        <v>13812.5</v>
      </c>
      <c r="M41" s="3"/>
      <c r="N41" s="3">
        <f>(L41-M41)*13339</f>
        <v>184244937.5</v>
      </c>
      <c r="O41" t="s">
        <v>83</v>
      </c>
      <c r="P41" s="6">
        <f t="shared" si="10"/>
        <v>92122468.75</v>
      </c>
      <c r="R41" s="6">
        <f t="shared" si="11"/>
        <v>92122468.75</v>
      </c>
    </row>
    <row r="42" spans="1:19" x14ac:dyDescent="0.25">
      <c r="A42" s="5"/>
      <c r="C42" s="3"/>
      <c r="E42" s="6"/>
      <c r="J42" s="5">
        <v>43311</v>
      </c>
      <c r="K42" t="s">
        <v>87</v>
      </c>
      <c r="L42" s="3">
        <v>13812.5</v>
      </c>
      <c r="M42" s="3"/>
      <c r="N42" s="3">
        <f>(L42-M42)*14478</f>
        <v>199977375</v>
      </c>
      <c r="O42" t="s">
        <v>83</v>
      </c>
      <c r="P42" s="6">
        <f t="shared" si="10"/>
        <v>99988687.5</v>
      </c>
      <c r="R42" s="6">
        <f t="shared" si="11"/>
        <v>99988687.5</v>
      </c>
    </row>
    <row r="43" spans="1:19" x14ac:dyDescent="0.25">
      <c r="A43" s="5"/>
      <c r="C43" s="3"/>
      <c r="E43" s="6"/>
      <c r="J43" s="5">
        <v>43334</v>
      </c>
      <c r="K43" t="s">
        <v>87</v>
      </c>
      <c r="L43" s="3">
        <v>737.85</v>
      </c>
      <c r="M43" s="3"/>
      <c r="N43" s="3">
        <f>(L43-M43)*14599</f>
        <v>10771872.15</v>
      </c>
      <c r="O43" t="s">
        <v>83</v>
      </c>
      <c r="P43" s="6">
        <f t="shared" si="10"/>
        <v>5385936.0750000002</v>
      </c>
      <c r="R43" s="6">
        <f t="shared" si="11"/>
        <v>5385936.0750000002</v>
      </c>
    </row>
    <row r="44" spans="1:19" x14ac:dyDescent="0.25">
      <c r="A44" s="5"/>
      <c r="C44" s="3"/>
      <c r="E44" s="6"/>
      <c r="J44" s="5">
        <v>43223</v>
      </c>
      <c r="K44" t="s">
        <v>88</v>
      </c>
      <c r="L44" s="3">
        <v>4875</v>
      </c>
      <c r="M44" s="3"/>
      <c r="N44" s="3">
        <f>(L44-M44)*13894</f>
        <v>67733250</v>
      </c>
      <c r="O44" t="s">
        <v>83</v>
      </c>
      <c r="P44" s="6">
        <f t="shared" si="10"/>
        <v>33866625</v>
      </c>
      <c r="R44" s="6">
        <f t="shared" si="11"/>
        <v>33866625</v>
      </c>
    </row>
    <row r="45" spans="1:19" x14ac:dyDescent="0.25">
      <c r="A45" s="5"/>
      <c r="C45" s="3"/>
      <c r="E45" s="6"/>
      <c r="J45" s="5">
        <v>43409</v>
      </c>
      <c r="K45" t="s">
        <v>88</v>
      </c>
      <c r="L45" s="3">
        <v>4875</v>
      </c>
      <c r="M45" s="3"/>
      <c r="N45" s="3">
        <f>(L45-M45)*15213</f>
        <v>74163375</v>
      </c>
      <c r="O45" t="s">
        <v>83</v>
      </c>
      <c r="P45" s="6">
        <f t="shared" si="10"/>
        <v>37081687.5</v>
      </c>
      <c r="R45" s="6">
        <f t="shared" si="11"/>
        <v>37081687.5</v>
      </c>
    </row>
    <row r="46" spans="1:19" x14ac:dyDescent="0.25">
      <c r="A46" s="5"/>
      <c r="C46" s="3"/>
      <c r="E46" s="6"/>
      <c r="J46" s="5">
        <v>43446</v>
      </c>
      <c r="K46" t="s">
        <v>89</v>
      </c>
      <c r="L46" s="3">
        <v>15500</v>
      </c>
      <c r="M46" s="3">
        <v>-4030</v>
      </c>
      <c r="N46" s="15">
        <f>(L46+M46)*14447</f>
        <v>165707090</v>
      </c>
      <c r="O46" t="s">
        <v>83</v>
      </c>
      <c r="P46" s="16">
        <f t="shared" si="10"/>
        <v>82853545</v>
      </c>
      <c r="R46" s="16">
        <f t="shared" si="11"/>
        <v>82853545</v>
      </c>
      <c r="S46" t="s">
        <v>90</v>
      </c>
    </row>
    <row r="47" spans="1:19" x14ac:dyDescent="0.25">
      <c r="A47" s="5"/>
      <c r="C47" s="3"/>
      <c r="E47" s="6"/>
      <c r="M47" s="6">
        <f>M46*E2</f>
        <v>-66465379.500000007</v>
      </c>
      <c r="N47" s="6">
        <f>SUM(N37:N46)</f>
        <v>1053344849.65</v>
      </c>
      <c r="P47" s="6">
        <f t="shared" si="10"/>
        <v>526672424.82499999</v>
      </c>
      <c r="R47" s="6">
        <f t="shared" si="11"/>
        <v>526672424.82499999</v>
      </c>
    </row>
    <row r="48" spans="1:19" x14ac:dyDescent="0.25">
      <c r="A48" s="5"/>
      <c r="C48" s="3"/>
      <c r="E48" s="6"/>
    </row>
    <row r="49" spans="1:18" x14ac:dyDescent="0.25">
      <c r="A49" s="5"/>
      <c r="C49" s="3"/>
      <c r="E49" s="6"/>
      <c r="N49" s="6">
        <f>N14+N18+N27+N34+N47</f>
        <v>1321918098.924</v>
      </c>
      <c r="P49" s="6">
        <f>P14+P18+P27+P34+P47</f>
        <v>616196841.24966669</v>
      </c>
      <c r="Q49" s="6">
        <f>Q14+Q18+Q27+Q34</f>
        <v>89524416.424666673</v>
      </c>
      <c r="R49" s="6">
        <f>P49</f>
        <v>616196841.24966669</v>
      </c>
    </row>
    <row r="50" spans="1:18" x14ac:dyDescent="0.25">
      <c r="A50" s="5"/>
      <c r="C50" s="3"/>
      <c r="E50" s="6"/>
    </row>
    <row r="51" spans="1:18" x14ac:dyDescent="0.25">
      <c r="A51" s="5"/>
      <c r="C51" s="3"/>
      <c r="E51" s="6"/>
    </row>
    <row r="52" spans="1:18" x14ac:dyDescent="0.25">
      <c r="A52" s="5"/>
      <c r="C52" s="3"/>
      <c r="E52" s="6"/>
    </row>
    <row r="53" spans="1:18" x14ac:dyDescent="0.25">
      <c r="A53" s="5"/>
      <c r="C53" s="3"/>
      <c r="E53" s="6"/>
    </row>
    <row r="54" spans="1:18" x14ac:dyDescent="0.25">
      <c r="A54" s="5"/>
      <c r="C54" s="3"/>
      <c r="E54" s="6"/>
    </row>
    <row r="55" spans="1:18" x14ac:dyDescent="0.25">
      <c r="A55" s="5"/>
      <c r="C55" s="3"/>
      <c r="E55" s="6"/>
    </row>
    <row r="56" spans="1:18" x14ac:dyDescent="0.25">
      <c r="A56" s="5"/>
      <c r="C56" s="3"/>
      <c r="E56" s="6"/>
    </row>
    <row r="57" spans="1:18" x14ac:dyDescent="0.25">
      <c r="A57" s="7"/>
      <c r="C57" s="3"/>
      <c r="E57" s="6"/>
    </row>
    <row r="58" spans="1:18" x14ac:dyDescent="0.25">
      <c r="A58" s="7"/>
      <c r="C58" s="3"/>
      <c r="E58" s="16"/>
    </row>
    <row r="59" spans="1:18" x14ac:dyDescent="0.25">
      <c r="C59" s="3"/>
      <c r="E59" s="6"/>
    </row>
    <row r="60" spans="1:18" x14ac:dyDescent="0.25">
      <c r="C60" s="3"/>
      <c r="E60" s="6"/>
    </row>
    <row r="61" spans="1:18" x14ac:dyDescent="0.25">
      <c r="C61" s="3"/>
      <c r="E61" s="6"/>
    </row>
    <row r="62" spans="1:18" x14ac:dyDescent="0.25">
      <c r="C62" s="3"/>
      <c r="E62" s="6"/>
    </row>
    <row r="63" spans="1:18" x14ac:dyDescent="0.25">
      <c r="C63" s="3"/>
      <c r="E63" s="6"/>
    </row>
    <row r="64" spans="1:18" x14ac:dyDescent="0.25">
      <c r="A64" s="5"/>
      <c r="C64" s="3"/>
      <c r="E64" s="6"/>
    </row>
    <row r="65" spans="1:5" x14ac:dyDescent="0.25">
      <c r="A65" s="5"/>
      <c r="C65" s="3"/>
      <c r="E65" s="6"/>
    </row>
    <row r="66" spans="1:5" x14ac:dyDescent="0.25">
      <c r="A66" s="5"/>
      <c r="C66" s="3"/>
      <c r="E66" s="6"/>
    </row>
    <row r="67" spans="1:5" x14ac:dyDescent="0.25">
      <c r="A67" s="5"/>
      <c r="C67" s="3"/>
      <c r="E67" s="6"/>
    </row>
    <row r="68" spans="1:5" x14ac:dyDescent="0.25">
      <c r="A68" s="5"/>
      <c r="C68" s="3"/>
      <c r="E68" s="6"/>
    </row>
    <row r="69" spans="1:5" x14ac:dyDescent="0.25">
      <c r="A69" s="5"/>
      <c r="C69" s="3"/>
      <c r="E69" s="16"/>
    </row>
    <row r="70" spans="1:5" x14ac:dyDescent="0.25">
      <c r="C70" s="3"/>
      <c r="E70" s="6"/>
    </row>
    <row r="71" spans="1:5" x14ac:dyDescent="0.25">
      <c r="C71" s="3"/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1"/>
  <sheetViews>
    <sheetView tabSelected="1" view="pageBreakPreview" topLeftCell="A4" zoomScale="60" zoomScaleNormal="86" workbookViewId="0">
      <selection activeCell="E81" sqref="E81"/>
    </sheetView>
  </sheetViews>
  <sheetFormatPr defaultColWidth="10.625" defaultRowHeight="15.75" x14ac:dyDescent="0.25"/>
  <cols>
    <col min="2" max="2" width="31.625" customWidth="1"/>
    <col min="3" max="3" width="15" customWidth="1"/>
    <col min="4" max="4" width="17.625" customWidth="1"/>
    <col min="5" max="5" width="19.875" customWidth="1"/>
    <col min="6" max="6" width="19.5" customWidth="1"/>
    <col min="7" max="7" width="19.25" customWidth="1"/>
    <col min="8" max="8" width="17.875" customWidth="1"/>
    <col min="9" max="9" width="19.25" customWidth="1"/>
    <col min="10" max="10" width="13" customWidth="1"/>
    <col min="11" max="11" width="22.75" customWidth="1"/>
    <col min="12" max="12" width="13.125" customWidth="1"/>
    <col min="13" max="13" width="12.125" customWidth="1"/>
    <col min="14" max="14" width="16.625" customWidth="1"/>
    <col min="16" max="16" width="15.125" customWidth="1"/>
    <col min="17" max="17" width="14.125" customWidth="1"/>
    <col min="18" max="18" width="15.125" customWidth="1"/>
  </cols>
  <sheetData>
    <row r="1" spans="1:1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8" x14ac:dyDescent="0.25">
      <c r="D2" s="1">
        <v>14294</v>
      </c>
      <c r="E2" s="1">
        <v>16161.83</v>
      </c>
      <c r="F2" s="1">
        <v>19043.099999999999</v>
      </c>
      <c r="G2" s="1">
        <v>1832.5</v>
      </c>
      <c r="H2" s="1">
        <v>10493.96</v>
      </c>
      <c r="I2" s="9">
        <v>125.25</v>
      </c>
    </row>
    <row r="6" spans="1:18" x14ac:dyDescent="0.25">
      <c r="F6" s="10" t="s">
        <v>55</v>
      </c>
      <c r="G6" s="10" t="s">
        <v>56</v>
      </c>
      <c r="H6" s="10" t="s">
        <v>57</v>
      </c>
      <c r="J6" s="11" t="s">
        <v>58</v>
      </c>
      <c r="K6" s="12"/>
      <c r="L6" s="12" t="s">
        <v>59</v>
      </c>
      <c r="M6" s="12"/>
      <c r="N6" s="12" t="s">
        <v>60</v>
      </c>
      <c r="P6" s="10" t="s">
        <v>55</v>
      </c>
      <c r="Q6" s="10" t="s">
        <v>56</v>
      </c>
      <c r="R6" s="10" t="s">
        <v>57</v>
      </c>
    </row>
    <row r="7" spans="1:18" x14ac:dyDescent="0.25">
      <c r="C7" s="13" t="s">
        <v>61</v>
      </c>
      <c r="D7" s="14" t="s">
        <v>62</v>
      </c>
      <c r="J7" s="5">
        <v>44202</v>
      </c>
      <c r="K7" t="s">
        <v>63</v>
      </c>
      <c r="L7" s="3">
        <v>39.619999999999997</v>
      </c>
      <c r="M7" s="3"/>
      <c r="N7" s="8">
        <f t="shared" ref="N7:N40" si="0">(L7-M7)*$D$2</f>
        <v>566328.27999999991</v>
      </c>
      <c r="O7" t="s">
        <v>64</v>
      </c>
      <c r="P7" s="4">
        <f t="shared" ref="P7:P41" si="1">N7/3</f>
        <v>188776.09333333329</v>
      </c>
      <c r="Q7" s="4">
        <f t="shared" ref="Q7:Q41" si="2">N7/3</f>
        <v>188776.09333333329</v>
      </c>
      <c r="R7" s="4">
        <f t="shared" ref="R7:R41" si="3">N7/3</f>
        <v>188776.09333333329</v>
      </c>
    </row>
    <row r="8" spans="1:18" x14ac:dyDescent="0.25">
      <c r="A8" t="s">
        <v>6</v>
      </c>
      <c r="B8" t="s">
        <v>9</v>
      </c>
      <c r="C8" s="3">
        <v>6039</v>
      </c>
      <c r="D8" s="4">
        <f>D$2*C8</f>
        <v>86321466</v>
      </c>
      <c r="E8" t="s">
        <v>65</v>
      </c>
      <c r="F8" s="8">
        <f>D8/3</f>
        <v>28773822</v>
      </c>
      <c r="G8" s="8">
        <f>D8/3</f>
        <v>28773822</v>
      </c>
      <c r="H8" s="8">
        <f>D8/3</f>
        <v>28773822</v>
      </c>
      <c r="J8" s="5">
        <v>44232</v>
      </c>
      <c r="K8" t="s">
        <v>63</v>
      </c>
      <c r="L8" s="3">
        <v>54.48</v>
      </c>
      <c r="M8" s="3"/>
      <c r="N8" s="8">
        <f t="shared" si="0"/>
        <v>778737.12</v>
      </c>
      <c r="O8" t="s">
        <v>64</v>
      </c>
      <c r="P8" s="4">
        <f t="shared" si="1"/>
        <v>259579.04</v>
      </c>
      <c r="Q8" s="4">
        <f t="shared" si="2"/>
        <v>259579.04</v>
      </c>
      <c r="R8" s="4">
        <f t="shared" si="3"/>
        <v>259579.04</v>
      </c>
    </row>
    <row r="9" spans="1:18" x14ac:dyDescent="0.25">
      <c r="A9" t="s">
        <v>17</v>
      </c>
      <c r="B9" t="s">
        <v>91</v>
      </c>
      <c r="C9" s="3">
        <v>123200</v>
      </c>
      <c r="D9" s="4">
        <f>G2*C9</f>
        <v>225764000</v>
      </c>
      <c r="E9" t="s">
        <v>65</v>
      </c>
      <c r="F9" s="8">
        <f>D9/3</f>
        <v>75254666.666666672</v>
      </c>
      <c r="G9" s="8">
        <f>D9/3</f>
        <v>75254666.666666672</v>
      </c>
      <c r="H9" s="8">
        <f>D9/3</f>
        <v>75254666.666666672</v>
      </c>
      <c r="J9" s="5">
        <v>44261</v>
      </c>
      <c r="K9" t="s">
        <v>63</v>
      </c>
      <c r="L9" s="3">
        <v>70.81</v>
      </c>
      <c r="M9" s="3"/>
      <c r="N9" s="8">
        <f t="shared" si="0"/>
        <v>1012158.14</v>
      </c>
      <c r="O9" t="s">
        <v>64</v>
      </c>
      <c r="P9" s="4">
        <f t="shared" si="1"/>
        <v>337386.04666666669</v>
      </c>
      <c r="Q9" s="4">
        <f t="shared" si="2"/>
        <v>337386.04666666669</v>
      </c>
      <c r="R9" s="4">
        <f t="shared" si="3"/>
        <v>337386.04666666669</v>
      </c>
    </row>
    <row r="10" spans="1:18" x14ac:dyDescent="0.25">
      <c r="A10" t="s">
        <v>17</v>
      </c>
      <c r="B10" t="s">
        <v>71</v>
      </c>
      <c r="C10" s="3">
        <v>2000</v>
      </c>
      <c r="D10" s="4">
        <f>G2*C10</f>
        <v>3665000</v>
      </c>
      <c r="E10" t="s">
        <v>65</v>
      </c>
      <c r="F10" s="8">
        <f>D10/3</f>
        <v>1221666.6666666667</v>
      </c>
      <c r="G10" s="8">
        <f>D10/3</f>
        <v>1221666.6666666667</v>
      </c>
      <c r="H10" s="8">
        <f>D10/3</f>
        <v>1221666.6666666667</v>
      </c>
      <c r="J10" s="5">
        <v>44292</v>
      </c>
      <c r="K10" t="s">
        <v>63</v>
      </c>
      <c r="L10" s="3">
        <v>60.73</v>
      </c>
      <c r="M10" s="3"/>
      <c r="N10" s="8">
        <f t="shared" si="0"/>
        <v>868074.62</v>
      </c>
      <c r="O10" t="s">
        <v>64</v>
      </c>
      <c r="P10" s="4">
        <f t="shared" si="1"/>
        <v>289358.20666666667</v>
      </c>
      <c r="Q10" s="4">
        <f t="shared" si="2"/>
        <v>289358.20666666667</v>
      </c>
      <c r="R10" s="4">
        <f t="shared" si="3"/>
        <v>289358.20666666667</v>
      </c>
    </row>
    <row r="11" spans="1:18" x14ac:dyDescent="0.25">
      <c r="A11" t="s">
        <v>6</v>
      </c>
      <c r="B11" t="s">
        <v>66</v>
      </c>
      <c r="C11" s="3">
        <v>296079</v>
      </c>
      <c r="D11" s="4">
        <f>D$2*C11</f>
        <v>4232153226</v>
      </c>
      <c r="E11" t="s">
        <v>65</v>
      </c>
      <c r="F11" s="8">
        <f>D11/3</f>
        <v>1410717742</v>
      </c>
      <c r="G11" s="8">
        <f>D11/3</f>
        <v>1410717742</v>
      </c>
      <c r="H11" s="8">
        <f>D11/3</f>
        <v>1410717742</v>
      </c>
      <c r="J11" s="5">
        <v>44322</v>
      </c>
      <c r="K11" t="s">
        <v>63</v>
      </c>
      <c r="L11" s="3">
        <v>53.12</v>
      </c>
      <c r="M11" s="3"/>
      <c r="N11" s="8">
        <f t="shared" si="0"/>
        <v>759297.27999999991</v>
      </c>
      <c r="O11" t="s">
        <v>64</v>
      </c>
      <c r="P11" s="4">
        <f t="shared" si="1"/>
        <v>253099.09333333329</v>
      </c>
      <c r="Q11" s="4">
        <f t="shared" si="2"/>
        <v>253099.09333333329</v>
      </c>
      <c r="R11" s="4">
        <f t="shared" si="3"/>
        <v>253099.09333333329</v>
      </c>
    </row>
    <row r="12" spans="1:18" x14ac:dyDescent="0.25">
      <c r="A12" t="s">
        <v>6</v>
      </c>
      <c r="C12" s="3">
        <v>0</v>
      </c>
      <c r="D12" s="4">
        <f>D$2*C12</f>
        <v>0</v>
      </c>
      <c r="E12" t="s">
        <v>65</v>
      </c>
      <c r="F12" s="8">
        <f>D12/3</f>
        <v>0</v>
      </c>
      <c r="G12" s="8">
        <f>D12/3</f>
        <v>0</v>
      </c>
      <c r="H12" s="8">
        <f>D12/3</f>
        <v>0</v>
      </c>
      <c r="J12" s="5">
        <v>44334</v>
      </c>
      <c r="K12" t="s">
        <v>63</v>
      </c>
      <c r="L12" s="3">
        <v>59.01</v>
      </c>
      <c r="M12" s="3"/>
      <c r="N12" s="8">
        <f t="shared" si="0"/>
        <v>843488.94</v>
      </c>
      <c r="O12" t="s">
        <v>64</v>
      </c>
      <c r="P12" s="4">
        <f t="shared" si="1"/>
        <v>281162.98</v>
      </c>
      <c r="Q12" s="4">
        <f t="shared" si="2"/>
        <v>281162.98</v>
      </c>
      <c r="R12" s="4">
        <f t="shared" si="3"/>
        <v>281162.98</v>
      </c>
    </row>
    <row r="13" spans="1:18" x14ac:dyDescent="0.25">
      <c r="C13" s="3"/>
      <c r="D13" s="4">
        <f>D$2*C13</f>
        <v>0</v>
      </c>
      <c r="F13" s="8"/>
      <c r="G13" s="8"/>
      <c r="H13" s="8"/>
      <c r="J13" s="5">
        <v>44383</v>
      </c>
      <c r="K13" t="s">
        <v>63</v>
      </c>
      <c r="L13" s="3">
        <v>51.86</v>
      </c>
      <c r="M13" s="3"/>
      <c r="N13" s="8">
        <f t="shared" si="0"/>
        <v>741286.84</v>
      </c>
      <c r="O13" t="s">
        <v>64</v>
      </c>
      <c r="P13" s="19">
        <f t="shared" si="1"/>
        <v>247095.61333333331</v>
      </c>
      <c r="Q13" s="19">
        <f t="shared" si="2"/>
        <v>247095.61333333331</v>
      </c>
      <c r="R13" s="19">
        <f t="shared" si="3"/>
        <v>247095.61333333331</v>
      </c>
    </row>
    <row r="14" spans="1:18" x14ac:dyDescent="0.25">
      <c r="C14" s="3"/>
      <c r="D14" s="4"/>
      <c r="F14" s="8"/>
      <c r="G14" s="8"/>
      <c r="H14" s="8"/>
      <c r="J14" s="5">
        <v>44426</v>
      </c>
      <c r="K14" t="s">
        <v>63</v>
      </c>
      <c r="L14" s="3">
        <v>42.9</v>
      </c>
      <c r="M14" s="3"/>
      <c r="N14" s="8">
        <f t="shared" si="0"/>
        <v>613212.6</v>
      </c>
      <c r="O14" t="s">
        <v>64</v>
      </c>
      <c r="P14" s="19">
        <f t="shared" si="1"/>
        <v>204404.19999999998</v>
      </c>
      <c r="Q14" s="19">
        <f t="shared" si="2"/>
        <v>204404.19999999998</v>
      </c>
      <c r="R14" s="19">
        <f t="shared" si="3"/>
        <v>204404.19999999998</v>
      </c>
    </row>
    <row r="15" spans="1:18" x14ac:dyDescent="0.25">
      <c r="A15" t="s">
        <v>12</v>
      </c>
      <c r="B15" t="s">
        <v>25</v>
      </c>
      <c r="C15" s="3">
        <v>214000</v>
      </c>
      <c r="D15" s="4">
        <f>E2*C15</f>
        <v>3458631620</v>
      </c>
      <c r="E15" t="s">
        <v>68</v>
      </c>
      <c r="F15" s="8">
        <f>D15/2</f>
        <v>1729315810</v>
      </c>
      <c r="G15" s="8"/>
      <c r="H15" s="8">
        <f>D15/2</f>
        <v>1729315810</v>
      </c>
      <c r="J15" s="5">
        <v>44457</v>
      </c>
      <c r="K15" t="s">
        <v>63</v>
      </c>
      <c r="L15" s="3">
        <v>46.11</v>
      </c>
      <c r="N15" s="8">
        <f t="shared" si="0"/>
        <v>659096.34</v>
      </c>
      <c r="O15" t="s">
        <v>64</v>
      </c>
      <c r="P15" s="19">
        <f t="shared" si="1"/>
        <v>219698.78</v>
      </c>
      <c r="Q15" s="19">
        <f t="shared" si="2"/>
        <v>219698.78</v>
      </c>
      <c r="R15" s="19">
        <f t="shared" si="3"/>
        <v>219698.78</v>
      </c>
    </row>
    <row r="16" spans="1:18" x14ac:dyDescent="0.25">
      <c r="A16" t="s">
        <v>6</v>
      </c>
      <c r="B16" t="s">
        <v>92</v>
      </c>
      <c r="C16" s="3">
        <v>220894</v>
      </c>
      <c r="D16" s="4">
        <f>D$2*C16</f>
        <v>3157458836</v>
      </c>
      <c r="E16" t="s">
        <v>68</v>
      </c>
      <c r="F16" s="8">
        <f>D16/2</f>
        <v>1578729418</v>
      </c>
      <c r="G16" s="8"/>
      <c r="H16" s="8">
        <f>D16/2</f>
        <v>1578729418</v>
      </c>
      <c r="J16" s="5">
        <v>44475</v>
      </c>
      <c r="K16" t="s">
        <v>63</v>
      </c>
      <c r="L16" s="3">
        <v>22.68</v>
      </c>
      <c r="N16" s="8">
        <f t="shared" si="0"/>
        <v>324187.92</v>
      </c>
      <c r="O16" t="s">
        <v>64</v>
      </c>
      <c r="P16" s="19">
        <f t="shared" si="1"/>
        <v>108062.64</v>
      </c>
      <c r="Q16" s="19">
        <f t="shared" si="2"/>
        <v>108062.64</v>
      </c>
      <c r="R16" s="19">
        <f t="shared" si="3"/>
        <v>108062.64</v>
      </c>
    </row>
    <row r="17" spans="1:18" x14ac:dyDescent="0.25">
      <c r="C17" s="3"/>
      <c r="D17" s="4"/>
      <c r="F17" s="8"/>
      <c r="G17" s="8"/>
      <c r="H17" s="8"/>
      <c r="J17" s="5"/>
      <c r="L17" s="3"/>
      <c r="N17" s="8">
        <f t="shared" si="0"/>
        <v>0</v>
      </c>
      <c r="O17" t="s">
        <v>64</v>
      </c>
      <c r="P17" s="19">
        <f t="shared" si="1"/>
        <v>0</v>
      </c>
      <c r="Q17" s="19">
        <f t="shared" si="2"/>
        <v>0</v>
      </c>
      <c r="R17" s="19">
        <f t="shared" si="3"/>
        <v>0</v>
      </c>
    </row>
    <row r="18" spans="1:18" x14ac:dyDescent="0.25">
      <c r="A18" t="s">
        <v>6</v>
      </c>
      <c r="B18" t="s">
        <v>93</v>
      </c>
      <c r="C18" s="3">
        <v>85786</v>
      </c>
      <c r="D18" s="4">
        <f>D$2*C18</f>
        <v>1226225084</v>
      </c>
      <c r="E18" t="s">
        <v>68</v>
      </c>
      <c r="F18" s="8">
        <f>D18/2</f>
        <v>613112542</v>
      </c>
      <c r="G18" s="8"/>
      <c r="H18" s="8">
        <f>D18/2</f>
        <v>613112542</v>
      </c>
      <c r="J18" s="5"/>
      <c r="L18" s="3"/>
      <c r="N18" s="8">
        <f t="shared" si="0"/>
        <v>0</v>
      </c>
      <c r="O18" t="s">
        <v>64</v>
      </c>
      <c r="P18" s="19">
        <f t="shared" si="1"/>
        <v>0</v>
      </c>
      <c r="Q18" s="19">
        <f t="shared" si="2"/>
        <v>0</v>
      </c>
      <c r="R18" s="19">
        <f t="shared" si="3"/>
        <v>0</v>
      </c>
    </row>
    <row r="19" spans="1:18" x14ac:dyDescent="0.25">
      <c r="A19" t="s">
        <v>6</v>
      </c>
      <c r="B19" t="s">
        <v>94</v>
      </c>
      <c r="C19" s="3">
        <v>382492</v>
      </c>
      <c r="D19" s="4">
        <f>D$2*C19</f>
        <v>5467340648</v>
      </c>
      <c r="E19" t="s">
        <v>68</v>
      </c>
      <c r="F19" s="8">
        <f>D19/2</f>
        <v>2733670324</v>
      </c>
      <c r="G19" s="8"/>
      <c r="H19" s="8">
        <f>D19/2</f>
        <v>2733670324</v>
      </c>
      <c r="J19" s="5"/>
      <c r="L19" s="3"/>
      <c r="N19" s="8">
        <f t="shared" si="0"/>
        <v>0</v>
      </c>
      <c r="O19" t="s">
        <v>64</v>
      </c>
      <c r="P19" s="19">
        <f t="shared" si="1"/>
        <v>0</v>
      </c>
      <c r="Q19" s="19">
        <f t="shared" si="2"/>
        <v>0</v>
      </c>
      <c r="R19" s="19">
        <f t="shared" si="3"/>
        <v>0</v>
      </c>
    </row>
    <row r="20" spans="1:18" x14ac:dyDescent="0.25">
      <c r="A20" t="s">
        <v>6</v>
      </c>
      <c r="B20" t="s">
        <v>33</v>
      </c>
      <c r="C20" s="3">
        <v>401016</v>
      </c>
      <c r="D20" s="4">
        <f>D$2*C20</f>
        <v>5732122704</v>
      </c>
      <c r="E20" t="s">
        <v>68</v>
      </c>
      <c r="F20" s="8">
        <f>D20/2</f>
        <v>2866061352</v>
      </c>
      <c r="G20" s="8"/>
      <c r="H20" s="8">
        <f>D20/2</f>
        <v>2866061352</v>
      </c>
      <c r="J20" s="5"/>
      <c r="L20" s="3"/>
      <c r="N20" s="8">
        <f t="shared" si="0"/>
        <v>0</v>
      </c>
      <c r="O20" t="s">
        <v>64</v>
      </c>
      <c r="P20" s="19">
        <f t="shared" si="1"/>
        <v>0</v>
      </c>
      <c r="Q20" s="19">
        <f t="shared" si="2"/>
        <v>0</v>
      </c>
      <c r="R20" s="19">
        <f t="shared" si="3"/>
        <v>0</v>
      </c>
    </row>
    <row r="21" spans="1:18" x14ac:dyDescent="0.25">
      <c r="C21" s="3"/>
      <c r="D21" s="4"/>
      <c r="F21" s="8"/>
      <c r="G21" s="8"/>
      <c r="H21" s="8"/>
      <c r="J21" s="5"/>
      <c r="L21" s="3"/>
      <c r="N21" s="8">
        <f t="shared" si="0"/>
        <v>0</v>
      </c>
      <c r="O21" t="s">
        <v>64</v>
      </c>
      <c r="P21" s="19">
        <f t="shared" si="1"/>
        <v>0</v>
      </c>
      <c r="Q21" s="19">
        <f t="shared" si="2"/>
        <v>0</v>
      </c>
      <c r="R21" s="19">
        <f t="shared" si="3"/>
        <v>0</v>
      </c>
    </row>
    <row r="22" spans="1:18" x14ac:dyDescent="0.25">
      <c r="A22" t="s">
        <v>6</v>
      </c>
      <c r="B22" t="s">
        <v>34</v>
      </c>
      <c r="C22" s="3">
        <v>203000</v>
      </c>
      <c r="D22" s="4">
        <f>D$2*C22</f>
        <v>2901682000</v>
      </c>
      <c r="E22" t="s">
        <v>68</v>
      </c>
      <c r="F22" s="8">
        <f>D22/2</f>
        <v>1450841000</v>
      </c>
      <c r="G22" s="8"/>
      <c r="H22" s="8">
        <f>D22/2</f>
        <v>1450841000</v>
      </c>
      <c r="J22" s="5"/>
      <c r="L22" s="3"/>
      <c r="N22" s="8">
        <f t="shared" si="0"/>
        <v>0</v>
      </c>
      <c r="O22" t="s">
        <v>64</v>
      </c>
      <c r="P22" s="19">
        <f t="shared" si="1"/>
        <v>0</v>
      </c>
      <c r="Q22" s="19">
        <f t="shared" si="2"/>
        <v>0</v>
      </c>
      <c r="R22" s="19">
        <f t="shared" si="3"/>
        <v>0</v>
      </c>
    </row>
    <row r="23" spans="1:18" x14ac:dyDescent="0.25">
      <c r="A23" t="s">
        <v>0</v>
      </c>
      <c r="B23" t="s">
        <v>95</v>
      </c>
      <c r="C23" s="3">
        <v>82184</v>
      </c>
      <c r="D23" s="4">
        <f>D$2*C23</f>
        <v>1174738096</v>
      </c>
      <c r="E23" t="s">
        <v>68</v>
      </c>
      <c r="F23" s="8">
        <f>D23/2</f>
        <v>587369048</v>
      </c>
      <c r="G23" s="8"/>
      <c r="H23" s="8">
        <f>D23/2</f>
        <v>587369048</v>
      </c>
      <c r="I23" s="17">
        <f>SUM(H15:H23)</f>
        <v>11559099494</v>
      </c>
      <c r="J23" s="5"/>
      <c r="L23" s="3"/>
      <c r="N23" s="8">
        <f t="shared" si="0"/>
        <v>0</v>
      </c>
      <c r="O23" t="s">
        <v>64</v>
      </c>
      <c r="P23" s="19">
        <f t="shared" si="1"/>
        <v>0</v>
      </c>
      <c r="Q23" s="19">
        <f t="shared" si="2"/>
        <v>0</v>
      </c>
      <c r="R23" s="19">
        <f t="shared" si="3"/>
        <v>0</v>
      </c>
    </row>
    <row r="24" spans="1:18" x14ac:dyDescent="0.25">
      <c r="F24" s="8"/>
      <c r="G24" s="8"/>
      <c r="H24" s="8"/>
      <c r="J24" s="5"/>
      <c r="L24" s="3"/>
      <c r="N24" s="8">
        <f t="shared" si="0"/>
        <v>0</v>
      </c>
      <c r="O24" t="s">
        <v>64</v>
      </c>
      <c r="P24" s="19">
        <f t="shared" si="1"/>
        <v>0</v>
      </c>
      <c r="Q24" s="19">
        <f t="shared" si="2"/>
        <v>0</v>
      </c>
      <c r="R24" s="19">
        <f t="shared" si="3"/>
        <v>0</v>
      </c>
    </row>
    <row r="25" spans="1:18" x14ac:dyDescent="0.25">
      <c r="F25" s="8"/>
      <c r="G25" s="8"/>
      <c r="H25" s="8"/>
      <c r="J25" s="5"/>
      <c r="L25" s="3"/>
      <c r="N25" s="8">
        <f t="shared" si="0"/>
        <v>0</v>
      </c>
      <c r="O25" t="s">
        <v>64</v>
      </c>
      <c r="P25" s="19">
        <f t="shared" si="1"/>
        <v>0</v>
      </c>
      <c r="Q25" s="19">
        <f t="shared" si="2"/>
        <v>0</v>
      </c>
      <c r="R25" s="19">
        <f t="shared" si="3"/>
        <v>0</v>
      </c>
    </row>
    <row r="26" spans="1:18" x14ac:dyDescent="0.25">
      <c r="A26" t="s">
        <v>6</v>
      </c>
      <c r="C26" s="3">
        <v>0</v>
      </c>
      <c r="D26" s="4">
        <f>D$2*C26</f>
        <v>0</v>
      </c>
      <c r="E26" t="s">
        <v>65</v>
      </c>
      <c r="F26" s="8">
        <f>D26/3</f>
        <v>0</v>
      </c>
      <c r="G26" s="8">
        <f>D26/3</f>
        <v>0</v>
      </c>
      <c r="H26" s="8">
        <f>D26/3</f>
        <v>0</v>
      </c>
      <c r="J26" s="5"/>
      <c r="L26" s="3"/>
      <c r="N26" s="8">
        <f t="shared" si="0"/>
        <v>0</v>
      </c>
      <c r="O26" t="s">
        <v>64</v>
      </c>
      <c r="P26" s="19">
        <f t="shared" si="1"/>
        <v>0</v>
      </c>
      <c r="Q26" s="19">
        <f t="shared" si="2"/>
        <v>0</v>
      </c>
      <c r="R26" s="19">
        <f t="shared" si="3"/>
        <v>0</v>
      </c>
    </row>
    <row r="27" spans="1:18" x14ac:dyDescent="0.25">
      <c r="A27" t="s">
        <v>6</v>
      </c>
      <c r="B27" t="s">
        <v>37</v>
      </c>
      <c r="C27" s="3">
        <v>49750</v>
      </c>
      <c r="D27" s="4">
        <f>D$2*C27</f>
        <v>711126500</v>
      </c>
      <c r="E27" t="s">
        <v>65</v>
      </c>
      <c r="F27" s="8">
        <f>D27/3</f>
        <v>237042166.66666666</v>
      </c>
      <c r="G27" s="8">
        <f>D27/3</f>
        <v>237042166.66666666</v>
      </c>
      <c r="H27" s="8">
        <f>D27/3</f>
        <v>237042166.66666666</v>
      </c>
      <c r="J27" s="5"/>
      <c r="L27" s="3"/>
      <c r="N27" s="8">
        <f t="shared" si="0"/>
        <v>0</v>
      </c>
      <c r="O27" t="s">
        <v>64</v>
      </c>
      <c r="P27" s="19">
        <f t="shared" si="1"/>
        <v>0</v>
      </c>
      <c r="Q27" s="19">
        <f t="shared" si="2"/>
        <v>0</v>
      </c>
      <c r="R27" s="19">
        <f t="shared" si="3"/>
        <v>0</v>
      </c>
    </row>
    <row r="28" spans="1:18" x14ac:dyDescent="0.25">
      <c r="C28" s="3"/>
      <c r="D28" s="4">
        <f>D$2*C28</f>
        <v>0</v>
      </c>
      <c r="F28" s="8"/>
      <c r="G28" s="8"/>
      <c r="H28" s="8"/>
      <c r="J28" s="5"/>
      <c r="L28" s="3"/>
      <c r="N28" s="8">
        <f t="shared" si="0"/>
        <v>0</v>
      </c>
      <c r="O28" t="s">
        <v>64</v>
      </c>
      <c r="P28" s="19">
        <f t="shared" si="1"/>
        <v>0</v>
      </c>
      <c r="Q28" s="19">
        <f t="shared" si="2"/>
        <v>0</v>
      </c>
      <c r="R28" s="19">
        <f t="shared" si="3"/>
        <v>0</v>
      </c>
    </row>
    <row r="29" spans="1:18" x14ac:dyDescent="0.25">
      <c r="C29" s="3"/>
      <c r="D29" s="4"/>
      <c r="F29" s="8"/>
      <c r="G29" s="8"/>
      <c r="H29" s="8"/>
      <c r="J29" s="5"/>
      <c r="L29" s="3"/>
      <c r="N29" s="8">
        <f t="shared" si="0"/>
        <v>0</v>
      </c>
      <c r="O29" t="s">
        <v>64</v>
      </c>
      <c r="P29" s="19">
        <f t="shared" si="1"/>
        <v>0</v>
      </c>
      <c r="Q29" s="19">
        <f t="shared" si="2"/>
        <v>0</v>
      </c>
      <c r="R29" s="19">
        <f t="shared" si="3"/>
        <v>0</v>
      </c>
    </row>
    <row r="30" spans="1:18" x14ac:dyDescent="0.25">
      <c r="A30" t="s">
        <v>6</v>
      </c>
      <c r="C30" s="3"/>
      <c r="D30" s="4">
        <f>D$2*C30</f>
        <v>0</v>
      </c>
      <c r="E30" t="s">
        <v>65</v>
      </c>
      <c r="F30" s="8">
        <f>D30/3</f>
        <v>0</v>
      </c>
      <c r="G30" s="8">
        <f>D30/3</f>
        <v>0</v>
      </c>
      <c r="H30" s="8">
        <f>D30/3</f>
        <v>0</v>
      </c>
      <c r="J30" s="5"/>
      <c r="L30" s="3"/>
      <c r="N30" s="8">
        <f t="shared" si="0"/>
        <v>0</v>
      </c>
      <c r="O30" t="s">
        <v>64</v>
      </c>
      <c r="P30" s="19">
        <f t="shared" si="1"/>
        <v>0</v>
      </c>
      <c r="Q30" s="19">
        <f t="shared" si="2"/>
        <v>0</v>
      </c>
      <c r="R30" s="19">
        <f t="shared" si="3"/>
        <v>0</v>
      </c>
    </row>
    <row r="31" spans="1:18" x14ac:dyDescent="0.25">
      <c r="A31" t="s">
        <v>6</v>
      </c>
      <c r="C31" s="3"/>
      <c r="D31" s="4">
        <f>D$2*C31</f>
        <v>0</v>
      </c>
      <c r="E31" t="s">
        <v>65</v>
      </c>
      <c r="F31" s="8">
        <f>D31/3</f>
        <v>0</v>
      </c>
      <c r="G31" s="8">
        <f>D31/3</f>
        <v>0</v>
      </c>
      <c r="H31" s="8">
        <f>D31/3</f>
        <v>0</v>
      </c>
      <c r="J31" s="5"/>
      <c r="L31" s="3"/>
      <c r="N31" s="8">
        <f t="shared" si="0"/>
        <v>0</v>
      </c>
      <c r="O31" t="s">
        <v>64</v>
      </c>
      <c r="P31" s="19">
        <f t="shared" si="1"/>
        <v>0</v>
      </c>
      <c r="Q31" s="19">
        <f t="shared" si="2"/>
        <v>0</v>
      </c>
      <c r="R31" s="19">
        <f t="shared" si="3"/>
        <v>0</v>
      </c>
    </row>
    <row r="32" spans="1:18" x14ac:dyDescent="0.25">
      <c r="C32" s="3"/>
      <c r="D32" s="4"/>
      <c r="F32" s="8"/>
      <c r="G32" s="8"/>
      <c r="H32" s="8"/>
      <c r="J32" s="5"/>
      <c r="L32" s="3"/>
      <c r="N32" s="8">
        <f t="shared" si="0"/>
        <v>0</v>
      </c>
      <c r="O32" t="s">
        <v>64</v>
      </c>
      <c r="P32" s="19">
        <f t="shared" si="1"/>
        <v>0</v>
      </c>
      <c r="Q32" s="19">
        <f t="shared" si="2"/>
        <v>0</v>
      </c>
      <c r="R32" s="19">
        <f t="shared" si="3"/>
        <v>0</v>
      </c>
    </row>
    <row r="33" spans="1:18" x14ac:dyDescent="0.25">
      <c r="A33" t="s">
        <v>6</v>
      </c>
      <c r="C33" s="3">
        <v>0</v>
      </c>
      <c r="D33" s="4">
        <f>D$2*C33</f>
        <v>0</v>
      </c>
      <c r="E33" t="s">
        <v>65</v>
      </c>
      <c r="F33" s="8">
        <f>D33/3</f>
        <v>0</v>
      </c>
      <c r="G33" s="8">
        <f>D33/3</f>
        <v>0</v>
      </c>
      <c r="H33" s="8">
        <f>D33/3</f>
        <v>0</v>
      </c>
      <c r="J33" s="5"/>
      <c r="L33" s="3"/>
      <c r="N33" s="8">
        <f t="shared" si="0"/>
        <v>0</v>
      </c>
      <c r="O33" t="s">
        <v>64</v>
      </c>
      <c r="P33" s="19">
        <f t="shared" si="1"/>
        <v>0</v>
      </c>
      <c r="Q33" s="19">
        <f t="shared" si="2"/>
        <v>0</v>
      </c>
      <c r="R33" s="19">
        <f t="shared" si="3"/>
        <v>0</v>
      </c>
    </row>
    <row r="34" spans="1:18" x14ac:dyDescent="0.25">
      <c r="A34" t="s">
        <v>6</v>
      </c>
      <c r="C34" s="3"/>
      <c r="D34" s="4">
        <f>D$2*C34</f>
        <v>0</v>
      </c>
      <c r="E34" t="s">
        <v>65</v>
      </c>
      <c r="F34" s="8">
        <f>D34/3</f>
        <v>0</v>
      </c>
      <c r="G34" s="8">
        <f>D34/3</f>
        <v>0</v>
      </c>
      <c r="H34" s="8">
        <f>D34/3</f>
        <v>0</v>
      </c>
      <c r="I34" t="s">
        <v>42</v>
      </c>
      <c r="J34" s="5"/>
      <c r="L34" s="3"/>
      <c r="N34" s="8">
        <f t="shared" si="0"/>
        <v>0</v>
      </c>
      <c r="O34" t="s">
        <v>64</v>
      </c>
      <c r="P34" s="19">
        <f t="shared" si="1"/>
        <v>0</v>
      </c>
      <c r="Q34" s="19">
        <f t="shared" si="2"/>
        <v>0</v>
      </c>
      <c r="R34" s="19">
        <f t="shared" si="3"/>
        <v>0</v>
      </c>
    </row>
    <row r="35" spans="1:18" x14ac:dyDescent="0.25">
      <c r="A35" t="s">
        <v>6</v>
      </c>
      <c r="C35" s="3"/>
      <c r="D35" s="4">
        <f>D$2*C35</f>
        <v>0</v>
      </c>
      <c r="E35" t="s">
        <v>65</v>
      </c>
      <c r="F35" s="8">
        <f>D35/3</f>
        <v>0</v>
      </c>
      <c r="G35" s="8">
        <f>D35/3</f>
        <v>0</v>
      </c>
      <c r="H35" s="8">
        <f>D35/3</f>
        <v>0</v>
      </c>
      <c r="J35" s="5"/>
      <c r="L35" s="3"/>
      <c r="N35" s="8">
        <f t="shared" si="0"/>
        <v>0</v>
      </c>
      <c r="O35" t="s">
        <v>64</v>
      </c>
      <c r="P35" s="19">
        <f t="shared" si="1"/>
        <v>0</v>
      </c>
      <c r="Q35" s="19">
        <f t="shared" si="2"/>
        <v>0</v>
      </c>
      <c r="R35" s="19">
        <f t="shared" si="3"/>
        <v>0</v>
      </c>
    </row>
    <row r="36" spans="1:18" x14ac:dyDescent="0.25">
      <c r="C36" s="3"/>
      <c r="D36" s="4"/>
      <c r="F36" s="8"/>
      <c r="G36" s="8"/>
      <c r="H36" s="8"/>
      <c r="J36" s="5"/>
      <c r="L36" s="3"/>
      <c r="N36" s="8">
        <f t="shared" si="0"/>
        <v>0</v>
      </c>
      <c r="O36" t="s">
        <v>64</v>
      </c>
      <c r="P36" s="19">
        <f t="shared" si="1"/>
        <v>0</v>
      </c>
      <c r="Q36" s="19">
        <f t="shared" si="2"/>
        <v>0</v>
      </c>
      <c r="R36" s="19">
        <f t="shared" si="3"/>
        <v>0</v>
      </c>
    </row>
    <row r="37" spans="1:18" x14ac:dyDescent="0.25">
      <c r="A37" t="s">
        <v>0</v>
      </c>
      <c r="B37" t="s">
        <v>71</v>
      </c>
      <c r="C37" s="3">
        <v>1213818</v>
      </c>
      <c r="D37" s="4">
        <f>D$2*C37</f>
        <v>17350314492</v>
      </c>
      <c r="F37" s="8">
        <f t="shared" ref="F37:F42" si="4">D37/3</f>
        <v>5783438164</v>
      </c>
      <c r="G37" s="8">
        <f t="shared" ref="G37:G42" si="5">D37/3</f>
        <v>5783438164</v>
      </c>
      <c r="H37" s="8">
        <f t="shared" ref="H37:H42" si="6">D37/3</f>
        <v>5783438164</v>
      </c>
      <c r="J37" s="5"/>
      <c r="L37" s="3"/>
      <c r="N37" s="8">
        <f t="shared" si="0"/>
        <v>0</v>
      </c>
      <c r="O37" t="s">
        <v>64</v>
      </c>
      <c r="P37" s="19">
        <f t="shared" si="1"/>
        <v>0</v>
      </c>
      <c r="Q37" s="19">
        <f t="shared" si="2"/>
        <v>0</v>
      </c>
      <c r="R37" s="19">
        <f t="shared" si="3"/>
        <v>0</v>
      </c>
    </row>
    <row r="38" spans="1:18" x14ac:dyDescent="0.25">
      <c r="A38" t="s">
        <v>12</v>
      </c>
      <c r="B38" t="s">
        <v>48</v>
      </c>
      <c r="C38" s="3">
        <v>-12034</v>
      </c>
      <c r="D38" s="4">
        <f>E2*C38</f>
        <v>-194491462.22</v>
      </c>
      <c r="E38" t="s">
        <v>65</v>
      </c>
      <c r="F38" s="8">
        <f t="shared" si="4"/>
        <v>-64830487.406666666</v>
      </c>
      <c r="G38" s="8">
        <f t="shared" si="5"/>
        <v>-64830487.406666666</v>
      </c>
      <c r="H38" s="8">
        <f t="shared" si="6"/>
        <v>-64830487.406666666</v>
      </c>
      <c r="J38" s="5"/>
      <c r="L38" s="3"/>
      <c r="N38" s="8">
        <f t="shared" si="0"/>
        <v>0</v>
      </c>
      <c r="O38" t="s">
        <v>64</v>
      </c>
      <c r="P38" s="19">
        <f t="shared" si="1"/>
        <v>0</v>
      </c>
      <c r="Q38" s="19">
        <f t="shared" si="2"/>
        <v>0</v>
      </c>
      <c r="R38" s="19">
        <f t="shared" si="3"/>
        <v>0</v>
      </c>
    </row>
    <row r="39" spans="1:18" x14ac:dyDescent="0.25">
      <c r="A39" t="s">
        <v>20</v>
      </c>
      <c r="B39" t="s">
        <v>48</v>
      </c>
      <c r="C39" s="3">
        <v>0</v>
      </c>
      <c r="D39" s="4">
        <f>F2*C39</f>
        <v>0</v>
      </c>
      <c r="E39" t="s">
        <v>65</v>
      </c>
      <c r="F39" s="8">
        <f t="shared" si="4"/>
        <v>0</v>
      </c>
      <c r="G39" s="8">
        <f t="shared" si="5"/>
        <v>0</v>
      </c>
      <c r="H39" s="8">
        <f t="shared" si="6"/>
        <v>0</v>
      </c>
      <c r="J39" s="5"/>
      <c r="L39" s="3"/>
      <c r="N39" s="8">
        <f t="shared" si="0"/>
        <v>0</v>
      </c>
      <c r="O39" t="s">
        <v>64</v>
      </c>
      <c r="P39" s="19">
        <f t="shared" si="1"/>
        <v>0</v>
      </c>
      <c r="Q39" s="19">
        <f t="shared" si="2"/>
        <v>0</v>
      </c>
      <c r="R39" s="19">
        <f t="shared" si="3"/>
        <v>0</v>
      </c>
    </row>
    <row r="40" spans="1:18" x14ac:dyDescent="0.25">
      <c r="A40" t="s">
        <v>52</v>
      </c>
      <c r="B40" t="s">
        <v>48</v>
      </c>
      <c r="C40" s="3">
        <v>0</v>
      </c>
      <c r="D40" s="4">
        <f>G2*C40</f>
        <v>0</v>
      </c>
      <c r="E40" t="s">
        <v>65</v>
      </c>
      <c r="F40" s="8">
        <f t="shared" si="4"/>
        <v>0</v>
      </c>
      <c r="G40" s="8">
        <f t="shared" si="5"/>
        <v>0</v>
      </c>
      <c r="H40" s="8">
        <f t="shared" si="6"/>
        <v>0</v>
      </c>
      <c r="J40" s="5"/>
      <c r="L40" s="3"/>
      <c r="N40" s="20">
        <f t="shared" si="0"/>
        <v>0</v>
      </c>
      <c r="O40" t="s">
        <v>64</v>
      </c>
      <c r="P40" s="21">
        <f t="shared" si="1"/>
        <v>0</v>
      </c>
      <c r="Q40" s="21">
        <f t="shared" si="2"/>
        <v>0</v>
      </c>
      <c r="R40" s="21">
        <f t="shared" si="3"/>
        <v>0</v>
      </c>
    </row>
    <row r="41" spans="1:18" x14ac:dyDescent="0.25">
      <c r="A41" t="s">
        <v>14</v>
      </c>
      <c r="B41" t="s">
        <v>48</v>
      </c>
      <c r="C41" s="3">
        <v>0</v>
      </c>
      <c r="D41" s="4">
        <f>H2*C41</f>
        <v>0</v>
      </c>
      <c r="E41" t="s">
        <v>65</v>
      </c>
      <c r="F41" s="8">
        <f t="shared" si="4"/>
        <v>0</v>
      </c>
      <c r="G41" s="8">
        <f t="shared" si="5"/>
        <v>0</v>
      </c>
      <c r="H41" s="8">
        <f t="shared" si="6"/>
        <v>0</v>
      </c>
      <c r="N41" s="8">
        <f>SUM(N7:N40)</f>
        <v>7165868.0799999991</v>
      </c>
      <c r="P41" s="4">
        <f t="shared" si="1"/>
        <v>2388622.6933333329</v>
      </c>
      <c r="Q41" s="4">
        <f t="shared" si="2"/>
        <v>2388622.6933333329</v>
      </c>
      <c r="R41" s="4">
        <f t="shared" si="3"/>
        <v>2388622.6933333329</v>
      </c>
    </row>
    <row r="42" spans="1:18" x14ac:dyDescent="0.25">
      <c r="A42" t="s">
        <v>6</v>
      </c>
      <c r="B42" t="s">
        <v>81</v>
      </c>
      <c r="C42" s="3">
        <v>670000</v>
      </c>
      <c r="D42" s="4">
        <f>D$2*C42</f>
        <v>9576980000</v>
      </c>
      <c r="E42" t="s">
        <v>65</v>
      </c>
      <c r="F42" s="8">
        <f t="shared" si="4"/>
        <v>3192326666.6666665</v>
      </c>
      <c r="G42" s="8">
        <f t="shared" si="5"/>
        <v>3192326666.6666665</v>
      </c>
      <c r="H42" s="8">
        <f t="shared" si="6"/>
        <v>3192326666.6666665</v>
      </c>
      <c r="P42" s="4"/>
      <c r="Q42" s="4"/>
      <c r="R42" s="4"/>
    </row>
    <row r="43" spans="1:18" x14ac:dyDescent="0.25">
      <c r="C43" s="3"/>
      <c r="D43" s="4"/>
      <c r="F43" s="8"/>
      <c r="G43" s="8"/>
      <c r="H43" s="8"/>
      <c r="I43" s="17">
        <f>H44-I23</f>
        <v>10663944407.260002</v>
      </c>
      <c r="J43" s="10" t="s">
        <v>7</v>
      </c>
      <c r="L43" s="3"/>
      <c r="M43" s="3"/>
      <c r="N43" s="3"/>
      <c r="P43" s="4">
        <f>N43/3</f>
        <v>0</v>
      </c>
      <c r="Q43" s="4">
        <f>N43/3</f>
        <v>0</v>
      </c>
      <c r="R43" s="4">
        <f>N43/3</f>
        <v>0</v>
      </c>
    </row>
    <row r="44" spans="1:18" x14ac:dyDescent="0.25">
      <c r="C44" s="3"/>
      <c r="D44" s="4">
        <f>SUM(D7:D42)</f>
        <v>55110032209.779999</v>
      </c>
      <c r="E44" s="6">
        <f>D44-E48</f>
        <v>31991833221.779999</v>
      </c>
      <c r="F44" s="8">
        <f>SUM(F8:F42)</f>
        <v>22223043901.260002</v>
      </c>
      <c r="G44" s="8">
        <f>SUM(G8:G42)</f>
        <v>10663944407.26</v>
      </c>
      <c r="H44" s="8">
        <f>SUM(H8:H42)</f>
        <v>22223043901.260002</v>
      </c>
      <c r="J44" s="5">
        <v>44197</v>
      </c>
      <c r="L44" s="3">
        <v>0</v>
      </c>
      <c r="M44" s="3"/>
      <c r="N44" s="8">
        <f>(L44-M44)*$H$2</f>
        <v>0</v>
      </c>
      <c r="O44" t="s">
        <v>64</v>
      </c>
      <c r="P44" s="4">
        <f>N44/3</f>
        <v>0</v>
      </c>
      <c r="Q44" s="4">
        <f>N44/3</f>
        <v>0</v>
      </c>
      <c r="R44" s="4">
        <f>N44/3</f>
        <v>0</v>
      </c>
    </row>
    <row r="45" spans="1:18" x14ac:dyDescent="0.25">
      <c r="J45" s="5"/>
      <c r="L45" s="3"/>
      <c r="M45" s="3"/>
      <c r="N45" s="20">
        <f>(L45-M45)*14856</f>
        <v>0</v>
      </c>
      <c r="O45" t="s">
        <v>64</v>
      </c>
      <c r="P45" s="21">
        <f>N45/3</f>
        <v>0</v>
      </c>
      <c r="Q45" s="21">
        <f>N45/3</f>
        <v>0</v>
      </c>
      <c r="R45" s="21">
        <f>N45/3</f>
        <v>0</v>
      </c>
    </row>
    <row r="46" spans="1:18" x14ac:dyDescent="0.25">
      <c r="L46" s="3"/>
      <c r="M46" s="3"/>
      <c r="N46" s="8">
        <f>SUM(N44:N45)</f>
        <v>0</v>
      </c>
      <c r="P46" s="4">
        <f>N46/3</f>
        <v>0</v>
      </c>
      <c r="Q46" s="4">
        <f>N46/3</f>
        <v>0</v>
      </c>
      <c r="R46" s="4">
        <f>N46/3</f>
        <v>0</v>
      </c>
    </row>
    <row r="47" spans="1:18" x14ac:dyDescent="0.25">
      <c r="E47" s="18" t="s">
        <v>85</v>
      </c>
      <c r="L47" s="3"/>
      <c r="M47" s="3"/>
      <c r="N47" s="3"/>
      <c r="P47" s="4"/>
      <c r="Q47" s="4"/>
      <c r="R47" s="4"/>
    </row>
    <row r="48" spans="1:18" x14ac:dyDescent="0.25">
      <c r="A48" s="5"/>
      <c r="C48" s="3"/>
      <c r="E48" s="6">
        <f>SUM(D15:D23)</f>
        <v>23118198988</v>
      </c>
      <c r="J48" s="10" t="s">
        <v>72</v>
      </c>
      <c r="L48" s="3"/>
      <c r="M48" s="3" t="s">
        <v>73</v>
      </c>
      <c r="N48" s="3"/>
      <c r="P48" s="4"/>
      <c r="Q48" s="4"/>
      <c r="R48" s="4"/>
    </row>
    <row r="49" spans="1:18" x14ac:dyDescent="0.25">
      <c r="A49" s="5"/>
      <c r="C49" s="3"/>
      <c r="E49" s="6"/>
      <c r="J49" s="5"/>
      <c r="L49" s="3"/>
      <c r="M49" s="3">
        <v>0</v>
      </c>
      <c r="N49" s="8">
        <f>(L49-M49)*H2</f>
        <v>0</v>
      </c>
      <c r="O49" t="s">
        <v>64</v>
      </c>
      <c r="P49" s="4">
        <f t="shared" ref="P49:P56" si="7">N49/3</f>
        <v>0</v>
      </c>
      <c r="Q49" s="4">
        <f t="shared" ref="Q49:Q56" si="8">N49/3</f>
        <v>0</v>
      </c>
      <c r="R49" s="4">
        <f t="shared" ref="R49:R56" si="9">N49/3</f>
        <v>0</v>
      </c>
    </row>
    <row r="50" spans="1:18" x14ac:dyDescent="0.25">
      <c r="A50" s="5"/>
      <c r="C50" s="3"/>
      <c r="E50" s="6"/>
      <c r="J50" s="5">
        <v>44253</v>
      </c>
      <c r="K50" t="s">
        <v>75</v>
      </c>
      <c r="L50" s="3">
        <v>51</v>
      </c>
      <c r="M50" s="3">
        <v>-15.3</v>
      </c>
      <c r="N50" s="8">
        <f>(L50+M50)*$D$2</f>
        <v>510295.80000000005</v>
      </c>
      <c r="O50" t="s">
        <v>64</v>
      </c>
      <c r="P50" s="4">
        <f t="shared" si="7"/>
        <v>170098.6</v>
      </c>
      <c r="Q50" s="4">
        <f t="shared" si="8"/>
        <v>170098.6</v>
      </c>
      <c r="R50" s="4">
        <f t="shared" si="9"/>
        <v>170098.6</v>
      </c>
    </row>
    <row r="51" spans="1:18" x14ac:dyDescent="0.25">
      <c r="A51" s="5"/>
      <c r="C51" s="3"/>
      <c r="E51" s="6"/>
      <c r="J51" s="5">
        <v>44370</v>
      </c>
      <c r="K51" t="s">
        <v>96</v>
      </c>
      <c r="L51" s="3">
        <v>800</v>
      </c>
      <c r="M51" s="3"/>
      <c r="N51" s="8">
        <f>(L51+M51)*G$2</f>
        <v>1466000</v>
      </c>
      <c r="O51" t="s">
        <v>64</v>
      </c>
      <c r="P51" s="4">
        <f t="shared" si="7"/>
        <v>488666.66666666669</v>
      </c>
      <c r="Q51" s="4">
        <f t="shared" si="8"/>
        <v>488666.66666666669</v>
      </c>
      <c r="R51" s="4">
        <f t="shared" si="9"/>
        <v>488666.66666666669</v>
      </c>
    </row>
    <row r="52" spans="1:18" x14ac:dyDescent="0.25">
      <c r="A52" s="5"/>
      <c r="C52" s="3"/>
      <c r="E52" s="6"/>
      <c r="J52" s="5">
        <v>44344</v>
      </c>
      <c r="K52" t="s">
        <v>75</v>
      </c>
      <c r="L52" s="3">
        <v>51</v>
      </c>
      <c r="M52">
        <v>-15.3</v>
      </c>
      <c r="N52" s="8">
        <f>(L52+M52)*D2</f>
        <v>510295.80000000005</v>
      </c>
      <c r="O52" t="s">
        <v>64</v>
      </c>
      <c r="P52" s="4">
        <f t="shared" si="7"/>
        <v>170098.6</v>
      </c>
      <c r="Q52" s="4">
        <f t="shared" si="8"/>
        <v>170098.6</v>
      </c>
      <c r="R52" s="4">
        <f t="shared" si="9"/>
        <v>170098.6</v>
      </c>
    </row>
    <row r="53" spans="1:18" x14ac:dyDescent="0.25">
      <c r="A53" s="5"/>
      <c r="C53" s="3"/>
      <c r="E53" s="6"/>
      <c r="J53" s="5">
        <v>44435</v>
      </c>
      <c r="K53" t="s">
        <v>75</v>
      </c>
      <c r="L53" s="3">
        <v>51</v>
      </c>
      <c r="M53">
        <v>-15.3</v>
      </c>
      <c r="N53" s="8">
        <f>(L53+M53)*$D$2</f>
        <v>510295.80000000005</v>
      </c>
      <c r="O53" t="s">
        <v>64</v>
      </c>
      <c r="P53" s="4">
        <f t="shared" si="7"/>
        <v>170098.6</v>
      </c>
      <c r="Q53" s="4">
        <f t="shared" si="8"/>
        <v>170098.6</v>
      </c>
      <c r="R53" s="4">
        <f t="shared" si="9"/>
        <v>170098.6</v>
      </c>
    </row>
    <row r="54" spans="1:18" x14ac:dyDescent="0.25">
      <c r="A54" s="5"/>
      <c r="C54" s="3"/>
      <c r="E54" s="6"/>
      <c r="J54" s="5">
        <v>44463</v>
      </c>
      <c r="K54" t="s">
        <v>96</v>
      </c>
      <c r="L54" s="3">
        <v>800</v>
      </c>
      <c r="N54" s="8">
        <f>(L54+M54)*G2</f>
        <v>1466000</v>
      </c>
      <c r="O54" t="s">
        <v>64</v>
      </c>
      <c r="P54" s="4">
        <f t="shared" si="7"/>
        <v>488666.66666666669</v>
      </c>
      <c r="Q54" s="4">
        <f t="shared" si="8"/>
        <v>488666.66666666669</v>
      </c>
      <c r="R54" s="4">
        <f t="shared" si="9"/>
        <v>488666.66666666669</v>
      </c>
    </row>
    <row r="55" spans="1:18" x14ac:dyDescent="0.25">
      <c r="A55" s="5"/>
      <c r="C55" s="3"/>
      <c r="E55" s="6"/>
      <c r="J55" s="5">
        <v>44524</v>
      </c>
      <c r="K55" t="s">
        <v>75</v>
      </c>
      <c r="L55" s="3">
        <v>51</v>
      </c>
      <c r="M55">
        <v>-15.3</v>
      </c>
      <c r="N55" s="20">
        <f>(L55+M55)*$D$2</f>
        <v>510295.80000000005</v>
      </c>
      <c r="O55" t="s">
        <v>64</v>
      </c>
      <c r="P55" s="21">
        <f t="shared" si="7"/>
        <v>170098.6</v>
      </c>
      <c r="Q55" s="21">
        <f t="shared" si="8"/>
        <v>170098.6</v>
      </c>
      <c r="R55" s="21">
        <f t="shared" si="9"/>
        <v>170098.6</v>
      </c>
    </row>
    <row r="56" spans="1:18" x14ac:dyDescent="0.25">
      <c r="A56" s="5"/>
      <c r="C56" s="3"/>
      <c r="E56" s="6"/>
      <c r="L56" s="3"/>
      <c r="M56" s="8">
        <f>SUM(M49:M55)</f>
        <v>-61.2</v>
      </c>
      <c r="N56" s="8">
        <f>SUM(N49:N55)</f>
        <v>4973183.2</v>
      </c>
      <c r="P56" s="4">
        <f t="shared" si="7"/>
        <v>1657727.7333333334</v>
      </c>
      <c r="Q56" s="4">
        <f t="shared" si="8"/>
        <v>1657727.7333333334</v>
      </c>
      <c r="R56" s="4">
        <f t="shared" si="9"/>
        <v>1657727.7333333334</v>
      </c>
    </row>
    <row r="57" spans="1:18" x14ac:dyDescent="0.25">
      <c r="A57" s="5"/>
      <c r="C57" s="3"/>
      <c r="E57" s="6"/>
      <c r="L57" s="3"/>
      <c r="M57" s="3"/>
      <c r="N57" s="3"/>
      <c r="P57" s="4"/>
      <c r="Q57" s="4"/>
      <c r="R57" s="4"/>
    </row>
    <row r="58" spans="1:18" x14ac:dyDescent="0.25">
      <c r="A58" s="5"/>
      <c r="C58" s="3"/>
      <c r="E58" s="6"/>
      <c r="J58" s="10" t="s">
        <v>78</v>
      </c>
      <c r="K58" s="10" t="s">
        <v>79</v>
      </c>
      <c r="L58" s="3"/>
      <c r="M58" s="3" t="s">
        <v>73</v>
      </c>
      <c r="N58" s="3"/>
      <c r="P58" s="4"/>
      <c r="Q58" s="4"/>
      <c r="R58" s="4"/>
    </row>
    <row r="59" spans="1:18" x14ac:dyDescent="0.25">
      <c r="A59" s="5"/>
      <c r="C59" s="3"/>
      <c r="E59" s="6"/>
      <c r="J59" s="5">
        <v>44197</v>
      </c>
      <c r="K59" t="s">
        <v>37</v>
      </c>
      <c r="L59" s="3">
        <v>0</v>
      </c>
      <c r="M59" s="3"/>
      <c r="N59" s="8">
        <f t="shared" ref="N59:N64" si="10">(L59-M59)*$D$2</f>
        <v>0</v>
      </c>
      <c r="O59" t="s">
        <v>64</v>
      </c>
      <c r="P59" s="4">
        <f t="shared" ref="P59:P65" si="11">N59/3</f>
        <v>0</v>
      </c>
      <c r="Q59" s="4">
        <f t="shared" ref="Q59:Q65" si="12">N59/3</f>
        <v>0</v>
      </c>
      <c r="R59" s="4">
        <f t="shared" ref="R59:R65" si="13">N59/3</f>
        <v>0</v>
      </c>
    </row>
    <row r="60" spans="1:18" x14ac:dyDescent="0.25">
      <c r="A60" s="5"/>
      <c r="C60" s="3"/>
      <c r="E60" s="6"/>
      <c r="J60" s="5">
        <v>44198</v>
      </c>
      <c r="L60" s="3">
        <v>0</v>
      </c>
      <c r="M60" s="3"/>
      <c r="N60" s="8">
        <f t="shared" si="10"/>
        <v>0</v>
      </c>
      <c r="O60" t="s">
        <v>64</v>
      </c>
      <c r="P60" s="4">
        <f t="shared" si="11"/>
        <v>0</v>
      </c>
      <c r="Q60" s="4">
        <f t="shared" si="12"/>
        <v>0</v>
      </c>
      <c r="R60" s="4">
        <f t="shared" si="13"/>
        <v>0</v>
      </c>
    </row>
    <row r="61" spans="1:18" x14ac:dyDescent="0.25">
      <c r="A61" s="5"/>
      <c r="C61" s="3"/>
      <c r="E61" s="6"/>
      <c r="J61" s="5">
        <v>44199</v>
      </c>
      <c r="L61" s="3"/>
      <c r="M61" s="3"/>
      <c r="N61" s="8">
        <f t="shared" si="10"/>
        <v>0</v>
      </c>
      <c r="O61" t="s">
        <v>64</v>
      </c>
      <c r="P61" s="19">
        <f t="shared" si="11"/>
        <v>0</v>
      </c>
      <c r="Q61" s="19">
        <f t="shared" si="12"/>
        <v>0</v>
      </c>
      <c r="R61" s="19">
        <f t="shared" si="13"/>
        <v>0</v>
      </c>
    </row>
    <row r="62" spans="1:18" x14ac:dyDescent="0.25">
      <c r="A62" s="5"/>
      <c r="C62" s="3"/>
      <c r="E62" s="6"/>
      <c r="J62" s="5">
        <v>44200</v>
      </c>
      <c r="K62" t="s">
        <v>37</v>
      </c>
      <c r="L62" s="3">
        <v>0</v>
      </c>
      <c r="N62" s="8">
        <f t="shared" si="10"/>
        <v>0</v>
      </c>
      <c r="O62" t="s">
        <v>64</v>
      </c>
      <c r="P62" s="19">
        <f t="shared" si="11"/>
        <v>0</v>
      </c>
      <c r="Q62" s="19">
        <f t="shared" si="12"/>
        <v>0</v>
      </c>
      <c r="R62" s="19">
        <f t="shared" si="13"/>
        <v>0</v>
      </c>
    </row>
    <row r="63" spans="1:18" x14ac:dyDescent="0.25">
      <c r="A63" s="5"/>
      <c r="C63" s="3"/>
      <c r="E63" s="6"/>
      <c r="J63" s="5"/>
      <c r="L63" s="3"/>
      <c r="M63" s="3"/>
      <c r="N63" s="8">
        <f t="shared" si="10"/>
        <v>0</v>
      </c>
      <c r="O63" t="s">
        <v>64</v>
      </c>
      <c r="P63" s="19">
        <f t="shared" si="11"/>
        <v>0</v>
      </c>
      <c r="Q63" s="19">
        <f t="shared" si="12"/>
        <v>0</v>
      </c>
      <c r="R63" s="19">
        <f t="shared" si="13"/>
        <v>0</v>
      </c>
    </row>
    <row r="64" spans="1:18" x14ac:dyDescent="0.25">
      <c r="A64" s="5"/>
      <c r="C64" s="3"/>
      <c r="E64" s="6"/>
      <c r="J64" s="5"/>
      <c r="L64" s="3"/>
      <c r="M64" s="3"/>
      <c r="N64" s="20">
        <f t="shared" si="10"/>
        <v>0</v>
      </c>
      <c r="O64" t="s">
        <v>64</v>
      </c>
      <c r="P64" s="19">
        <f t="shared" si="11"/>
        <v>0</v>
      </c>
      <c r="Q64" s="19">
        <f t="shared" si="12"/>
        <v>0</v>
      </c>
      <c r="R64" s="19">
        <f t="shared" si="13"/>
        <v>0</v>
      </c>
    </row>
    <row r="65" spans="1:18" x14ac:dyDescent="0.25">
      <c r="A65" s="5"/>
      <c r="C65" s="3"/>
      <c r="E65" s="6"/>
      <c r="N65" s="4">
        <f>SUM(N59:N64)</f>
        <v>0</v>
      </c>
      <c r="P65" s="4">
        <f t="shared" si="11"/>
        <v>0</v>
      </c>
      <c r="Q65" s="4">
        <f t="shared" si="12"/>
        <v>0</v>
      </c>
      <c r="R65" s="4">
        <f t="shared" si="13"/>
        <v>0</v>
      </c>
    </row>
    <row r="66" spans="1:18" x14ac:dyDescent="0.25">
      <c r="A66" s="7"/>
      <c r="C66" s="3"/>
      <c r="E66" s="6"/>
      <c r="N66" s="4"/>
      <c r="P66" s="4"/>
      <c r="Q66" s="4"/>
      <c r="R66" s="4"/>
    </row>
    <row r="67" spans="1:18" x14ac:dyDescent="0.25">
      <c r="A67" s="7"/>
      <c r="C67" s="3"/>
      <c r="E67" s="16"/>
      <c r="J67" s="10" t="s">
        <v>78</v>
      </c>
      <c r="K67" s="10" t="s">
        <v>79</v>
      </c>
      <c r="N67" s="4"/>
      <c r="P67" s="4"/>
      <c r="Q67" s="4"/>
      <c r="R67" s="4"/>
    </row>
    <row r="68" spans="1:18" x14ac:dyDescent="0.25">
      <c r="J68" s="5">
        <v>44204</v>
      </c>
      <c r="K68" t="s">
        <v>97</v>
      </c>
      <c r="L68" s="3">
        <v>590</v>
      </c>
      <c r="M68" s="3"/>
      <c r="N68" s="8">
        <f>(L68-M68)*$D$2</f>
        <v>8433460</v>
      </c>
      <c r="O68" t="s">
        <v>83</v>
      </c>
      <c r="P68" s="4">
        <f t="shared" ref="P68:P85" si="14">N68/2</f>
        <v>4216730</v>
      </c>
      <c r="Q68" s="4"/>
      <c r="R68" s="4">
        <f t="shared" ref="R68:R86" si="15">N68/2</f>
        <v>4216730</v>
      </c>
    </row>
    <row r="69" spans="1:18" x14ac:dyDescent="0.25">
      <c r="J69" s="5">
        <v>44232</v>
      </c>
      <c r="K69" t="s">
        <v>97</v>
      </c>
      <c r="L69" s="3">
        <v>590</v>
      </c>
      <c r="M69" s="3"/>
      <c r="N69" s="8">
        <f>(L69-M69)*$D$2</f>
        <v>8433460</v>
      </c>
      <c r="O69" t="s">
        <v>83</v>
      </c>
      <c r="P69" s="4">
        <f t="shared" si="14"/>
        <v>4216730</v>
      </c>
      <c r="Q69" s="4"/>
      <c r="R69" s="4">
        <f t="shared" si="15"/>
        <v>4216730</v>
      </c>
    </row>
    <row r="70" spans="1:18" x14ac:dyDescent="0.25">
      <c r="J70" s="5">
        <v>44285</v>
      </c>
      <c r="K70" t="s">
        <v>84</v>
      </c>
      <c r="L70" s="3">
        <v>7625</v>
      </c>
      <c r="M70" s="3"/>
      <c r="N70" s="8">
        <f>(L70-M70)*$D$2</f>
        <v>108991750</v>
      </c>
      <c r="O70" t="s">
        <v>83</v>
      </c>
      <c r="P70" s="4">
        <f t="shared" si="14"/>
        <v>54495875</v>
      </c>
      <c r="Q70" s="4"/>
      <c r="R70" s="4">
        <f t="shared" si="15"/>
        <v>54495875</v>
      </c>
    </row>
    <row r="71" spans="1:18" x14ac:dyDescent="0.25">
      <c r="J71" s="5">
        <v>44260</v>
      </c>
      <c r="K71" t="s">
        <v>97</v>
      </c>
      <c r="L71" s="3">
        <v>613.32000000000005</v>
      </c>
      <c r="M71" s="3"/>
      <c r="N71" s="8">
        <f t="shared" ref="N71:N79" si="16">(L71+M71)*$D$2</f>
        <v>8766796.0800000001</v>
      </c>
      <c r="O71" t="s">
        <v>83</v>
      </c>
      <c r="P71" s="4">
        <f t="shared" si="14"/>
        <v>4383398.04</v>
      </c>
      <c r="Q71" s="4"/>
      <c r="R71" s="4">
        <f t="shared" si="15"/>
        <v>4383398.04</v>
      </c>
    </row>
    <row r="72" spans="1:18" x14ac:dyDescent="0.25">
      <c r="J72" s="5">
        <v>44295</v>
      </c>
      <c r="K72" t="s">
        <v>97</v>
      </c>
      <c r="L72" s="3">
        <v>613.32000000000005</v>
      </c>
      <c r="M72" s="3"/>
      <c r="N72" s="8">
        <f t="shared" si="16"/>
        <v>8766796.0800000001</v>
      </c>
      <c r="O72" t="s">
        <v>83</v>
      </c>
      <c r="P72" s="4">
        <f t="shared" si="14"/>
        <v>4383398.04</v>
      </c>
      <c r="Q72" s="4"/>
      <c r="R72" s="4">
        <f t="shared" si="15"/>
        <v>4383398.04</v>
      </c>
    </row>
    <row r="73" spans="1:18" x14ac:dyDescent="0.25">
      <c r="J73" s="5">
        <v>44323</v>
      </c>
      <c r="K73" t="s">
        <v>97</v>
      </c>
      <c r="L73" s="3">
        <v>613.32000000000005</v>
      </c>
      <c r="M73" s="3"/>
      <c r="N73" s="8">
        <f t="shared" si="16"/>
        <v>8766796.0800000001</v>
      </c>
      <c r="O73" t="s">
        <v>83</v>
      </c>
      <c r="P73" s="4">
        <f t="shared" si="14"/>
        <v>4383398.04</v>
      </c>
      <c r="Q73" s="4"/>
      <c r="R73" s="4">
        <f t="shared" si="15"/>
        <v>4383398.04</v>
      </c>
    </row>
    <row r="74" spans="1:18" x14ac:dyDescent="0.25">
      <c r="J74" s="5">
        <v>44354</v>
      </c>
      <c r="K74" t="s">
        <v>97</v>
      </c>
      <c r="L74" s="3">
        <v>563.32000000000005</v>
      </c>
      <c r="M74" s="3"/>
      <c r="N74" s="8">
        <f t="shared" si="16"/>
        <v>8052096.080000001</v>
      </c>
      <c r="O74" t="s">
        <v>83</v>
      </c>
      <c r="P74" s="4">
        <f t="shared" si="14"/>
        <v>4026048.0400000005</v>
      </c>
      <c r="Q74" s="4"/>
      <c r="R74" s="4">
        <f t="shared" si="15"/>
        <v>4026048.0400000005</v>
      </c>
    </row>
    <row r="75" spans="1:18" x14ac:dyDescent="0.25">
      <c r="J75" s="5">
        <v>44386</v>
      </c>
      <c r="K75" t="s">
        <v>97</v>
      </c>
      <c r="L75" s="3">
        <v>563.32000000000005</v>
      </c>
      <c r="M75" s="3"/>
      <c r="N75" s="8">
        <f t="shared" si="16"/>
        <v>8052096.080000001</v>
      </c>
      <c r="O75" t="s">
        <v>83</v>
      </c>
      <c r="P75" s="4">
        <f t="shared" si="14"/>
        <v>4026048.0400000005</v>
      </c>
      <c r="Q75" s="4"/>
      <c r="R75" s="4">
        <f t="shared" si="15"/>
        <v>4026048.0400000005</v>
      </c>
    </row>
    <row r="76" spans="1:18" x14ac:dyDescent="0.25">
      <c r="J76" s="5">
        <v>44414</v>
      </c>
      <c r="K76" t="s">
        <v>97</v>
      </c>
      <c r="L76" s="3">
        <v>563.32000000000005</v>
      </c>
      <c r="M76" s="3"/>
      <c r="N76" s="8">
        <f t="shared" si="16"/>
        <v>8052096.080000001</v>
      </c>
      <c r="O76" t="s">
        <v>83</v>
      </c>
      <c r="P76" s="4">
        <f t="shared" si="14"/>
        <v>4026048.0400000005</v>
      </c>
      <c r="Q76" s="4"/>
      <c r="R76" s="4">
        <f t="shared" si="15"/>
        <v>4026048.0400000005</v>
      </c>
    </row>
    <row r="77" spans="1:18" x14ac:dyDescent="0.25">
      <c r="J77" s="5">
        <v>44447</v>
      </c>
      <c r="K77" t="s">
        <v>97</v>
      </c>
      <c r="L77" s="3">
        <v>576.67999999999995</v>
      </c>
      <c r="M77" s="3"/>
      <c r="N77" s="8">
        <f t="shared" si="16"/>
        <v>8243063.919999999</v>
      </c>
      <c r="O77" t="s">
        <v>83</v>
      </c>
      <c r="P77" s="4">
        <f t="shared" si="14"/>
        <v>4121531.9599999995</v>
      </c>
      <c r="Q77" s="4"/>
      <c r="R77" s="4">
        <f t="shared" si="15"/>
        <v>4121531.9599999995</v>
      </c>
    </row>
    <row r="78" spans="1:18" x14ac:dyDescent="0.25">
      <c r="J78" s="5">
        <v>44476</v>
      </c>
      <c r="K78" t="s">
        <v>97</v>
      </c>
      <c r="L78" s="3">
        <v>576.67999999999995</v>
      </c>
      <c r="M78" s="3"/>
      <c r="N78" s="8">
        <f t="shared" si="16"/>
        <v>8243063.919999999</v>
      </c>
      <c r="O78" t="s">
        <v>83</v>
      </c>
      <c r="P78" s="4">
        <f t="shared" si="14"/>
        <v>4121531.9599999995</v>
      </c>
      <c r="Q78" s="4"/>
      <c r="R78" s="4">
        <f t="shared" si="15"/>
        <v>4121531.9599999995</v>
      </c>
    </row>
    <row r="79" spans="1:18" x14ac:dyDescent="0.25">
      <c r="J79" s="5">
        <v>44508</v>
      </c>
      <c r="K79" t="s">
        <v>97</v>
      </c>
      <c r="L79" s="3">
        <v>576.67999999999995</v>
      </c>
      <c r="M79" s="3"/>
      <c r="N79" s="8">
        <f t="shared" si="16"/>
        <v>8243063.919999999</v>
      </c>
      <c r="O79" t="s">
        <v>83</v>
      </c>
      <c r="P79" s="4">
        <f t="shared" si="14"/>
        <v>4121531.9599999995</v>
      </c>
      <c r="Q79" s="4"/>
      <c r="R79" s="4">
        <f t="shared" si="15"/>
        <v>4121531.9599999995</v>
      </c>
    </row>
    <row r="80" spans="1:18" x14ac:dyDescent="0.25">
      <c r="J80" s="5">
        <v>44537</v>
      </c>
      <c r="K80" t="s">
        <v>97</v>
      </c>
      <c r="L80" s="3">
        <v>550</v>
      </c>
      <c r="M80" s="3"/>
      <c r="N80" s="8">
        <f>(L80-M80)*$D$2</f>
        <v>7861700</v>
      </c>
      <c r="O80" t="s">
        <v>83</v>
      </c>
      <c r="P80" s="4">
        <f t="shared" si="14"/>
        <v>3930850</v>
      </c>
      <c r="R80" s="4">
        <f t="shared" si="15"/>
        <v>3930850</v>
      </c>
    </row>
    <row r="81" spans="10:19" x14ac:dyDescent="0.25">
      <c r="J81" s="5">
        <v>43859</v>
      </c>
      <c r="K81" t="s">
        <v>87</v>
      </c>
      <c r="L81" s="3">
        <v>8500</v>
      </c>
      <c r="M81" s="3"/>
      <c r="N81" s="8">
        <f>(L81-M81)*$D$2</f>
        <v>121499000</v>
      </c>
      <c r="O81" t="s">
        <v>83</v>
      </c>
      <c r="P81" s="4">
        <f t="shared" si="14"/>
        <v>60749500</v>
      </c>
      <c r="R81" s="4">
        <f t="shared" si="15"/>
        <v>60749500</v>
      </c>
    </row>
    <row r="82" spans="10:19" x14ac:dyDescent="0.25">
      <c r="J82" s="5">
        <v>44405</v>
      </c>
      <c r="K82" t="s">
        <v>87</v>
      </c>
      <c r="L82" s="3">
        <v>8500</v>
      </c>
      <c r="M82" s="3"/>
      <c r="N82" s="8">
        <f>(L82-M82)*$D$2</f>
        <v>121499000</v>
      </c>
      <c r="O82" t="s">
        <v>83</v>
      </c>
      <c r="P82" s="4">
        <f t="shared" si="14"/>
        <v>60749500</v>
      </c>
      <c r="R82" s="4">
        <f t="shared" si="15"/>
        <v>60749500</v>
      </c>
    </row>
    <row r="83" spans="10:19" x14ac:dyDescent="0.25">
      <c r="J83" s="5">
        <v>44319</v>
      </c>
      <c r="K83" t="s">
        <v>88</v>
      </c>
      <c r="L83" s="3">
        <v>4875</v>
      </c>
      <c r="N83" s="8">
        <f>(L83-M83)*$D$2</f>
        <v>69683250</v>
      </c>
      <c r="O83" t="s">
        <v>83</v>
      </c>
      <c r="P83" s="4">
        <f t="shared" si="14"/>
        <v>34841625</v>
      </c>
      <c r="Q83" s="4"/>
      <c r="R83" s="4">
        <f t="shared" si="15"/>
        <v>34841625</v>
      </c>
    </row>
    <row r="84" spans="10:19" x14ac:dyDescent="0.25">
      <c r="J84" s="5">
        <v>44503</v>
      </c>
      <c r="K84" t="s">
        <v>88</v>
      </c>
      <c r="L84" s="3">
        <v>4875</v>
      </c>
      <c r="M84" s="3"/>
      <c r="N84" s="8">
        <f>(L84-M84)*$D$2</f>
        <v>69683250</v>
      </c>
      <c r="O84" t="s">
        <v>83</v>
      </c>
      <c r="P84" s="4">
        <f t="shared" si="14"/>
        <v>34841625</v>
      </c>
      <c r="Q84" s="4"/>
      <c r="R84" s="4">
        <f t="shared" si="15"/>
        <v>34841625</v>
      </c>
    </row>
    <row r="85" spans="10:19" x14ac:dyDescent="0.25">
      <c r="J85" s="5">
        <v>44543</v>
      </c>
      <c r="K85" t="s">
        <v>89</v>
      </c>
      <c r="L85" s="3">
        <v>15500</v>
      </c>
      <c r="M85" s="3">
        <v>4030</v>
      </c>
      <c r="N85" s="8">
        <f>(L85-M85)*E2</f>
        <v>185376190.09999999</v>
      </c>
      <c r="O85" t="s">
        <v>83</v>
      </c>
      <c r="P85" s="4">
        <f t="shared" si="14"/>
        <v>92688095.049999997</v>
      </c>
      <c r="R85" s="4">
        <f t="shared" si="15"/>
        <v>92688095.049999997</v>
      </c>
      <c r="S85" t="s">
        <v>90</v>
      </c>
    </row>
    <row r="86" spans="10:19" x14ac:dyDescent="0.25">
      <c r="M86" s="4">
        <f>M85*E2</f>
        <v>65132174.899999999</v>
      </c>
      <c r="N86" s="4">
        <f>SUM(N68:N85)</f>
        <v>776646928.34000003</v>
      </c>
      <c r="P86" s="4">
        <f>SUM(P68:P85)</f>
        <v>388323464.17000002</v>
      </c>
      <c r="Q86" s="4"/>
      <c r="R86" s="4">
        <f t="shared" si="15"/>
        <v>388323464.17000002</v>
      </c>
    </row>
    <row r="87" spans="10:19" x14ac:dyDescent="0.25">
      <c r="N87" s="4"/>
      <c r="P87" s="4"/>
      <c r="Q87" s="4"/>
      <c r="R87" s="4"/>
    </row>
    <row r="88" spans="10:19" x14ac:dyDescent="0.25">
      <c r="N88" s="4">
        <f>N41+N46+N56+N65+N86</f>
        <v>788785979.62</v>
      </c>
      <c r="P88" s="4">
        <f>P41+P46+P56+P65+P86</f>
        <v>392369814.59666669</v>
      </c>
      <c r="Q88" s="4">
        <f>Q41+Q46+Q56+Q65</f>
        <v>4046350.4266666663</v>
      </c>
      <c r="R88" s="4">
        <f>P88</f>
        <v>392369814.59666669</v>
      </c>
    </row>
    <row r="111" spans="9:9" x14ac:dyDescent="0.25">
      <c r="I111" t="s">
        <v>12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4"/>
  <sheetViews>
    <sheetView zoomScale="86" zoomScaleNormal="86" workbookViewId="0">
      <selection activeCell="E44" sqref="E44"/>
    </sheetView>
  </sheetViews>
  <sheetFormatPr defaultColWidth="10.625" defaultRowHeight="15.75" x14ac:dyDescent="0.25"/>
  <cols>
    <col min="2" max="2" width="31.75" customWidth="1"/>
    <col min="3" max="3" width="12.125" customWidth="1"/>
    <col min="4" max="4" width="15" customWidth="1"/>
    <col min="5" max="5" width="17.625" customWidth="1"/>
    <col min="6" max="7" width="15.125" customWidth="1"/>
    <col min="8" max="8" width="16.375" customWidth="1"/>
    <col min="9" max="9" width="15.875" customWidth="1"/>
    <col min="13" max="13" width="12.125" customWidth="1"/>
    <col min="14" max="14" width="16.125" customWidth="1"/>
    <col min="16" max="18" width="12.5" customWidth="1"/>
  </cols>
  <sheetData>
    <row r="1" spans="1:1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8" x14ac:dyDescent="0.25">
      <c r="D2" s="1">
        <v>14001</v>
      </c>
      <c r="E2" s="1">
        <v>15581.99</v>
      </c>
      <c r="F2" s="1">
        <v>18360.91</v>
      </c>
      <c r="G2" s="1">
        <v>1796.72</v>
      </c>
      <c r="H2" s="1">
        <v>10332.08</v>
      </c>
      <c r="I2" s="9">
        <v>127.92</v>
      </c>
    </row>
    <row r="3" spans="1:18" x14ac:dyDescent="0.25">
      <c r="D3" s="1">
        <v>14001</v>
      </c>
      <c r="E3" s="1">
        <v>15581.99</v>
      </c>
      <c r="F3" s="1">
        <v>18360.91</v>
      </c>
      <c r="G3" s="1">
        <v>1796.72</v>
      </c>
      <c r="H3" s="1">
        <v>10332.08</v>
      </c>
      <c r="I3" s="9">
        <v>127.917</v>
      </c>
    </row>
    <row r="6" spans="1:18" x14ac:dyDescent="0.25">
      <c r="F6" s="10" t="s">
        <v>55</v>
      </c>
      <c r="G6" s="10" t="s">
        <v>56</v>
      </c>
      <c r="H6" s="10" t="s">
        <v>57</v>
      </c>
      <c r="J6" s="11" t="s">
        <v>58</v>
      </c>
      <c r="K6" s="12"/>
      <c r="L6" s="12" t="s">
        <v>59</v>
      </c>
      <c r="M6" s="12"/>
      <c r="N6" s="12" t="s">
        <v>60</v>
      </c>
      <c r="P6" s="10" t="s">
        <v>55</v>
      </c>
      <c r="Q6" s="10" t="s">
        <v>56</v>
      </c>
      <c r="R6" s="10" t="s">
        <v>57</v>
      </c>
    </row>
    <row r="7" spans="1:18" x14ac:dyDescent="0.25">
      <c r="C7" s="13" t="s">
        <v>61</v>
      </c>
      <c r="D7" s="14" t="s">
        <v>62</v>
      </c>
      <c r="J7" s="5">
        <v>43466</v>
      </c>
      <c r="K7" t="s">
        <v>63</v>
      </c>
      <c r="L7" s="3">
        <v>39.49</v>
      </c>
      <c r="M7" s="3"/>
      <c r="N7" s="8">
        <f t="shared" ref="N7:N40" si="0">(L7-M7)*$D$2</f>
        <v>552899.49</v>
      </c>
      <c r="O7" t="s">
        <v>64</v>
      </c>
      <c r="P7" s="4">
        <f t="shared" ref="P7:P41" si="1">N7/3</f>
        <v>184299.83</v>
      </c>
      <c r="Q7" s="4">
        <f t="shared" ref="Q7:Q41" si="2">N7/3</f>
        <v>184299.83</v>
      </c>
      <c r="R7" s="4">
        <f t="shared" ref="R7:R41" si="3">N7/3</f>
        <v>184299.83</v>
      </c>
    </row>
    <row r="8" spans="1:18" x14ac:dyDescent="0.25">
      <c r="A8" t="s">
        <v>6</v>
      </c>
      <c r="B8" t="s">
        <v>9</v>
      </c>
      <c r="C8" s="3">
        <v>7989</v>
      </c>
      <c r="D8" s="4">
        <f>D$2*C8</f>
        <v>111853989</v>
      </c>
      <c r="E8" t="s">
        <v>65</v>
      </c>
      <c r="F8" s="8">
        <f>D8/3</f>
        <v>37284663</v>
      </c>
      <c r="G8" s="8">
        <f>D8/3</f>
        <v>37284663</v>
      </c>
      <c r="H8" s="8">
        <f>D8/3</f>
        <v>37284663</v>
      </c>
      <c r="J8" s="5">
        <v>43475</v>
      </c>
      <c r="K8" t="s">
        <v>98</v>
      </c>
      <c r="L8" s="3">
        <v>139.9</v>
      </c>
      <c r="M8" s="3"/>
      <c r="N8" s="8">
        <f t="shared" si="0"/>
        <v>1958739.9000000001</v>
      </c>
      <c r="O8" t="s">
        <v>64</v>
      </c>
      <c r="P8" s="4">
        <f t="shared" si="1"/>
        <v>652913.30000000005</v>
      </c>
      <c r="Q8" s="4">
        <f t="shared" si="2"/>
        <v>652913.30000000005</v>
      </c>
      <c r="R8" s="4">
        <f t="shared" si="3"/>
        <v>652913.30000000005</v>
      </c>
    </row>
    <row r="9" spans="1:18" x14ac:dyDescent="0.25">
      <c r="A9" t="s">
        <v>17</v>
      </c>
      <c r="B9" t="s">
        <v>91</v>
      </c>
      <c r="C9" s="3">
        <v>579904</v>
      </c>
      <c r="D9" s="4">
        <f>G2*C9</f>
        <v>1041925114.88</v>
      </c>
      <c r="E9" t="s">
        <v>65</v>
      </c>
      <c r="F9" s="8">
        <f>D9/3</f>
        <v>347308371.62666667</v>
      </c>
      <c r="G9" s="8">
        <f>D9/3</f>
        <v>347308371.62666667</v>
      </c>
      <c r="H9" s="8">
        <f>D9/3</f>
        <v>347308371.62666667</v>
      </c>
      <c r="J9" s="5">
        <v>43475</v>
      </c>
      <c r="K9" t="s">
        <v>99</v>
      </c>
      <c r="L9" s="3">
        <v>69.72</v>
      </c>
      <c r="M9" s="3"/>
      <c r="N9" s="8">
        <f t="shared" si="0"/>
        <v>976149.72</v>
      </c>
      <c r="O9" t="s">
        <v>64</v>
      </c>
      <c r="P9" s="4">
        <f t="shared" si="1"/>
        <v>325383.24</v>
      </c>
      <c r="Q9" s="4">
        <f t="shared" si="2"/>
        <v>325383.24</v>
      </c>
      <c r="R9" s="4">
        <f t="shared" si="3"/>
        <v>325383.24</v>
      </c>
    </row>
    <row r="10" spans="1:18" x14ac:dyDescent="0.25">
      <c r="A10" t="s">
        <v>17</v>
      </c>
      <c r="B10" t="s">
        <v>71</v>
      </c>
      <c r="C10" s="3">
        <v>12199.43</v>
      </c>
      <c r="D10" s="4">
        <f>G2*C10</f>
        <v>21918959.869600002</v>
      </c>
      <c r="E10" t="s">
        <v>65</v>
      </c>
      <c r="F10" s="8">
        <f>D10/3</f>
        <v>7306319.9565333342</v>
      </c>
      <c r="G10" s="8">
        <f>D10/3</f>
        <v>7306319.9565333342</v>
      </c>
      <c r="H10" s="8">
        <f>D10/3</f>
        <v>7306319.9565333342</v>
      </c>
      <c r="J10" s="5">
        <v>43497</v>
      </c>
      <c r="K10" t="s">
        <v>63</v>
      </c>
      <c r="L10" s="3">
        <v>51.55</v>
      </c>
      <c r="M10" s="3"/>
      <c r="N10" s="8">
        <f t="shared" si="0"/>
        <v>721751.54999999993</v>
      </c>
      <c r="O10" t="s">
        <v>64</v>
      </c>
      <c r="P10" s="4">
        <f t="shared" si="1"/>
        <v>240583.84999999998</v>
      </c>
      <c r="Q10" s="4">
        <f t="shared" si="2"/>
        <v>240583.84999999998</v>
      </c>
      <c r="R10" s="4">
        <f t="shared" si="3"/>
        <v>240583.84999999998</v>
      </c>
    </row>
    <row r="11" spans="1:18" x14ac:dyDescent="0.25">
      <c r="A11" t="s">
        <v>6</v>
      </c>
      <c r="B11" t="s">
        <v>66</v>
      </c>
      <c r="C11" s="3">
        <v>226695.85</v>
      </c>
      <c r="D11" s="4">
        <f>D$2*C11</f>
        <v>3173968595.8499999</v>
      </c>
      <c r="E11" t="s">
        <v>65</v>
      </c>
      <c r="F11" s="8">
        <f>D11/3</f>
        <v>1057989531.9499999</v>
      </c>
      <c r="G11" s="8">
        <f>D11/3</f>
        <v>1057989531.9499999</v>
      </c>
      <c r="H11" s="8">
        <f>D11/3</f>
        <v>1057989531.9499999</v>
      </c>
      <c r="J11" s="5">
        <v>43510</v>
      </c>
      <c r="K11" t="s">
        <v>98</v>
      </c>
      <c r="L11" s="3">
        <v>141.41</v>
      </c>
      <c r="M11" s="3"/>
      <c r="N11" s="8">
        <f t="shared" si="0"/>
        <v>1979881.41</v>
      </c>
      <c r="O11" t="s">
        <v>64</v>
      </c>
      <c r="P11" s="4">
        <f t="shared" si="1"/>
        <v>659960.47</v>
      </c>
      <c r="Q11" s="4">
        <f t="shared" si="2"/>
        <v>659960.47</v>
      </c>
      <c r="R11" s="4">
        <f t="shared" si="3"/>
        <v>659960.47</v>
      </c>
    </row>
    <row r="12" spans="1:18" x14ac:dyDescent="0.25">
      <c r="A12" t="s">
        <v>6</v>
      </c>
      <c r="B12" t="s">
        <v>67</v>
      </c>
      <c r="C12" s="3">
        <v>231719.78</v>
      </c>
      <c r="D12" s="4">
        <f>D$2*C12</f>
        <v>3244308639.7800002</v>
      </c>
      <c r="E12" t="s">
        <v>65</v>
      </c>
      <c r="F12" s="8">
        <f>D12/3</f>
        <v>1081436213.26</v>
      </c>
      <c r="G12" s="8">
        <f>D12/3</f>
        <v>1081436213.26</v>
      </c>
      <c r="H12" s="8">
        <f>D12/3</f>
        <v>1081436213.26</v>
      </c>
      <c r="J12" s="5">
        <v>43510</v>
      </c>
      <c r="K12" t="s">
        <v>99</v>
      </c>
      <c r="L12" s="3">
        <v>69.89</v>
      </c>
      <c r="M12" s="3"/>
      <c r="N12" s="8">
        <f t="shared" si="0"/>
        <v>978529.89</v>
      </c>
      <c r="O12" t="s">
        <v>64</v>
      </c>
      <c r="P12" s="4">
        <f t="shared" si="1"/>
        <v>326176.63</v>
      </c>
      <c r="Q12" s="4">
        <f t="shared" si="2"/>
        <v>326176.63</v>
      </c>
      <c r="R12" s="4">
        <f t="shared" si="3"/>
        <v>326176.63</v>
      </c>
    </row>
    <row r="13" spans="1:18" x14ac:dyDescent="0.25">
      <c r="C13" s="3"/>
      <c r="D13" s="4">
        <f>D$2*C13</f>
        <v>0</v>
      </c>
      <c r="F13" s="8"/>
      <c r="G13" s="8"/>
      <c r="H13" s="8"/>
      <c r="J13" s="5">
        <v>43525</v>
      </c>
      <c r="K13" t="s">
        <v>63</v>
      </c>
      <c r="L13" s="3">
        <v>3.62</v>
      </c>
      <c r="M13" s="3"/>
      <c r="N13" s="8">
        <f t="shared" si="0"/>
        <v>50683.62</v>
      </c>
      <c r="O13" t="s">
        <v>64</v>
      </c>
      <c r="P13" s="19">
        <f t="shared" si="1"/>
        <v>16894.54</v>
      </c>
      <c r="Q13" s="19">
        <f t="shared" si="2"/>
        <v>16894.54</v>
      </c>
      <c r="R13" s="19">
        <f t="shared" si="3"/>
        <v>16894.54</v>
      </c>
    </row>
    <row r="14" spans="1:18" x14ac:dyDescent="0.25">
      <c r="C14" s="3"/>
      <c r="D14" s="4"/>
      <c r="F14" s="8"/>
      <c r="G14" s="8"/>
      <c r="H14" s="8"/>
      <c r="J14" s="5">
        <v>43536</v>
      </c>
      <c r="K14" t="s">
        <v>98</v>
      </c>
      <c r="L14" s="3">
        <v>129.05000000000001</v>
      </c>
      <c r="M14" s="3"/>
      <c r="N14" s="8">
        <f t="shared" si="0"/>
        <v>1806829.05</v>
      </c>
      <c r="O14" t="s">
        <v>64</v>
      </c>
      <c r="P14" s="19">
        <f t="shared" si="1"/>
        <v>602276.35</v>
      </c>
      <c r="Q14" s="19">
        <f t="shared" si="2"/>
        <v>602276.35</v>
      </c>
      <c r="R14" s="19">
        <f t="shared" si="3"/>
        <v>602276.35</v>
      </c>
    </row>
    <row r="15" spans="1:18" x14ac:dyDescent="0.25">
      <c r="A15" t="s">
        <v>12</v>
      </c>
      <c r="B15" t="s">
        <v>25</v>
      </c>
      <c r="C15" s="3">
        <v>240750</v>
      </c>
      <c r="D15" s="4">
        <f>E2*C15</f>
        <v>3751364092.5</v>
      </c>
      <c r="E15" t="s">
        <v>68</v>
      </c>
      <c r="F15" s="8">
        <f>D15/2</f>
        <v>1875682046.25</v>
      </c>
      <c r="G15" s="8"/>
      <c r="H15" s="8">
        <f>D15/2</f>
        <v>1875682046.25</v>
      </c>
      <c r="J15" s="5">
        <v>43536</v>
      </c>
      <c r="K15" t="s">
        <v>99</v>
      </c>
      <c r="L15" s="3">
        <v>63.47</v>
      </c>
      <c r="N15" s="8">
        <f t="shared" si="0"/>
        <v>888643.47</v>
      </c>
      <c r="O15" t="s">
        <v>64</v>
      </c>
      <c r="P15" s="19">
        <f t="shared" si="1"/>
        <v>296214.49</v>
      </c>
      <c r="Q15" s="19">
        <f t="shared" si="2"/>
        <v>296214.49</v>
      </c>
      <c r="R15" s="19">
        <f t="shared" si="3"/>
        <v>296214.49</v>
      </c>
    </row>
    <row r="16" spans="1:18" x14ac:dyDescent="0.25">
      <c r="A16" t="s">
        <v>6</v>
      </c>
      <c r="B16" t="s">
        <v>27</v>
      </c>
      <c r="C16" s="3">
        <v>201750</v>
      </c>
      <c r="D16" s="4">
        <f>D$2*C16</f>
        <v>2824701750</v>
      </c>
      <c r="E16" t="s">
        <v>68</v>
      </c>
      <c r="F16" s="8">
        <f>D16/2</f>
        <v>1412350875</v>
      </c>
      <c r="G16" s="8"/>
      <c r="H16" s="8">
        <f>D16/2</f>
        <v>1412350875</v>
      </c>
      <c r="J16" s="5">
        <v>43556</v>
      </c>
      <c r="K16" t="s">
        <v>63</v>
      </c>
      <c r="L16" s="3">
        <v>0.3</v>
      </c>
      <c r="N16" s="8">
        <f t="shared" si="0"/>
        <v>4200.3</v>
      </c>
      <c r="O16" t="s">
        <v>64</v>
      </c>
      <c r="P16" s="19">
        <f t="shared" si="1"/>
        <v>1400.1000000000001</v>
      </c>
      <c r="Q16" s="19">
        <f t="shared" si="2"/>
        <v>1400.1000000000001</v>
      </c>
      <c r="R16" s="19">
        <f t="shared" si="3"/>
        <v>1400.1000000000001</v>
      </c>
    </row>
    <row r="17" spans="1:18" x14ac:dyDescent="0.25">
      <c r="C17" s="3"/>
      <c r="D17" s="4"/>
      <c r="F17" s="8"/>
      <c r="G17" s="8"/>
      <c r="H17" s="8"/>
      <c r="J17" s="5">
        <v>43573</v>
      </c>
      <c r="K17" t="s">
        <v>98</v>
      </c>
      <c r="L17" s="3">
        <v>145.52000000000001</v>
      </c>
      <c r="N17" s="8">
        <f t="shared" si="0"/>
        <v>2037425.5200000003</v>
      </c>
      <c r="O17" t="s">
        <v>64</v>
      </c>
      <c r="P17" s="19">
        <f t="shared" si="1"/>
        <v>679141.84000000008</v>
      </c>
      <c r="Q17" s="19">
        <f t="shared" si="2"/>
        <v>679141.84000000008</v>
      </c>
      <c r="R17" s="19">
        <f t="shared" si="3"/>
        <v>679141.84000000008</v>
      </c>
    </row>
    <row r="18" spans="1:18" x14ac:dyDescent="0.25">
      <c r="A18" t="s">
        <v>6</v>
      </c>
      <c r="B18" t="s">
        <v>29</v>
      </c>
      <c r="C18" s="3">
        <v>210850</v>
      </c>
      <c r="D18" s="4">
        <f>D$2*C18</f>
        <v>2952110850</v>
      </c>
      <c r="E18" t="s">
        <v>68</v>
      </c>
      <c r="F18" s="8">
        <f>D18/2</f>
        <v>1476055425</v>
      </c>
      <c r="G18" s="8"/>
      <c r="H18" s="8">
        <f>D18/2</f>
        <v>1476055425</v>
      </c>
      <c r="J18" s="5">
        <v>43573</v>
      </c>
      <c r="K18" t="s">
        <v>99</v>
      </c>
      <c r="L18" s="3">
        <v>70.900000000000006</v>
      </c>
      <c r="N18" s="8">
        <f t="shared" si="0"/>
        <v>992670.9</v>
      </c>
      <c r="O18" t="s">
        <v>64</v>
      </c>
      <c r="P18" s="19">
        <f t="shared" si="1"/>
        <v>330890.3</v>
      </c>
      <c r="Q18" s="19">
        <f t="shared" si="2"/>
        <v>330890.3</v>
      </c>
      <c r="R18" s="19">
        <f t="shared" si="3"/>
        <v>330890.3</v>
      </c>
    </row>
    <row r="19" spans="1:18" x14ac:dyDescent="0.25">
      <c r="A19" t="s">
        <v>6</v>
      </c>
      <c r="B19" t="s">
        <v>94</v>
      </c>
      <c r="C19" s="3">
        <v>388724</v>
      </c>
      <c r="D19" s="4">
        <f>D$2*C19</f>
        <v>5442524724</v>
      </c>
      <c r="E19" t="s">
        <v>68</v>
      </c>
      <c r="F19" s="8">
        <f>D19/2</f>
        <v>2721262362</v>
      </c>
      <c r="G19" s="8"/>
      <c r="H19" s="8">
        <f>D19/2</f>
        <v>2721262362</v>
      </c>
      <c r="J19" s="5">
        <v>43587</v>
      </c>
      <c r="K19" t="s">
        <v>63</v>
      </c>
      <c r="L19" s="3">
        <v>0.38</v>
      </c>
      <c r="N19" s="8">
        <f t="shared" si="0"/>
        <v>5320.38</v>
      </c>
      <c r="O19" t="s">
        <v>64</v>
      </c>
      <c r="P19" s="19">
        <f t="shared" si="1"/>
        <v>1773.46</v>
      </c>
      <c r="Q19" s="19">
        <f t="shared" si="2"/>
        <v>1773.46</v>
      </c>
      <c r="R19" s="19">
        <f t="shared" si="3"/>
        <v>1773.46</v>
      </c>
    </row>
    <row r="20" spans="1:18" x14ac:dyDescent="0.25">
      <c r="A20" t="s">
        <v>6</v>
      </c>
      <c r="B20" t="s">
        <v>33</v>
      </c>
      <c r="C20" s="3">
        <v>399500</v>
      </c>
      <c r="D20" s="4">
        <f>D$2*C20</f>
        <v>5593399500</v>
      </c>
      <c r="E20" t="s">
        <v>68</v>
      </c>
      <c r="F20" s="8">
        <f>D20/2</f>
        <v>2796699750</v>
      </c>
      <c r="G20" s="8"/>
      <c r="H20" s="8">
        <f>D20/2</f>
        <v>2796699750</v>
      </c>
      <c r="J20" s="5">
        <v>43586</v>
      </c>
      <c r="K20" t="s">
        <v>63</v>
      </c>
      <c r="L20" s="3">
        <v>60.48</v>
      </c>
      <c r="N20" s="8">
        <f t="shared" si="0"/>
        <v>846780.48</v>
      </c>
      <c r="O20" t="s">
        <v>64</v>
      </c>
      <c r="P20" s="19">
        <f t="shared" si="1"/>
        <v>282260.15999999997</v>
      </c>
      <c r="Q20" s="19">
        <f t="shared" si="2"/>
        <v>282260.15999999997</v>
      </c>
      <c r="R20" s="19">
        <f t="shared" si="3"/>
        <v>282260.15999999997</v>
      </c>
    </row>
    <row r="21" spans="1:18" x14ac:dyDescent="0.25">
      <c r="C21" s="3"/>
      <c r="D21" s="4"/>
      <c r="F21" s="8"/>
      <c r="G21" s="8"/>
      <c r="H21" s="8"/>
      <c r="J21" s="5">
        <v>43613</v>
      </c>
      <c r="K21" t="s">
        <v>98</v>
      </c>
      <c r="L21" s="3">
        <v>142.72</v>
      </c>
      <c r="N21" s="8">
        <f t="shared" si="0"/>
        <v>1998222.72</v>
      </c>
      <c r="O21" t="s">
        <v>64</v>
      </c>
      <c r="P21" s="19">
        <f t="shared" si="1"/>
        <v>666074.24</v>
      </c>
      <c r="Q21" s="19">
        <f t="shared" si="2"/>
        <v>666074.24</v>
      </c>
      <c r="R21" s="19">
        <f t="shared" si="3"/>
        <v>666074.24</v>
      </c>
    </row>
    <row r="22" spans="1:18" x14ac:dyDescent="0.25">
      <c r="A22" t="s">
        <v>6</v>
      </c>
      <c r="B22" t="s">
        <v>34</v>
      </c>
      <c r="C22" s="3">
        <v>211535</v>
      </c>
      <c r="D22" s="4">
        <f>D$2*C22</f>
        <v>2961701535</v>
      </c>
      <c r="E22" t="s">
        <v>68</v>
      </c>
      <c r="F22" s="8">
        <f>D22/2</f>
        <v>1480850767.5</v>
      </c>
      <c r="G22" s="8"/>
      <c r="H22" s="8">
        <f>D22/2</f>
        <v>1480850767.5</v>
      </c>
      <c r="J22" s="5">
        <v>43613</v>
      </c>
      <c r="K22" t="s">
        <v>99</v>
      </c>
      <c r="L22" s="3">
        <v>69.33</v>
      </c>
      <c r="N22" s="8">
        <f t="shared" si="0"/>
        <v>970689.33</v>
      </c>
      <c r="O22" t="s">
        <v>64</v>
      </c>
      <c r="P22" s="19">
        <f t="shared" si="1"/>
        <v>323563.11</v>
      </c>
      <c r="Q22" s="19">
        <f t="shared" si="2"/>
        <v>323563.11</v>
      </c>
      <c r="R22" s="19">
        <f t="shared" si="3"/>
        <v>323563.11</v>
      </c>
    </row>
    <row r="23" spans="1:18" x14ac:dyDescent="0.25">
      <c r="A23" t="s">
        <v>0</v>
      </c>
      <c r="B23" t="s">
        <v>100</v>
      </c>
      <c r="C23" s="3">
        <v>12644.63</v>
      </c>
      <c r="D23" s="4">
        <f>D$2*C23</f>
        <v>177037464.63</v>
      </c>
      <c r="E23" t="s">
        <v>68</v>
      </c>
      <c r="F23" s="8">
        <f>D23/2</f>
        <v>88518732.314999998</v>
      </c>
      <c r="G23" s="8"/>
      <c r="H23" s="8">
        <f>D23/2</f>
        <v>88518732.314999998</v>
      </c>
      <c r="I23" s="17">
        <f>SUM(H15:H23)</f>
        <v>11851419958.065001</v>
      </c>
      <c r="J23" s="5">
        <v>43617</v>
      </c>
      <c r="K23" t="s">
        <v>63</v>
      </c>
      <c r="L23" s="3">
        <v>0.8</v>
      </c>
      <c r="N23" s="8">
        <f t="shared" si="0"/>
        <v>11200.800000000001</v>
      </c>
      <c r="O23" t="s">
        <v>64</v>
      </c>
      <c r="P23" s="19">
        <f t="shared" si="1"/>
        <v>3733.6000000000004</v>
      </c>
      <c r="Q23" s="19">
        <f t="shared" si="2"/>
        <v>3733.6000000000004</v>
      </c>
      <c r="R23" s="19">
        <f t="shared" si="3"/>
        <v>3733.6000000000004</v>
      </c>
    </row>
    <row r="24" spans="1:18" x14ac:dyDescent="0.25">
      <c r="F24" s="8"/>
      <c r="G24" s="8"/>
      <c r="H24" s="8"/>
      <c r="J24" s="5">
        <v>43617</v>
      </c>
      <c r="K24" t="s">
        <v>63</v>
      </c>
      <c r="L24" s="3">
        <v>19.77</v>
      </c>
      <c r="N24" s="8">
        <f t="shared" si="0"/>
        <v>276799.77</v>
      </c>
      <c r="O24" t="s">
        <v>64</v>
      </c>
      <c r="P24" s="19">
        <f t="shared" si="1"/>
        <v>92266.590000000011</v>
      </c>
      <c r="Q24" s="19">
        <f t="shared" si="2"/>
        <v>92266.590000000011</v>
      </c>
      <c r="R24" s="19">
        <f t="shared" si="3"/>
        <v>92266.590000000011</v>
      </c>
    </row>
    <row r="25" spans="1:18" x14ac:dyDescent="0.25">
      <c r="F25" s="8"/>
      <c r="G25" s="8"/>
      <c r="H25" s="8"/>
      <c r="J25" s="5">
        <v>43633</v>
      </c>
      <c r="K25" t="s">
        <v>98</v>
      </c>
      <c r="L25" s="3">
        <v>146.33000000000001</v>
      </c>
      <c r="N25" s="8">
        <f t="shared" si="0"/>
        <v>2048766.33</v>
      </c>
      <c r="O25" t="s">
        <v>64</v>
      </c>
      <c r="P25" s="19">
        <f t="shared" si="1"/>
        <v>682922.11</v>
      </c>
      <c r="Q25" s="19">
        <f t="shared" si="2"/>
        <v>682922.11</v>
      </c>
      <c r="R25" s="19">
        <f t="shared" si="3"/>
        <v>682922.11</v>
      </c>
    </row>
    <row r="26" spans="1:18" x14ac:dyDescent="0.25">
      <c r="A26" t="s">
        <v>6</v>
      </c>
      <c r="B26" t="s">
        <v>36</v>
      </c>
      <c r="C26" s="3">
        <v>100237</v>
      </c>
      <c r="D26" s="4">
        <f>D$2*C26</f>
        <v>1403418237</v>
      </c>
      <c r="E26" t="s">
        <v>65</v>
      </c>
      <c r="F26" s="8">
        <f>D26/3</f>
        <v>467806079</v>
      </c>
      <c r="G26" s="8">
        <f>D26/3</f>
        <v>467806079</v>
      </c>
      <c r="H26" s="8">
        <f>D26/3</f>
        <v>467806079</v>
      </c>
      <c r="J26" s="5">
        <v>43633</v>
      </c>
      <c r="K26" t="s">
        <v>99</v>
      </c>
      <c r="L26" s="3">
        <v>72.209999999999994</v>
      </c>
      <c r="N26" s="8">
        <f t="shared" si="0"/>
        <v>1011012.21</v>
      </c>
      <c r="O26" t="s">
        <v>64</v>
      </c>
      <c r="P26" s="19">
        <f t="shared" si="1"/>
        <v>337004.07</v>
      </c>
      <c r="Q26" s="19">
        <f t="shared" si="2"/>
        <v>337004.07</v>
      </c>
      <c r="R26" s="19">
        <f t="shared" si="3"/>
        <v>337004.07</v>
      </c>
    </row>
    <row r="27" spans="1:18" x14ac:dyDescent="0.25">
      <c r="A27" t="s">
        <v>6</v>
      </c>
      <c r="B27" t="s">
        <v>37</v>
      </c>
      <c r="C27" s="3">
        <v>198250</v>
      </c>
      <c r="D27" s="4">
        <f>D$2*C27</f>
        <v>2775698250</v>
      </c>
      <c r="E27" t="s">
        <v>65</v>
      </c>
      <c r="F27" s="8">
        <f>D27/3</f>
        <v>925232750</v>
      </c>
      <c r="G27" s="8">
        <f>D27/3</f>
        <v>925232750</v>
      </c>
      <c r="H27" s="8">
        <f>D27/3</f>
        <v>925232750</v>
      </c>
      <c r="J27" s="5">
        <v>43647</v>
      </c>
      <c r="K27" t="s">
        <v>63</v>
      </c>
      <c r="L27" s="3">
        <v>1.22</v>
      </c>
      <c r="N27" s="8">
        <f t="shared" si="0"/>
        <v>17081.22</v>
      </c>
      <c r="O27" t="s">
        <v>64</v>
      </c>
      <c r="P27" s="19">
        <f t="shared" si="1"/>
        <v>5693.7400000000007</v>
      </c>
      <c r="Q27" s="19">
        <f t="shared" si="2"/>
        <v>5693.7400000000007</v>
      </c>
      <c r="R27" s="19">
        <f t="shared" si="3"/>
        <v>5693.7400000000007</v>
      </c>
    </row>
    <row r="28" spans="1:18" x14ac:dyDescent="0.25">
      <c r="C28" s="3"/>
      <c r="D28" s="4">
        <f>D$2*C28</f>
        <v>0</v>
      </c>
      <c r="F28" s="8"/>
      <c r="G28" s="8"/>
      <c r="H28" s="8"/>
      <c r="J28" s="5">
        <v>43647</v>
      </c>
      <c r="K28" t="s">
        <v>63</v>
      </c>
      <c r="L28" s="3">
        <v>20.88</v>
      </c>
      <c r="N28" s="8">
        <f t="shared" si="0"/>
        <v>292340.88</v>
      </c>
      <c r="O28" t="s">
        <v>64</v>
      </c>
      <c r="P28" s="19">
        <f t="shared" si="1"/>
        <v>97446.96</v>
      </c>
      <c r="Q28" s="19">
        <f t="shared" si="2"/>
        <v>97446.96</v>
      </c>
      <c r="R28" s="19">
        <f t="shared" si="3"/>
        <v>97446.96</v>
      </c>
    </row>
    <row r="29" spans="1:18" x14ac:dyDescent="0.25">
      <c r="C29" s="3"/>
      <c r="D29" s="4"/>
      <c r="F29" s="8"/>
      <c r="G29" s="8"/>
      <c r="H29" s="8"/>
      <c r="J29" s="5">
        <v>43656</v>
      </c>
      <c r="K29" t="s">
        <v>98</v>
      </c>
      <c r="L29" s="3">
        <v>141.66</v>
      </c>
      <c r="N29" s="8">
        <f t="shared" si="0"/>
        <v>1983381.66</v>
      </c>
      <c r="O29" t="s">
        <v>64</v>
      </c>
      <c r="P29" s="19">
        <f t="shared" si="1"/>
        <v>661127.22</v>
      </c>
      <c r="Q29" s="19">
        <f t="shared" si="2"/>
        <v>661127.22</v>
      </c>
      <c r="R29" s="19">
        <f t="shared" si="3"/>
        <v>661127.22</v>
      </c>
    </row>
    <row r="30" spans="1:18" x14ac:dyDescent="0.25">
      <c r="A30" t="s">
        <v>6</v>
      </c>
      <c r="B30" t="s">
        <v>41</v>
      </c>
      <c r="C30" s="3">
        <v>202689.79</v>
      </c>
      <c r="D30" s="4">
        <f>D$2*C30</f>
        <v>2837859749.79</v>
      </c>
      <c r="E30" t="s">
        <v>65</v>
      </c>
      <c r="F30" s="8">
        <f>D30/3</f>
        <v>945953249.92999995</v>
      </c>
      <c r="G30" s="8">
        <f>D30/3</f>
        <v>945953249.92999995</v>
      </c>
      <c r="H30" s="8">
        <f>D30/3</f>
        <v>945953249.92999995</v>
      </c>
      <c r="J30" s="5">
        <v>43657</v>
      </c>
      <c r="K30" t="s">
        <v>99</v>
      </c>
      <c r="L30" s="3">
        <v>71.010000000000005</v>
      </c>
      <c r="N30" s="8">
        <f t="shared" si="0"/>
        <v>994211.01000000013</v>
      </c>
      <c r="O30" t="s">
        <v>64</v>
      </c>
      <c r="P30" s="19">
        <f t="shared" si="1"/>
        <v>331403.67000000004</v>
      </c>
      <c r="Q30" s="19">
        <f t="shared" si="2"/>
        <v>331403.67000000004</v>
      </c>
      <c r="R30" s="19">
        <f t="shared" si="3"/>
        <v>331403.67000000004</v>
      </c>
    </row>
    <row r="31" spans="1:18" x14ac:dyDescent="0.25">
      <c r="A31" t="s">
        <v>6</v>
      </c>
      <c r="C31" s="3"/>
      <c r="D31" s="4">
        <f>D$2*C31</f>
        <v>0</v>
      </c>
      <c r="E31" t="s">
        <v>65</v>
      </c>
      <c r="F31" s="8">
        <f>D31/3</f>
        <v>0</v>
      </c>
      <c r="G31" s="8">
        <f>D31/3</f>
        <v>0</v>
      </c>
      <c r="H31" s="8">
        <f>D31/3</f>
        <v>0</v>
      </c>
      <c r="J31" s="5">
        <v>43678</v>
      </c>
      <c r="K31" t="s">
        <v>63</v>
      </c>
      <c r="L31" s="3">
        <v>1.73</v>
      </c>
      <c r="N31" s="8">
        <f t="shared" si="0"/>
        <v>24221.73</v>
      </c>
      <c r="O31" t="s">
        <v>64</v>
      </c>
      <c r="P31" s="19">
        <f t="shared" si="1"/>
        <v>8073.91</v>
      </c>
      <c r="Q31" s="19">
        <f t="shared" si="2"/>
        <v>8073.91</v>
      </c>
      <c r="R31" s="19">
        <f t="shared" si="3"/>
        <v>8073.91</v>
      </c>
    </row>
    <row r="32" spans="1:18" x14ac:dyDescent="0.25">
      <c r="C32" s="3"/>
      <c r="D32" s="4"/>
      <c r="F32" s="8"/>
      <c r="G32" s="8"/>
      <c r="H32" s="8"/>
      <c r="J32" s="5">
        <v>43696</v>
      </c>
      <c r="K32" t="s">
        <v>98</v>
      </c>
      <c r="L32" s="3">
        <v>144.56</v>
      </c>
      <c r="N32" s="8">
        <f t="shared" si="0"/>
        <v>2023984.56</v>
      </c>
      <c r="O32" t="s">
        <v>64</v>
      </c>
      <c r="P32" s="19">
        <f t="shared" si="1"/>
        <v>674661.52</v>
      </c>
      <c r="Q32" s="19">
        <f t="shared" si="2"/>
        <v>674661.52</v>
      </c>
      <c r="R32" s="19">
        <f t="shared" si="3"/>
        <v>674661.52</v>
      </c>
    </row>
    <row r="33" spans="1:18" x14ac:dyDescent="0.25">
      <c r="A33" t="s">
        <v>6</v>
      </c>
      <c r="B33" t="s">
        <v>45</v>
      </c>
      <c r="C33" s="3">
        <v>231471.53</v>
      </c>
      <c r="D33" s="4">
        <f>D$2*C33</f>
        <v>3240832891.5300002</v>
      </c>
      <c r="E33" t="s">
        <v>65</v>
      </c>
      <c r="F33" s="8">
        <f>D33/3</f>
        <v>1080277630.51</v>
      </c>
      <c r="G33" s="8">
        <f>D33/3</f>
        <v>1080277630.51</v>
      </c>
      <c r="H33" s="8">
        <f>D33/3</f>
        <v>1080277630.51</v>
      </c>
      <c r="J33" s="5">
        <v>43696</v>
      </c>
      <c r="K33" t="s">
        <v>99</v>
      </c>
      <c r="L33" s="3">
        <v>16.73</v>
      </c>
      <c r="N33" s="8">
        <f t="shared" si="0"/>
        <v>234236.73</v>
      </c>
      <c r="O33" t="s">
        <v>64</v>
      </c>
      <c r="P33" s="19">
        <f t="shared" si="1"/>
        <v>78078.91</v>
      </c>
      <c r="Q33" s="19">
        <f t="shared" si="2"/>
        <v>78078.91</v>
      </c>
      <c r="R33" s="19">
        <f t="shared" si="3"/>
        <v>78078.91</v>
      </c>
    </row>
    <row r="34" spans="1:18" x14ac:dyDescent="0.25">
      <c r="A34" t="s">
        <v>6</v>
      </c>
      <c r="C34" s="3"/>
      <c r="D34" s="4">
        <f>D$2*C34</f>
        <v>0</v>
      </c>
      <c r="E34" t="s">
        <v>65</v>
      </c>
      <c r="F34" s="8">
        <f>D34/3</f>
        <v>0</v>
      </c>
      <c r="G34" s="8">
        <f>D34/3</f>
        <v>0</v>
      </c>
      <c r="H34" s="8">
        <f>D34/3</f>
        <v>0</v>
      </c>
      <c r="I34" t="s">
        <v>42</v>
      </c>
      <c r="J34" s="5">
        <v>43709</v>
      </c>
      <c r="K34" t="s">
        <v>63</v>
      </c>
      <c r="L34" s="3">
        <v>1.6</v>
      </c>
      <c r="N34" s="8">
        <f t="shared" si="0"/>
        <v>22401.600000000002</v>
      </c>
      <c r="O34" t="s">
        <v>64</v>
      </c>
      <c r="P34" s="19">
        <f t="shared" si="1"/>
        <v>7467.2000000000007</v>
      </c>
      <c r="Q34" s="19">
        <f t="shared" si="2"/>
        <v>7467.2000000000007</v>
      </c>
      <c r="R34" s="19">
        <f t="shared" si="3"/>
        <v>7467.2000000000007</v>
      </c>
    </row>
    <row r="35" spans="1:18" x14ac:dyDescent="0.25">
      <c r="A35" t="s">
        <v>6</v>
      </c>
      <c r="B35" t="s">
        <v>47</v>
      </c>
      <c r="C35" s="3">
        <v>102370.68</v>
      </c>
      <c r="D35" s="4">
        <f>D$2*C35</f>
        <v>1433291890.6799998</v>
      </c>
      <c r="E35" t="s">
        <v>65</v>
      </c>
      <c r="F35" s="8">
        <f>D35/3</f>
        <v>477763963.55999994</v>
      </c>
      <c r="G35" s="8">
        <f>D35/3</f>
        <v>477763963.55999994</v>
      </c>
      <c r="H35" s="8">
        <f>D35/3</f>
        <v>477763963.55999994</v>
      </c>
      <c r="J35" s="5">
        <v>43709</v>
      </c>
      <c r="K35" t="s">
        <v>63</v>
      </c>
      <c r="L35" s="3">
        <v>21.27</v>
      </c>
      <c r="N35" s="8">
        <f t="shared" si="0"/>
        <v>297801.27</v>
      </c>
      <c r="O35" t="s">
        <v>64</v>
      </c>
      <c r="P35" s="19">
        <f t="shared" si="1"/>
        <v>99267.090000000011</v>
      </c>
      <c r="Q35" s="19">
        <f t="shared" si="2"/>
        <v>99267.090000000011</v>
      </c>
      <c r="R35" s="19">
        <f t="shared" si="3"/>
        <v>99267.090000000011</v>
      </c>
    </row>
    <row r="36" spans="1:18" x14ac:dyDescent="0.25">
      <c r="C36" s="3"/>
      <c r="D36" s="4"/>
      <c r="F36" s="8"/>
      <c r="G36" s="8"/>
      <c r="H36" s="8"/>
      <c r="J36" s="5">
        <v>43727</v>
      </c>
      <c r="K36" t="s">
        <v>98</v>
      </c>
      <c r="L36" s="3">
        <v>139.51</v>
      </c>
      <c r="N36" s="8">
        <f t="shared" si="0"/>
        <v>1953279.5099999998</v>
      </c>
      <c r="O36" t="s">
        <v>64</v>
      </c>
      <c r="P36" s="19">
        <f t="shared" si="1"/>
        <v>651093.16999999993</v>
      </c>
      <c r="Q36" s="19">
        <f t="shared" si="2"/>
        <v>651093.16999999993</v>
      </c>
      <c r="R36" s="19">
        <f t="shared" si="3"/>
        <v>651093.16999999993</v>
      </c>
    </row>
    <row r="37" spans="1:18" x14ac:dyDescent="0.25">
      <c r="A37" t="s">
        <v>0</v>
      </c>
      <c r="B37" t="s">
        <v>71</v>
      </c>
      <c r="C37" s="3">
        <f>229898.64+5950</f>
        <v>235848.64</v>
      </c>
      <c r="D37" s="4">
        <f>D$2*C37</f>
        <v>3302116808.6400003</v>
      </c>
      <c r="F37" s="8">
        <f t="shared" ref="F37:F42" si="4">D37/3</f>
        <v>1100705602.8800001</v>
      </c>
      <c r="G37" s="8">
        <f t="shared" ref="G37:G42" si="5">D37/3</f>
        <v>1100705602.8800001</v>
      </c>
      <c r="H37" s="8">
        <f t="shared" ref="H37:H42" si="6">D37/3</f>
        <v>1100705602.8800001</v>
      </c>
      <c r="J37" s="5">
        <v>43739</v>
      </c>
      <c r="K37" t="s">
        <v>63</v>
      </c>
      <c r="L37" s="3">
        <v>1.45</v>
      </c>
      <c r="N37" s="8">
        <f t="shared" si="0"/>
        <v>20301.45</v>
      </c>
      <c r="O37" t="s">
        <v>64</v>
      </c>
      <c r="P37" s="19">
        <f t="shared" si="1"/>
        <v>6767.1500000000005</v>
      </c>
      <c r="Q37" s="19">
        <f t="shared" si="2"/>
        <v>6767.1500000000005</v>
      </c>
      <c r="R37" s="19">
        <f t="shared" si="3"/>
        <v>6767.1500000000005</v>
      </c>
    </row>
    <row r="38" spans="1:18" x14ac:dyDescent="0.25">
      <c r="A38" t="s">
        <v>12</v>
      </c>
      <c r="B38" t="s">
        <v>48</v>
      </c>
      <c r="C38" s="3">
        <v>-34218.1</v>
      </c>
      <c r="D38" s="4">
        <f>E2*C38</f>
        <v>-533186092.01899999</v>
      </c>
      <c r="E38" t="s">
        <v>65</v>
      </c>
      <c r="F38" s="8">
        <f t="shared" si="4"/>
        <v>-177728697.33966666</v>
      </c>
      <c r="G38" s="8">
        <f t="shared" si="5"/>
        <v>-177728697.33966666</v>
      </c>
      <c r="H38" s="8">
        <f t="shared" si="6"/>
        <v>-177728697.33966666</v>
      </c>
      <c r="J38" s="5">
        <v>43739</v>
      </c>
      <c r="K38" t="s">
        <v>63</v>
      </c>
      <c r="L38" s="3">
        <v>16.5</v>
      </c>
      <c r="N38" s="8">
        <f t="shared" si="0"/>
        <v>231016.5</v>
      </c>
      <c r="O38" t="s">
        <v>64</v>
      </c>
      <c r="P38" s="19">
        <f t="shared" si="1"/>
        <v>77005.5</v>
      </c>
      <c r="Q38" s="19">
        <f t="shared" si="2"/>
        <v>77005.5</v>
      </c>
      <c r="R38" s="19">
        <f t="shared" si="3"/>
        <v>77005.5</v>
      </c>
    </row>
    <row r="39" spans="1:18" x14ac:dyDescent="0.25">
      <c r="A39" t="s">
        <v>20</v>
      </c>
      <c r="B39" t="s">
        <v>48</v>
      </c>
      <c r="C39" s="3">
        <v>0</v>
      </c>
      <c r="D39" s="4">
        <f>F2*C39</f>
        <v>0</v>
      </c>
      <c r="E39" t="s">
        <v>65</v>
      </c>
      <c r="F39" s="8">
        <f t="shared" si="4"/>
        <v>0</v>
      </c>
      <c r="G39" s="8">
        <f t="shared" si="5"/>
        <v>0</v>
      </c>
      <c r="H39" s="8">
        <f t="shared" si="6"/>
        <v>0</v>
      </c>
      <c r="J39" s="5">
        <v>43770</v>
      </c>
      <c r="K39" t="s">
        <v>63</v>
      </c>
      <c r="L39" s="3">
        <v>0.84</v>
      </c>
      <c r="N39" s="8">
        <f t="shared" si="0"/>
        <v>11760.84</v>
      </c>
      <c r="O39" t="s">
        <v>64</v>
      </c>
      <c r="P39" s="19">
        <f t="shared" si="1"/>
        <v>3920.28</v>
      </c>
      <c r="Q39" s="19">
        <f t="shared" si="2"/>
        <v>3920.28</v>
      </c>
      <c r="R39" s="19">
        <f t="shared" si="3"/>
        <v>3920.28</v>
      </c>
    </row>
    <row r="40" spans="1:18" x14ac:dyDescent="0.25">
      <c r="A40" t="s">
        <v>52</v>
      </c>
      <c r="B40" t="s">
        <v>48</v>
      </c>
      <c r="C40" s="3">
        <v>0</v>
      </c>
      <c r="D40" s="4">
        <f>G2*C40</f>
        <v>0</v>
      </c>
      <c r="E40" t="s">
        <v>65</v>
      </c>
      <c r="F40" s="8">
        <f t="shared" si="4"/>
        <v>0</v>
      </c>
      <c r="G40" s="8">
        <f t="shared" si="5"/>
        <v>0</v>
      </c>
      <c r="H40" s="8">
        <f t="shared" si="6"/>
        <v>0</v>
      </c>
      <c r="J40" s="5">
        <v>43770</v>
      </c>
      <c r="K40" t="s">
        <v>63</v>
      </c>
      <c r="L40" s="3">
        <v>8.76</v>
      </c>
      <c r="N40" s="20">
        <f t="shared" si="0"/>
        <v>122648.76</v>
      </c>
      <c r="O40" t="s">
        <v>64</v>
      </c>
      <c r="P40" s="21">
        <f t="shared" si="1"/>
        <v>40882.92</v>
      </c>
      <c r="Q40" s="21">
        <f t="shared" si="2"/>
        <v>40882.92</v>
      </c>
      <c r="R40" s="21">
        <f t="shared" si="3"/>
        <v>40882.92</v>
      </c>
    </row>
    <row r="41" spans="1:18" x14ac:dyDescent="0.25">
      <c r="A41" t="s">
        <v>14</v>
      </c>
      <c r="B41" t="s">
        <v>48</v>
      </c>
      <c r="C41" s="3">
        <v>-31726.51</v>
      </c>
      <c r="D41" s="4">
        <f>H2*C41</f>
        <v>-327800839.44079995</v>
      </c>
      <c r="E41" t="s">
        <v>65</v>
      </c>
      <c r="F41" s="8">
        <f t="shared" si="4"/>
        <v>-109266946.48026665</v>
      </c>
      <c r="G41" s="8">
        <f t="shared" si="5"/>
        <v>-109266946.48026665</v>
      </c>
      <c r="H41" s="8">
        <f t="shared" si="6"/>
        <v>-109266946.48026665</v>
      </c>
      <c r="N41" s="8">
        <f>SUM(N7:N40)</f>
        <v>28345864.560000006</v>
      </c>
      <c r="P41" s="4">
        <f t="shared" si="1"/>
        <v>9448621.5200000014</v>
      </c>
      <c r="Q41" s="4">
        <f t="shared" si="2"/>
        <v>9448621.5200000014</v>
      </c>
      <c r="R41" s="4">
        <f t="shared" si="3"/>
        <v>9448621.5200000014</v>
      </c>
    </row>
    <row r="42" spans="1:18" x14ac:dyDescent="0.25">
      <c r="A42" t="s">
        <v>6</v>
      </c>
      <c r="B42" t="s">
        <v>81</v>
      </c>
      <c r="C42" s="3">
        <v>670000</v>
      </c>
      <c r="D42" s="4">
        <f>D$2*C42</f>
        <v>9380670000</v>
      </c>
      <c r="E42" t="s">
        <v>65</v>
      </c>
      <c r="F42" s="8">
        <f t="shared" si="4"/>
        <v>3126890000</v>
      </c>
      <c r="G42" s="8">
        <f t="shared" si="5"/>
        <v>3126890000</v>
      </c>
      <c r="H42" s="8">
        <f t="shared" si="6"/>
        <v>3126890000</v>
      </c>
      <c r="P42" s="4"/>
      <c r="Q42" s="4"/>
      <c r="R42" s="4"/>
    </row>
    <row r="43" spans="1:18" x14ac:dyDescent="0.25">
      <c r="C43" s="3"/>
      <c r="D43" s="4"/>
      <c r="F43" s="8"/>
      <c r="G43" s="8"/>
      <c r="H43" s="8"/>
      <c r="I43" s="17">
        <f>H44-I23</f>
        <v>10368958731.853266</v>
      </c>
      <c r="J43" s="10" t="s">
        <v>7</v>
      </c>
      <c r="L43" s="3"/>
      <c r="M43" s="3"/>
      <c r="N43" s="3"/>
      <c r="P43" s="4">
        <f>N43/3</f>
        <v>0</v>
      </c>
      <c r="Q43" s="4">
        <f>N43/3</f>
        <v>0</v>
      </c>
      <c r="R43" s="4">
        <f>N43/3</f>
        <v>0</v>
      </c>
    </row>
    <row r="44" spans="1:18" x14ac:dyDescent="0.25">
      <c r="C44" s="3"/>
      <c r="D44" s="4">
        <f>SUM(D7:D42)</f>
        <v>54809716111.689796</v>
      </c>
      <c r="E44" s="6">
        <f>D44-E48</f>
        <v>31106876195.559795</v>
      </c>
      <c r="F44" s="8">
        <f>SUM(F8:F42)</f>
        <v>22220378689.918266</v>
      </c>
      <c r="G44" s="8">
        <f>SUM(G8:G42)</f>
        <v>10368958731.853268</v>
      </c>
      <c r="H44" s="8">
        <f>SUM(H8:H42)</f>
        <v>22220378689.918266</v>
      </c>
      <c r="J44" s="5">
        <v>43830</v>
      </c>
      <c r="K44" t="s">
        <v>69</v>
      </c>
      <c r="L44" s="3">
        <v>56.94</v>
      </c>
      <c r="M44" s="3"/>
      <c r="N44" s="8">
        <f>(L44-M44)*$H$2</f>
        <v>588308.63520000002</v>
      </c>
      <c r="O44" t="s">
        <v>64</v>
      </c>
      <c r="P44" s="4">
        <f>N44/3</f>
        <v>196102.87840000002</v>
      </c>
      <c r="Q44" s="4">
        <f>N44/3</f>
        <v>196102.87840000002</v>
      </c>
      <c r="R44" s="4">
        <f>N44/3</f>
        <v>196102.87840000002</v>
      </c>
    </row>
    <row r="45" spans="1:18" x14ac:dyDescent="0.25">
      <c r="J45" s="5"/>
      <c r="L45" s="3"/>
      <c r="M45" s="3"/>
      <c r="N45" s="20">
        <f>(L45-M45)*14856</f>
        <v>0</v>
      </c>
      <c r="O45" t="s">
        <v>64</v>
      </c>
      <c r="P45" s="21">
        <f>N45/3</f>
        <v>0</v>
      </c>
      <c r="Q45" s="21">
        <f>N45/3</f>
        <v>0</v>
      </c>
      <c r="R45" s="21">
        <f>N45/3</f>
        <v>0</v>
      </c>
    </row>
    <row r="46" spans="1:18" x14ac:dyDescent="0.25">
      <c r="L46" s="3"/>
      <c r="M46" s="3"/>
      <c r="N46" s="8">
        <f>SUM(N44:N45)</f>
        <v>588308.63520000002</v>
      </c>
      <c r="P46" s="4">
        <f>N46/3</f>
        <v>196102.87840000002</v>
      </c>
      <c r="Q46" s="4">
        <f>N46/3</f>
        <v>196102.87840000002</v>
      </c>
      <c r="R46" s="4">
        <f>N46/3</f>
        <v>196102.87840000002</v>
      </c>
    </row>
    <row r="47" spans="1:18" x14ac:dyDescent="0.25">
      <c r="E47" s="18" t="s">
        <v>85</v>
      </c>
      <c r="L47" s="3"/>
      <c r="M47" s="3"/>
      <c r="N47" s="3"/>
      <c r="P47" s="4"/>
      <c r="Q47" s="4"/>
      <c r="R47" s="4"/>
    </row>
    <row r="48" spans="1:18" x14ac:dyDescent="0.25">
      <c r="A48" s="5"/>
      <c r="C48" s="3"/>
      <c r="E48" s="6">
        <f>SUM(D15:D23)</f>
        <v>23702839916.130001</v>
      </c>
      <c r="J48" s="10" t="s">
        <v>72</v>
      </c>
      <c r="L48" s="3"/>
      <c r="M48" s="3" t="s">
        <v>73</v>
      </c>
      <c r="N48" s="3"/>
      <c r="P48" s="4"/>
      <c r="Q48" s="4"/>
      <c r="R48" s="4"/>
    </row>
    <row r="49" spans="1:18" x14ac:dyDescent="0.25">
      <c r="A49" s="5"/>
      <c r="C49" s="3"/>
      <c r="E49" s="6"/>
      <c r="J49" s="5">
        <v>43475</v>
      </c>
      <c r="K49" t="s">
        <v>74</v>
      </c>
      <c r="L49" s="3">
        <v>3444.88</v>
      </c>
      <c r="M49" s="3">
        <v>0</v>
      </c>
      <c r="N49" s="8">
        <f>(L49-M49)*H2</f>
        <v>35592775.750399999</v>
      </c>
      <c r="O49" t="s">
        <v>64</v>
      </c>
      <c r="P49" s="4">
        <f t="shared" ref="P49:P56" si="7">N49/3</f>
        <v>11864258.583466666</v>
      </c>
      <c r="Q49" s="4">
        <f t="shared" ref="Q49:Q56" si="8">N49/3</f>
        <v>11864258.583466666</v>
      </c>
      <c r="R49" s="4">
        <f t="shared" ref="R49:R56" si="9">N49/3</f>
        <v>11864258.583466666</v>
      </c>
    </row>
    <row r="50" spans="1:18" x14ac:dyDescent="0.25">
      <c r="A50" s="5"/>
      <c r="C50" s="3"/>
      <c r="E50" s="6"/>
      <c r="J50" s="5">
        <v>43613</v>
      </c>
      <c r="K50" t="s">
        <v>75</v>
      </c>
      <c r="L50" s="3">
        <v>45</v>
      </c>
      <c r="M50" s="3">
        <v>13.5</v>
      </c>
      <c r="N50" s="8">
        <f>(L50)*$D$2</f>
        <v>630045</v>
      </c>
      <c r="O50" t="s">
        <v>64</v>
      </c>
      <c r="P50" s="4">
        <f t="shared" si="7"/>
        <v>210015</v>
      </c>
      <c r="Q50" s="4">
        <f t="shared" si="8"/>
        <v>210015</v>
      </c>
      <c r="R50" s="4">
        <f t="shared" si="9"/>
        <v>210015</v>
      </c>
    </row>
    <row r="51" spans="1:18" x14ac:dyDescent="0.25">
      <c r="A51" s="5"/>
      <c r="C51" s="3"/>
      <c r="E51" s="6"/>
      <c r="J51" s="5">
        <v>43642</v>
      </c>
      <c r="K51" t="s">
        <v>96</v>
      </c>
      <c r="L51" s="3">
        <v>8784.84</v>
      </c>
      <c r="M51" s="3"/>
      <c r="N51" s="8">
        <f>(L51+M51)*G$2</f>
        <v>15783897.7248</v>
      </c>
      <c r="O51" t="s">
        <v>64</v>
      </c>
      <c r="P51" s="4">
        <f t="shared" si="7"/>
        <v>5261299.2416000003</v>
      </c>
      <c r="Q51" s="4">
        <f t="shared" si="8"/>
        <v>5261299.2416000003</v>
      </c>
      <c r="R51" s="4">
        <f t="shared" si="9"/>
        <v>5261299.2416000003</v>
      </c>
    </row>
    <row r="52" spans="1:18" x14ac:dyDescent="0.25">
      <c r="A52" s="5"/>
      <c r="C52" s="3"/>
      <c r="E52" s="6"/>
      <c r="J52" s="5">
        <v>43692</v>
      </c>
      <c r="K52" t="s">
        <v>74</v>
      </c>
      <c r="L52" s="3">
        <v>5420.62</v>
      </c>
      <c r="N52" s="8">
        <f>(L52+M52)*H2</f>
        <v>56006279.489599995</v>
      </c>
      <c r="O52" t="s">
        <v>64</v>
      </c>
      <c r="P52" s="4">
        <f t="shared" si="7"/>
        <v>18668759.829866666</v>
      </c>
      <c r="Q52" s="4">
        <f t="shared" si="8"/>
        <v>18668759.829866666</v>
      </c>
      <c r="R52" s="4">
        <f t="shared" si="9"/>
        <v>18668759.829866666</v>
      </c>
    </row>
    <row r="53" spans="1:18" x14ac:dyDescent="0.25">
      <c r="A53" s="5"/>
      <c r="C53" s="3"/>
      <c r="E53" s="6"/>
      <c r="J53" s="5">
        <v>43703</v>
      </c>
      <c r="K53" t="s">
        <v>75</v>
      </c>
      <c r="L53" s="3">
        <v>51</v>
      </c>
      <c r="M53">
        <v>15.3</v>
      </c>
      <c r="N53" s="8">
        <f>(L53)*$D$2</f>
        <v>714051</v>
      </c>
      <c r="O53" t="s">
        <v>64</v>
      </c>
      <c r="P53" s="4">
        <f t="shared" si="7"/>
        <v>238017</v>
      </c>
      <c r="Q53" s="4">
        <f t="shared" si="8"/>
        <v>238017</v>
      </c>
      <c r="R53" s="4">
        <f t="shared" si="9"/>
        <v>238017</v>
      </c>
    </row>
    <row r="54" spans="1:18" x14ac:dyDescent="0.25">
      <c r="A54" s="5"/>
      <c r="C54" s="3"/>
      <c r="E54" s="6"/>
      <c r="J54" s="5">
        <v>43735</v>
      </c>
      <c r="K54" t="s">
        <v>96</v>
      </c>
      <c r="L54" s="3">
        <v>3411.2</v>
      </c>
      <c r="N54" s="8">
        <f>(L54+M54)*G2</f>
        <v>6128971.2639999995</v>
      </c>
      <c r="O54" t="s">
        <v>64</v>
      </c>
      <c r="P54" s="4">
        <f t="shared" si="7"/>
        <v>2042990.4213333332</v>
      </c>
      <c r="Q54" s="4">
        <f t="shared" si="8"/>
        <v>2042990.4213333332</v>
      </c>
      <c r="R54" s="4">
        <f t="shared" si="9"/>
        <v>2042990.4213333332</v>
      </c>
    </row>
    <row r="55" spans="1:18" x14ac:dyDescent="0.25">
      <c r="A55" s="5"/>
      <c r="C55" s="3"/>
      <c r="E55" s="6"/>
      <c r="J55" s="5">
        <v>43794</v>
      </c>
      <c r="K55" t="s">
        <v>75</v>
      </c>
      <c r="L55" s="3">
        <v>51</v>
      </c>
      <c r="M55">
        <v>15.3</v>
      </c>
      <c r="N55" s="20">
        <f>(L55)*$D$2</f>
        <v>714051</v>
      </c>
      <c r="O55" t="s">
        <v>64</v>
      </c>
      <c r="P55" s="21">
        <f t="shared" si="7"/>
        <v>238017</v>
      </c>
      <c r="Q55" s="21">
        <f t="shared" si="8"/>
        <v>238017</v>
      </c>
      <c r="R55" s="21">
        <f t="shared" si="9"/>
        <v>238017</v>
      </c>
    </row>
    <row r="56" spans="1:18" x14ac:dyDescent="0.25">
      <c r="A56" s="5"/>
      <c r="C56" s="3"/>
      <c r="E56" s="6"/>
      <c r="L56" s="3"/>
      <c r="M56" s="8">
        <f>SUM(M49:M55)</f>
        <v>44.1</v>
      </c>
      <c r="N56" s="8">
        <f>SUM(N49:N55)</f>
        <v>115570071.2288</v>
      </c>
      <c r="P56" s="4">
        <f t="shared" si="7"/>
        <v>38523357.076266669</v>
      </c>
      <c r="Q56" s="4">
        <f t="shared" si="8"/>
        <v>38523357.076266669</v>
      </c>
      <c r="R56" s="4">
        <f t="shared" si="9"/>
        <v>38523357.076266669</v>
      </c>
    </row>
    <row r="57" spans="1:18" x14ac:dyDescent="0.25">
      <c r="A57" s="5"/>
      <c r="C57" s="3"/>
      <c r="E57" s="6"/>
      <c r="L57" s="3"/>
      <c r="M57" s="3"/>
      <c r="N57" s="3"/>
      <c r="P57" s="4"/>
      <c r="Q57" s="4"/>
      <c r="R57" s="4"/>
    </row>
    <row r="58" spans="1:18" x14ac:dyDescent="0.25">
      <c r="A58" s="5"/>
      <c r="C58" s="3"/>
      <c r="E58" s="6"/>
      <c r="J58" s="10" t="s">
        <v>78</v>
      </c>
      <c r="K58" s="10" t="s">
        <v>79</v>
      </c>
      <c r="L58" s="3"/>
      <c r="M58" s="3" t="s">
        <v>73</v>
      </c>
      <c r="N58" s="3"/>
      <c r="P58" s="4"/>
      <c r="Q58" s="4"/>
      <c r="R58" s="4"/>
    </row>
    <row r="59" spans="1:18" x14ac:dyDescent="0.25">
      <c r="A59" s="5"/>
      <c r="C59" s="3"/>
      <c r="E59" s="6"/>
      <c r="J59" s="5">
        <v>43620</v>
      </c>
      <c r="K59" t="s">
        <v>37</v>
      </c>
      <c r="L59" s="3">
        <v>5950</v>
      </c>
      <c r="M59" s="3"/>
      <c r="N59" s="8">
        <f t="shared" ref="N59:N64" si="10">(L59-M59)*$D$2</f>
        <v>83305950</v>
      </c>
      <c r="O59" t="s">
        <v>64</v>
      </c>
      <c r="P59" s="4">
        <f t="shared" ref="P59:P65" si="11">N59/3</f>
        <v>27768650</v>
      </c>
      <c r="Q59" s="4">
        <f t="shared" ref="Q59:Q65" si="12">N59/3</f>
        <v>27768650</v>
      </c>
      <c r="R59" s="4">
        <f t="shared" ref="R59:R65" si="13">N59/3</f>
        <v>27768650</v>
      </c>
    </row>
    <row r="60" spans="1:18" x14ac:dyDescent="0.25">
      <c r="A60" s="5"/>
      <c r="C60" s="3"/>
      <c r="E60" s="6"/>
      <c r="J60" s="5">
        <v>43487</v>
      </c>
      <c r="K60" t="s">
        <v>80</v>
      </c>
      <c r="L60" s="3">
        <v>3875</v>
      </c>
      <c r="M60" s="3"/>
      <c r="N60" s="8">
        <f t="shared" si="10"/>
        <v>54253875</v>
      </c>
      <c r="O60" t="s">
        <v>64</v>
      </c>
      <c r="P60" s="4">
        <f t="shared" si="11"/>
        <v>18084625</v>
      </c>
      <c r="Q60" s="4">
        <f t="shared" si="12"/>
        <v>18084625</v>
      </c>
      <c r="R60" s="4">
        <f t="shared" si="13"/>
        <v>18084625</v>
      </c>
    </row>
    <row r="61" spans="1:18" x14ac:dyDescent="0.25">
      <c r="A61" s="5"/>
      <c r="C61" s="3"/>
      <c r="E61" s="6"/>
      <c r="J61" s="5">
        <v>43668</v>
      </c>
      <c r="K61" t="s">
        <v>80</v>
      </c>
      <c r="L61" s="3">
        <v>3875</v>
      </c>
      <c r="M61" s="3"/>
      <c r="N61" s="8">
        <f t="shared" si="10"/>
        <v>54253875</v>
      </c>
      <c r="O61" t="s">
        <v>64</v>
      </c>
      <c r="P61" s="19">
        <f t="shared" si="11"/>
        <v>18084625</v>
      </c>
      <c r="Q61" s="19">
        <f t="shared" si="12"/>
        <v>18084625</v>
      </c>
      <c r="R61" s="19">
        <f t="shared" si="13"/>
        <v>18084625</v>
      </c>
    </row>
    <row r="62" spans="1:18" x14ac:dyDescent="0.25">
      <c r="A62" s="5"/>
      <c r="C62" s="3"/>
      <c r="E62" s="6"/>
      <c r="J62" s="5">
        <v>43803</v>
      </c>
      <c r="K62" t="s">
        <v>37</v>
      </c>
      <c r="L62" s="3">
        <v>5950</v>
      </c>
      <c r="N62" s="8">
        <f t="shared" si="10"/>
        <v>83305950</v>
      </c>
      <c r="O62" t="s">
        <v>64</v>
      </c>
      <c r="P62" s="19">
        <f t="shared" si="11"/>
        <v>27768650</v>
      </c>
      <c r="Q62" s="19">
        <f t="shared" si="12"/>
        <v>27768650</v>
      </c>
      <c r="R62" s="19">
        <f t="shared" si="13"/>
        <v>27768650</v>
      </c>
    </row>
    <row r="63" spans="1:18" x14ac:dyDescent="0.25">
      <c r="A63" s="5"/>
      <c r="C63" s="3"/>
      <c r="E63" s="6"/>
      <c r="J63" s="5">
        <v>43490</v>
      </c>
      <c r="K63" t="s">
        <v>86</v>
      </c>
      <c r="L63" s="3">
        <v>4700</v>
      </c>
      <c r="M63" s="3"/>
      <c r="N63" s="8">
        <f t="shared" si="10"/>
        <v>65804700</v>
      </c>
      <c r="O63" t="s">
        <v>64</v>
      </c>
      <c r="P63" s="19">
        <f t="shared" si="11"/>
        <v>21934900</v>
      </c>
      <c r="Q63" s="19">
        <f t="shared" si="12"/>
        <v>21934900</v>
      </c>
      <c r="R63" s="19">
        <f t="shared" si="13"/>
        <v>21934900</v>
      </c>
    </row>
    <row r="64" spans="1:18" x14ac:dyDescent="0.25">
      <c r="A64" s="5"/>
      <c r="C64" s="3"/>
      <c r="E64" s="6"/>
      <c r="J64" s="5">
        <v>44037</v>
      </c>
      <c r="K64" t="s">
        <v>86</v>
      </c>
      <c r="L64" s="3">
        <v>4701</v>
      </c>
      <c r="M64" s="3"/>
      <c r="N64" s="20">
        <f t="shared" si="10"/>
        <v>65818701</v>
      </c>
      <c r="O64" t="s">
        <v>64</v>
      </c>
      <c r="P64" s="19">
        <f t="shared" si="11"/>
        <v>21939567</v>
      </c>
      <c r="Q64" s="19">
        <f t="shared" si="12"/>
        <v>21939567</v>
      </c>
      <c r="R64" s="19">
        <f t="shared" si="13"/>
        <v>21939567</v>
      </c>
    </row>
    <row r="65" spans="1:18" x14ac:dyDescent="0.25">
      <c r="A65" s="5"/>
      <c r="C65" s="3"/>
      <c r="E65" s="6"/>
      <c r="N65" s="4">
        <f>SUM(N59:N64)</f>
        <v>406743051</v>
      </c>
      <c r="P65" s="4">
        <f t="shared" si="11"/>
        <v>135581017</v>
      </c>
      <c r="Q65" s="4">
        <f t="shared" si="12"/>
        <v>135581017</v>
      </c>
      <c r="R65" s="4">
        <f t="shared" si="13"/>
        <v>135581017</v>
      </c>
    </row>
    <row r="66" spans="1:18" x14ac:dyDescent="0.25">
      <c r="A66" s="7"/>
      <c r="C66" s="3"/>
      <c r="E66" s="6"/>
      <c r="N66" s="4"/>
      <c r="P66" s="4"/>
      <c r="Q66" s="4"/>
      <c r="R66" s="4"/>
    </row>
    <row r="67" spans="1:18" x14ac:dyDescent="0.25">
      <c r="A67" s="7"/>
      <c r="C67" s="3"/>
      <c r="E67" s="16"/>
      <c r="J67" s="10" t="s">
        <v>78</v>
      </c>
      <c r="K67" s="10" t="s">
        <v>79</v>
      </c>
      <c r="N67" s="4"/>
      <c r="P67" s="4"/>
      <c r="Q67" s="4"/>
      <c r="R67" s="4"/>
    </row>
    <row r="68" spans="1:18" x14ac:dyDescent="0.25">
      <c r="J68" s="5">
        <v>43490</v>
      </c>
      <c r="K68" t="s">
        <v>82</v>
      </c>
      <c r="L68" s="3">
        <v>0</v>
      </c>
      <c r="M68" s="3"/>
      <c r="N68" s="8">
        <f>(L68-M68)*$D$2</f>
        <v>0</v>
      </c>
      <c r="O68" t="s">
        <v>83</v>
      </c>
      <c r="P68" s="4">
        <f t="shared" ref="P68:P80" si="14">N68/2</f>
        <v>0</v>
      </c>
      <c r="Q68" s="4"/>
      <c r="R68" s="4">
        <f t="shared" ref="R68:R80" si="15">N68/2</f>
        <v>0</v>
      </c>
    </row>
    <row r="69" spans="1:18" x14ac:dyDescent="0.25">
      <c r="J69" s="5">
        <v>43494</v>
      </c>
      <c r="K69" t="s">
        <v>87</v>
      </c>
      <c r="L69" s="3">
        <v>0</v>
      </c>
      <c r="M69" s="3"/>
      <c r="N69" s="8">
        <f>(L69-M69)*$D$2</f>
        <v>0</v>
      </c>
      <c r="O69" t="s">
        <v>83</v>
      </c>
      <c r="P69" s="4">
        <f t="shared" si="14"/>
        <v>0</v>
      </c>
      <c r="Q69" s="4"/>
      <c r="R69" s="4">
        <f t="shared" si="15"/>
        <v>0</v>
      </c>
    </row>
    <row r="70" spans="1:18" x14ac:dyDescent="0.25">
      <c r="J70" s="5">
        <v>43556</v>
      </c>
      <c r="K70" t="s">
        <v>84</v>
      </c>
      <c r="L70" s="3">
        <v>7625</v>
      </c>
      <c r="M70" s="3"/>
      <c r="N70" s="8">
        <f>(L70-M70)*$D$2</f>
        <v>106757625</v>
      </c>
      <c r="O70" t="s">
        <v>83</v>
      </c>
      <c r="P70" s="4">
        <f t="shared" si="14"/>
        <v>53378812.5</v>
      </c>
      <c r="Q70" s="4"/>
      <c r="R70" s="4">
        <f t="shared" si="15"/>
        <v>53378812.5</v>
      </c>
    </row>
    <row r="71" spans="1:18" x14ac:dyDescent="0.25">
      <c r="J71" s="5">
        <v>43747</v>
      </c>
      <c r="K71" t="s">
        <v>97</v>
      </c>
      <c r="L71" s="3">
        <v>1333.24</v>
      </c>
      <c r="M71" s="3"/>
      <c r="N71" s="8">
        <f>(L71+M71)*$D$2</f>
        <v>18666693.239999998</v>
      </c>
      <c r="O71" t="s">
        <v>83</v>
      </c>
      <c r="P71" s="4">
        <f t="shared" si="14"/>
        <v>9333346.6199999992</v>
      </c>
      <c r="Q71" s="4"/>
      <c r="R71" s="4">
        <f t="shared" si="15"/>
        <v>9333346.6199999992</v>
      </c>
    </row>
    <row r="72" spans="1:18" x14ac:dyDescent="0.25">
      <c r="J72" s="5">
        <v>43781</v>
      </c>
      <c r="K72" t="s">
        <v>97</v>
      </c>
      <c r="L72" s="3">
        <v>1333.24</v>
      </c>
      <c r="M72" s="3"/>
      <c r="N72" s="8">
        <f>(L72+M72)*$D$2</f>
        <v>18666693.239999998</v>
      </c>
      <c r="O72" t="s">
        <v>83</v>
      </c>
      <c r="P72" s="4">
        <f t="shared" si="14"/>
        <v>9333346.6199999992</v>
      </c>
      <c r="Q72" s="4"/>
      <c r="R72" s="4">
        <f t="shared" si="15"/>
        <v>9333346.6199999992</v>
      </c>
    </row>
    <row r="73" spans="1:18" x14ac:dyDescent="0.25">
      <c r="J73" s="5">
        <v>43808</v>
      </c>
      <c r="K73" t="s">
        <v>97</v>
      </c>
      <c r="L73" s="3">
        <v>1241.52</v>
      </c>
      <c r="M73" s="3"/>
      <c r="N73" s="8">
        <f>(L73+M73)*$D$2</f>
        <v>17382521.52</v>
      </c>
      <c r="O73" t="s">
        <v>83</v>
      </c>
      <c r="P73" s="4">
        <f t="shared" si="14"/>
        <v>8691260.7599999998</v>
      </c>
      <c r="Q73" s="4"/>
      <c r="R73" s="4">
        <f t="shared" si="15"/>
        <v>8691260.7599999998</v>
      </c>
    </row>
    <row r="74" spans="1:18" x14ac:dyDescent="0.25">
      <c r="J74" s="5">
        <v>43588</v>
      </c>
      <c r="K74" t="s">
        <v>88</v>
      </c>
      <c r="L74" s="3"/>
      <c r="M74" s="3"/>
      <c r="N74" s="8">
        <f>(L74-M74)*$D$2</f>
        <v>0</v>
      </c>
      <c r="O74" t="s">
        <v>83</v>
      </c>
      <c r="P74" s="4">
        <f t="shared" si="14"/>
        <v>0</v>
      </c>
      <c r="Q74" s="4"/>
      <c r="R74" s="4">
        <f t="shared" si="15"/>
        <v>0</v>
      </c>
    </row>
    <row r="75" spans="1:18" x14ac:dyDescent="0.25">
      <c r="J75" s="5">
        <v>43671</v>
      </c>
      <c r="K75" t="s">
        <v>82</v>
      </c>
      <c r="L75" s="3">
        <v>4450</v>
      </c>
      <c r="M75" s="3"/>
      <c r="N75" s="8">
        <f>(L75-M75)*$D$2</f>
        <v>62304450</v>
      </c>
      <c r="O75" t="s">
        <v>83</v>
      </c>
      <c r="P75" s="4">
        <f t="shared" si="14"/>
        <v>31152225</v>
      </c>
      <c r="Q75" s="4"/>
      <c r="R75" s="4">
        <f t="shared" si="15"/>
        <v>31152225</v>
      </c>
    </row>
    <row r="76" spans="1:18" x14ac:dyDescent="0.25">
      <c r="J76" s="5">
        <v>43676</v>
      </c>
      <c r="K76" t="s">
        <v>87</v>
      </c>
      <c r="L76" s="3">
        <v>8500</v>
      </c>
      <c r="M76" s="3"/>
      <c r="N76" s="8">
        <f>(L76-M76)*$D$2</f>
        <v>119008500</v>
      </c>
      <c r="O76" t="s">
        <v>83</v>
      </c>
      <c r="P76" s="4">
        <f t="shared" si="14"/>
        <v>59504250</v>
      </c>
      <c r="Q76" s="4"/>
      <c r="R76" s="4">
        <f t="shared" si="15"/>
        <v>59504250</v>
      </c>
    </row>
    <row r="77" spans="1:18" x14ac:dyDescent="0.25">
      <c r="J77" s="5">
        <v>43738</v>
      </c>
      <c r="K77" t="s">
        <v>84</v>
      </c>
      <c r="L77" s="3">
        <v>0</v>
      </c>
      <c r="N77" s="8">
        <f>(L77-M77)*$D$2</f>
        <v>0</v>
      </c>
      <c r="P77" s="4">
        <f t="shared" si="14"/>
        <v>0</v>
      </c>
      <c r="Q77" s="4"/>
      <c r="R77" s="4">
        <f t="shared" si="15"/>
        <v>0</v>
      </c>
    </row>
    <row r="78" spans="1:18" x14ac:dyDescent="0.25">
      <c r="J78" s="5">
        <v>43773</v>
      </c>
      <c r="K78" t="s">
        <v>88</v>
      </c>
      <c r="L78" s="3">
        <v>4875</v>
      </c>
      <c r="M78" s="3"/>
      <c r="N78" s="8">
        <f>(L78-M78)*$D$2</f>
        <v>68254875</v>
      </c>
      <c r="O78" t="s">
        <v>83</v>
      </c>
      <c r="P78" s="4">
        <f t="shared" si="14"/>
        <v>34127437.5</v>
      </c>
      <c r="Q78" s="4"/>
      <c r="R78" s="4">
        <f t="shared" si="15"/>
        <v>34127437.5</v>
      </c>
    </row>
    <row r="79" spans="1:18" x14ac:dyDescent="0.25">
      <c r="J79" s="5">
        <v>43811</v>
      </c>
      <c r="K79" t="s">
        <v>89</v>
      </c>
      <c r="L79" s="3">
        <v>15500</v>
      </c>
      <c r="M79" s="3">
        <v>-4030</v>
      </c>
      <c r="N79" s="20">
        <f>(L79)*E2</f>
        <v>241520845</v>
      </c>
      <c r="O79" t="s">
        <v>83</v>
      </c>
      <c r="P79" s="21">
        <f t="shared" si="14"/>
        <v>120760422.5</v>
      </c>
      <c r="Q79" s="4"/>
      <c r="R79" s="21">
        <f t="shared" si="15"/>
        <v>120760422.5</v>
      </c>
    </row>
    <row r="80" spans="1:18" x14ac:dyDescent="0.25">
      <c r="M80" s="4">
        <f>M79*E2</f>
        <v>-62795419.699999996</v>
      </c>
      <c r="N80" s="4">
        <f>SUM(N68:N79)</f>
        <v>652562203</v>
      </c>
      <c r="P80" s="4">
        <f t="shared" si="14"/>
        <v>326281101.5</v>
      </c>
      <c r="Q80" s="4"/>
      <c r="R80" s="4">
        <f t="shared" si="15"/>
        <v>326281101.5</v>
      </c>
    </row>
    <row r="81" spans="14:19" x14ac:dyDescent="0.25">
      <c r="N81" s="4"/>
      <c r="P81" s="4"/>
      <c r="Q81" s="4"/>
      <c r="R81" s="4"/>
    </row>
    <row r="82" spans="14:19" x14ac:dyDescent="0.25">
      <c r="N82" s="4">
        <f>N41+N46+N56+N65+N80</f>
        <v>1203809498.424</v>
      </c>
      <c r="P82" s="4">
        <f>P41+P46+P56+P65+P80</f>
        <v>510030199.97466666</v>
      </c>
      <c r="Q82" s="4">
        <f>Q41+Q46+Q56+Q65</f>
        <v>183749098.47466666</v>
      </c>
      <c r="R82" s="4">
        <f>P82</f>
        <v>510030199.97466666</v>
      </c>
    </row>
    <row r="83" spans="14:19" x14ac:dyDescent="0.25">
      <c r="P83" s="4"/>
      <c r="Q83" s="4"/>
      <c r="R83" s="4"/>
    </row>
    <row r="84" spans="14:19" x14ac:dyDescent="0.25">
      <c r="P84" s="4"/>
      <c r="Q84" s="4"/>
      <c r="R84" s="4"/>
      <c r="S84" t="s">
        <v>90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Int Calc</vt:lpstr>
      <vt:lpstr>2018</vt:lpstr>
      <vt:lpstr>2121</vt:lpstr>
      <vt:lpstr>2019b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</dc:creator>
  <dc:description/>
  <cp:lastModifiedBy>Accounting</cp:lastModifiedBy>
  <cp:revision>13</cp:revision>
  <cp:lastPrinted>2022-03-10T08:41:43Z</cp:lastPrinted>
  <dcterms:created xsi:type="dcterms:W3CDTF">2018-02-27T07:13:33Z</dcterms:created>
  <dcterms:modified xsi:type="dcterms:W3CDTF">2022-03-11T11:45:28Z</dcterms:modified>
  <dc:language>en-ID</dc:language>
</cp:coreProperties>
</file>