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ataspt\SPT WPOP\SPT RJH\"/>
    </mc:Choice>
  </mc:AlternateContent>
  <xr:revisionPtr revIDLastSave="0" documentId="13_ncr:1_{1AE22D93-B544-4365-A003-1790D07A289D}" xr6:coauthVersionLast="47" xr6:coauthVersionMax="47" xr10:uidLastSave="{00000000-0000-0000-0000-000000000000}"/>
  <bookViews>
    <workbookView xWindow="-120" yWindow="-120" windowWidth="15600" windowHeight="11160" tabRatio="500" xr2:uid="{00000000-000D-0000-FFFF-FFFF00000000}"/>
  </bookViews>
  <sheets>
    <sheet name="Sheet1" sheetId="1" r:id="rId1"/>
  </sheets>
  <definedNames>
    <definedName name="_xlnm.Print_Area" localSheetId="0">Sheet1!$J$5:$W$54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1" l="1"/>
  <c r="Q34" i="1" l="1"/>
  <c r="N7" i="1"/>
  <c r="N8" i="1"/>
  <c r="P8" i="1" s="1"/>
  <c r="N9" i="1"/>
  <c r="R9" i="1" s="1"/>
  <c r="N10" i="1"/>
  <c r="P10" i="1" s="1"/>
  <c r="N11" i="1"/>
  <c r="N12" i="1"/>
  <c r="P12" i="1" s="1"/>
  <c r="N13" i="1"/>
  <c r="Q13" i="1" s="1"/>
  <c r="N16" i="1"/>
  <c r="R16" i="1" s="1"/>
  <c r="N17" i="1"/>
  <c r="N21" i="1"/>
  <c r="N22" i="1"/>
  <c r="P22" i="1" s="1"/>
  <c r="N23" i="1"/>
  <c r="Q23" i="1" s="1"/>
  <c r="N24" i="1"/>
  <c r="N25" i="1"/>
  <c r="R25" i="1" s="1"/>
  <c r="N26" i="1"/>
  <c r="R26" i="1" s="1"/>
  <c r="N31" i="1"/>
  <c r="P31" i="1" s="1"/>
  <c r="N32" i="1"/>
  <c r="N33" i="1"/>
  <c r="R33" i="1" s="1"/>
  <c r="N37" i="1"/>
  <c r="R37" i="1" s="1"/>
  <c r="N38" i="1"/>
  <c r="N47" i="1" s="1"/>
  <c r="N39" i="1"/>
  <c r="Q39" i="1" s="1"/>
  <c r="N40" i="1"/>
  <c r="N41" i="1"/>
  <c r="N42" i="1"/>
  <c r="P42" i="1" s="1"/>
  <c r="N43" i="1"/>
  <c r="R43" i="1" s="1"/>
  <c r="N44" i="1"/>
  <c r="R44" i="1" s="1"/>
  <c r="N45" i="1"/>
  <c r="Q45" i="1" s="1"/>
  <c r="P46" i="1"/>
  <c r="M47" i="1"/>
  <c r="R41" i="1"/>
  <c r="P41" i="1"/>
  <c r="D14" i="1"/>
  <c r="F14" i="1" s="1"/>
  <c r="D15" i="1"/>
  <c r="H15" i="1" s="1"/>
  <c r="D16" i="1"/>
  <c r="H16" i="1" s="1"/>
  <c r="D17" i="1"/>
  <c r="H17" i="1" s="1"/>
  <c r="D18" i="1"/>
  <c r="F18" i="1" s="1"/>
  <c r="D19" i="1"/>
  <c r="H19" i="1" s="1"/>
  <c r="D20" i="1"/>
  <c r="F20" i="1" s="1"/>
  <c r="R40" i="1"/>
  <c r="P40" i="1"/>
  <c r="P37" i="1"/>
  <c r="D8" i="1"/>
  <c r="H8" i="1" s="1"/>
  <c r="D9" i="1"/>
  <c r="H9" i="1" s="1"/>
  <c r="D10" i="1"/>
  <c r="H10" i="1" s="1"/>
  <c r="D11" i="1"/>
  <c r="H11" i="1" s="1"/>
  <c r="D12" i="1"/>
  <c r="H12" i="1" s="1"/>
  <c r="H20" i="1"/>
  <c r="D22" i="1"/>
  <c r="H22" i="1" s="1"/>
  <c r="D23" i="1"/>
  <c r="H23" i="1" s="1"/>
  <c r="D25" i="1"/>
  <c r="H25" i="1" s="1"/>
  <c r="D26" i="1"/>
  <c r="H26" i="1" s="1"/>
  <c r="D27" i="1"/>
  <c r="H27" i="1" s="1"/>
  <c r="D28" i="1"/>
  <c r="H28" i="1"/>
  <c r="D29" i="1"/>
  <c r="H29" i="1" s="1"/>
  <c r="D31" i="1"/>
  <c r="H31" i="1"/>
  <c r="D32" i="1"/>
  <c r="H32" i="1" s="1"/>
  <c r="D33" i="1"/>
  <c r="H33" i="1" s="1"/>
  <c r="D34" i="1"/>
  <c r="H34" i="1" s="1"/>
  <c r="D35" i="1"/>
  <c r="H35" i="1" s="1"/>
  <c r="G9" i="1"/>
  <c r="G10" i="1"/>
  <c r="G11" i="1"/>
  <c r="G23" i="1"/>
  <c r="G28" i="1"/>
  <c r="G29" i="1"/>
  <c r="G31" i="1"/>
  <c r="G33" i="1"/>
  <c r="G34" i="1"/>
  <c r="F9" i="1"/>
  <c r="F11" i="1"/>
  <c r="F15" i="1"/>
  <c r="F16" i="1"/>
  <c r="F17" i="1"/>
  <c r="F19" i="1"/>
  <c r="F23" i="1"/>
  <c r="F27" i="1"/>
  <c r="F28" i="1"/>
  <c r="F31" i="1"/>
  <c r="F33" i="1"/>
  <c r="D13" i="1"/>
  <c r="D24" i="1"/>
  <c r="D30" i="1"/>
  <c r="C37" i="1"/>
  <c r="M27" i="1"/>
  <c r="Q26" i="1"/>
  <c r="P26" i="1"/>
  <c r="R24" i="1"/>
  <c r="Q24" i="1"/>
  <c r="P24" i="1"/>
  <c r="R23" i="1"/>
  <c r="R22" i="1"/>
  <c r="Q22" i="1"/>
  <c r="R17" i="1"/>
  <c r="Q17" i="1"/>
  <c r="P17" i="1"/>
  <c r="R15" i="1"/>
  <c r="Q15" i="1"/>
  <c r="P15" i="1"/>
  <c r="R13" i="1"/>
  <c r="Q12" i="1"/>
  <c r="R11" i="1"/>
  <c r="Q11" i="1"/>
  <c r="P11" i="1"/>
  <c r="Q10" i="1"/>
  <c r="Q9" i="1"/>
  <c r="P9" i="1"/>
  <c r="Q8" i="1"/>
  <c r="R7" i="1"/>
  <c r="Q7" i="1"/>
  <c r="P7" i="1"/>
  <c r="R31" i="1" l="1"/>
  <c r="F35" i="1"/>
  <c r="F22" i="1"/>
  <c r="P13" i="1"/>
  <c r="P23" i="1"/>
  <c r="F8" i="1"/>
  <c r="G25" i="1"/>
  <c r="R42" i="1"/>
  <c r="N27" i="1"/>
  <c r="P45" i="1"/>
  <c r="R10" i="1"/>
  <c r="D37" i="1"/>
  <c r="G26" i="1"/>
  <c r="F32" i="1"/>
  <c r="F26" i="1"/>
  <c r="F12" i="1"/>
  <c r="G35" i="1"/>
  <c r="N34" i="1"/>
  <c r="P34" i="1" s="1"/>
  <c r="R45" i="1"/>
  <c r="R34" i="1"/>
  <c r="R8" i="1"/>
  <c r="R12" i="1"/>
  <c r="P16" i="1"/>
  <c r="P25" i="1"/>
  <c r="G32" i="1"/>
  <c r="G27" i="1"/>
  <c r="G22" i="1"/>
  <c r="E41" i="1"/>
  <c r="P43" i="1"/>
  <c r="R39" i="1"/>
  <c r="R21" i="1"/>
  <c r="R27" i="1" s="1"/>
  <c r="R32" i="1"/>
  <c r="Q44" i="1"/>
  <c r="R46" i="1"/>
  <c r="R47" i="1" s="1"/>
  <c r="R38" i="1"/>
  <c r="P21" i="1"/>
  <c r="P32" i="1"/>
  <c r="Q16" i="1"/>
  <c r="Q25" i="1"/>
  <c r="Q27" i="1" s="1"/>
  <c r="F34" i="1"/>
  <c r="F29" i="1"/>
  <c r="F25" i="1"/>
  <c r="F10" i="1"/>
  <c r="G12" i="1"/>
  <c r="G8" i="1"/>
  <c r="H18" i="1"/>
  <c r="H14" i="1"/>
  <c r="N18" i="1"/>
  <c r="N14" i="1"/>
  <c r="P38" i="1"/>
  <c r="P47" i="1" s="1"/>
  <c r="Q38" i="1"/>
  <c r="P33" i="1"/>
  <c r="P39" i="1"/>
  <c r="P44" i="1"/>
  <c r="E37" i="1" l="1"/>
  <c r="P27" i="1"/>
  <c r="Q47" i="1"/>
  <c r="I20" i="1"/>
  <c r="F37" i="1"/>
  <c r="N49" i="1"/>
  <c r="P14" i="1"/>
  <c r="R14" i="1"/>
  <c r="Q14" i="1"/>
  <c r="G37" i="1"/>
  <c r="P35" i="1"/>
  <c r="Q18" i="1"/>
  <c r="R18" i="1"/>
  <c r="P18" i="1"/>
  <c r="H37" i="1"/>
  <c r="I36" i="1" s="1"/>
  <c r="Q49" i="1" l="1"/>
  <c r="P49" i="1"/>
  <c r="R49" i="1" s="1"/>
</calcChain>
</file>

<file path=xl/sharedStrings.xml><?xml version="1.0" encoding="utf-8"?>
<sst xmlns="http://schemas.openxmlformats.org/spreadsheetml/2006/main" count="168" uniqueCount="74">
  <si>
    <t>usd</t>
  </si>
  <si>
    <t>eur</t>
  </si>
  <si>
    <t>gbp</t>
  </si>
  <si>
    <t>hdk</t>
  </si>
  <si>
    <t>sgd</t>
  </si>
  <si>
    <t>jpy</t>
  </si>
  <si>
    <t>RJH</t>
  </si>
  <si>
    <t>MSH</t>
  </si>
  <si>
    <t>INH</t>
  </si>
  <si>
    <t>Cash &amp; deposits</t>
  </si>
  <si>
    <t>Amount</t>
  </si>
  <si>
    <t>Net amount in IDR</t>
  </si>
  <si>
    <t>valas</t>
  </si>
  <si>
    <t>idr</t>
  </si>
  <si>
    <t>Interest</t>
  </si>
  <si>
    <t>(1/3)</t>
  </si>
  <si>
    <t>USD</t>
  </si>
  <si>
    <t>Citigroup stock</t>
  </si>
  <si>
    <t>hsbc (1/3)</t>
  </si>
  <si>
    <t>SGD</t>
  </si>
  <si>
    <t>Singtel stock</t>
  </si>
  <si>
    <t>hkd</t>
  </si>
  <si>
    <t>JP Morgan Fixed Coupon Note</t>
  </si>
  <si>
    <t>AB Sicav I Low Volatility</t>
  </si>
  <si>
    <t>Wellington Global Quality Growth</t>
  </si>
  <si>
    <t>EUR</t>
  </si>
  <si>
    <t>Generali Perpetual Bond</t>
  </si>
  <si>
    <t>hsbc (1/2)</t>
  </si>
  <si>
    <t>ABJA Investment Bond</t>
  </si>
  <si>
    <t>Deposit</t>
  </si>
  <si>
    <t>BNP Paribas Perpetual Bond</t>
  </si>
  <si>
    <t>SGD Deposit Interest</t>
  </si>
  <si>
    <t>Nuoxi Capital Bond</t>
  </si>
  <si>
    <t>USD Deposit Interest</t>
  </si>
  <si>
    <t>Parkway Pantai Bond</t>
  </si>
  <si>
    <t>Pertamina Bond</t>
  </si>
  <si>
    <t>hsbc Deposit</t>
  </si>
  <si>
    <t>Deviden</t>
  </si>
  <si>
    <t>withholding</t>
  </si>
  <si>
    <t>Singtel (SGD)</t>
  </si>
  <si>
    <t>Majapahit Holding Bond</t>
  </si>
  <si>
    <t>Citigroup</t>
  </si>
  <si>
    <t>nilai Nett abis dikurangi withholding tax LN</t>
  </si>
  <si>
    <t>Garuda Indonesia Sukuk</t>
  </si>
  <si>
    <t>GS Emerging Market Fund</t>
  </si>
  <si>
    <t>GAM Emerging Fund</t>
  </si>
  <si>
    <t>Lennar</t>
  </si>
  <si>
    <t>Legg Mason Macro Opportunity Fund</t>
  </si>
  <si>
    <t>Pimco Capital Securities</t>
  </si>
  <si>
    <t>**</t>
  </si>
  <si>
    <t xml:space="preserve">VP Greater China </t>
  </si>
  <si>
    <t>Bonds</t>
  </si>
  <si>
    <t>Coupon from</t>
  </si>
  <si>
    <t>Fixed Loan</t>
  </si>
  <si>
    <t>GBP</t>
  </si>
  <si>
    <t>Majapahit Holding</t>
  </si>
  <si>
    <t>HKD</t>
  </si>
  <si>
    <t>Seattle House / Piutang RJH</t>
  </si>
  <si>
    <t>Abja Investment Co Pte Ltd</t>
  </si>
  <si>
    <t>(1/2)</t>
  </si>
  <si>
    <t>BNP Paribas</t>
  </si>
  <si>
    <t>Total (1/2)</t>
  </si>
  <si>
    <t>Nuoxi Capital Ltd</t>
  </si>
  <si>
    <t>Parkway Pantai Ltd</t>
  </si>
  <si>
    <t>Pertamina</t>
  </si>
  <si>
    <t>Assicurazioni Generali (EUR)</t>
  </si>
  <si>
    <t>nilai nett abis dikurangi withholding tax LN</t>
  </si>
  <si>
    <t>Dr 1/2 jd 1/3</t>
  </si>
  <si>
    <t>Dr 1/3 jd 1/2</t>
  </si>
  <si>
    <t xml:space="preserve"> </t>
  </si>
  <si>
    <t>Parkway dibuang 2</t>
  </si>
  <si>
    <t>Revisi :</t>
  </si>
  <si>
    <t>singtel, Majapahit &amp; garuda 1/2</t>
  </si>
  <si>
    <t>BNP Paribas &amp; Pertamina 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</si>
</sst>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u val="singleAccounting"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u val="singleAccounting"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rgb="FF008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4" fillId="0" borderId="0" xfId="1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4" fontId="5" fillId="0" borderId="0" xfId="1" applyFont="1"/>
    <xf numFmtId="164" fontId="5" fillId="0" borderId="0" xfId="0" applyNumberFormat="1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164" fontId="6" fillId="0" borderId="0" xfId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4" fontId="9" fillId="0" borderId="0" xfId="1" applyFont="1"/>
    <xf numFmtId="0" fontId="9" fillId="0" borderId="0" xfId="0" applyFont="1" applyAlignment="1">
      <alignment horizontal="right"/>
    </xf>
    <xf numFmtId="164" fontId="9" fillId="0" borderId="0" xfId="0" applyNumberFormat="1" applyFont="1"/>
    <xf numFmtId="164" fontId="10" fillId="0" borderId="0" xfId="1" applyFont="1"/>
    <xf numFmtId="164" fontId="10" fillId="0" borderId="0" xfId="0" applyNumberFormat="1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164" fontId="0" fillId="0" borderId="1" xfId="0" applyNumberFormat="1" applyBorder="1"/>
    <xf numFmtId="0" fontId="0" fillId="0" borderId="0" xfId="0" applyFont="1"/>
    <xf numFmtId="164" fontId="0" fillId="2" borderId="0" xfId="1" applyFont="1" applyFill="1"/>
    <xf numFmtId="0" fontId="0" fillId="2" borderId="0" xfId="0" applyFill="1"/>
    <xf numFmtId="0" fontId="9" fillId="0" borderId="0" xfId="0" applyFont="1" applyFill="1"/>
    <xf numFmtId="0" fontId="13" fillId="0" borderId="0" xfId="0" applyFont="1"/>
    <xf numFmtId="0" fontId="13" fillId="0" borderId="0" xfId="0" applyFont="1" applyFill="1"/>
    <xf numFmtId="164" fontId="13" fillId="0" borderId="0" xfId="1" applyNumberFormat="1" applyFont="1"/>
    <xf numFmtId="165" fontId="13" fillId="0" borderId="0" xfId="0" applyNumberFormat="1" applyFont="1"/>
    <xf numFmtId="164" fontId="9" fillId="0" borderId="0" xfId="1" applyNumberFormat="1" applyFont="1"/>
    <xf numFmtId="165" fontId="9" fillId="0" borderId="0" xfId="0" applyNumberFormat="1" applyFont="1"/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view="pageBreakPreview" topLeftCell="A7" zoomScale="60" zoomScaleNormal="66" zoomScalePageLayoutView="125" workbookViewId="0">
      <selection activeCell="D27" sqref="D27:D29"/>
    </sheetView>
  </sheetViews>
  <sheetFormatPr defaultColWidth="11" defaultRowHeight="15.75" x14ac:dyDescent="0.25"/>
  <cols>
    <col min="2" max="2" width="34.125" customWidth="1"/>
    <col min="3" max="3" width="16" customWidth="1"/>
    <col min="4" max="4" width="19.375" customWidth="1"/>
    <col min="5" max="5" width="13.5" customWidth="1"/>
    <col min="6" max="6" width="20.875" customWidth="1"/>
    <col min="7" max="7" width="17.625" customWidth="1"/>
    <col min="8" max="8" width="19.75" customWidth="1"/>
    <col min="9" max="9" width="18.625" customWidth="1"/>
    <col min="10" max="10" width="14.125" customWidth="1"/>
    <col min="11" max="11" width="25.375" customWidth="1"/>
    <col min="12" max="12" width="13.125" customWidth="1"/>
    <col min="13" max="13" width="17.625" customWidth="1"/>
    <col min="14" max="14" width="21.75" bestFit="1" customWidth="1"/>
    <col min="16" max="16" width="19.25" bestFit="1" customWidth="1"/>
    <col min="17" max="17" width="18.25" customWidth="1"/>
    <col min="18" max="18" width="20.125" customWidth="1"/>
    <col min="19" max="19" width="0.625" customWidth="1"/>
  </cols>
  <sheetData>
    <row r="1" spans="1:18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8" x14ac:dyDescent="0.25">
      <c r="D2" s="1">
        <v>14500</v>
      </c>
      <c r="E2" s="1">
        <v>16492.650000000001</v>
      </c>
      <c r="F2" s="1">
        <v>18469.849999999999</v>
      </c>
      <c r="G2" s="1">
        <v>1856.26</v>
      </c>
      <c r="H2" s="1">
        <v>10595.4</v>
      </c>
      <c r="I2" s="2">
        <v>128.56</v>
      </c>
    </row>
    <row r="6" spans="1:18" x14ac:dyDescent="0.25">
      <c r="F6" s="3" t="s">
        <v>6</v>
      </c>
      <c r="G6" s="3" t="s">
        <v>7</v>
      </c>
      <c r="H6" s="3" t="s">
        <v>8</v>
      </c>
      <c r="J6" s="4" t="s">
        <v>9</v>
      </c>
      <c r="K6" s="5"/>
      <c r="L6" s="5" t="s">
        <v>10</v>
      </c>
      <c r="M6" s="5"/>
      <c r="N6" s="5" t="s">
        <v>11</v>
      </c>
      <c r="P6" s="3" t="s">
        <v>6</v>
      </c>
      <c r="Q6" s="3" t="s">
        <v>7</v>
      </c>
      <c r="R6" s="3" t="s">
        <v>8</v>
      </c>
    </row>
    <row r="7" spans="1:18" ht="18" x14ac:dyDescent="0.4">
      <c r="C7" s="6" t="s">
        <v>12</v>
      </c>
      <c r="D7" s="7" t="s">
        <v>13</v>
      </c>
      <c r="J7" s="8">
        <v>43234</v>
      </c>
      <c r="K7" t="s">
        <v>14</v>
      </c>
      <c r="L7" s="9">
        <v>4.2300000000000004</v>
      </c>
      <c r="M7" s="9"/>
      <c r="N7" s="9">
        <f>(L7-M7)*13959</f>
        <v>59046.570000000007</v>
      </c>
      <c r="O7" t="s">
        <v>15</v>
      </c>
      <c r="P7" s="10">
        <f>N7/3</f>
        <v>19682.190000000002</v>
      </c>
      <c r="Q7" s="10">
        <f>N7/3</f>
        <v>19682.190000000002</v>
      </c>
      <c r="R7" s="10">
        <f>N7/3</f>
        <v>19682.190000000002</v>
      </c>
    </row>
    <row r="8" spans="1:18" x14ac:dyDescent="0.25">
      <c r="A8" t="s">
        <v>16</v>
      </c>
      <c r="B8" t="s">
        <v>17</v>
      </c>
      <c r="C8" s="11">
        <v>6446</v>
      </c>
      <c r="D8" s="12">
        <f>D$2*C8</f>
        <v>93467000</v>
      </c>
      <c r="E8" t="s">
        <v>18</v>
      </c>
      <c r="F8" s="13">
        <f>D8/3</f>
        <v>31155666.666666668</v>
      </c>
      <c r="G8" s="13">
        <f>D8/3</f>
        <v>31155666.666666668</v>
      </c>
      <c r="H8" s="13">
        <f>D8/3</f>
        <v>31155666.666666668</v>
      </c>
      <c r="J8" s="8">
        <v>43265</v>
      </c>
      <c r="K8" t="s">
        <v>14</v>
      </c>
      <c r="L8" s="9">
        <v>22.65</v>
      </c>
      <c r="M8" s="9"/>
      <c r="N8" s="9">
        <f>(L8-M8)*13923</f>
        <v>315355.94999999995</v>
      </c>
      <c r="O8" t="s">
        <v>15</v>
      </c>
      <c r="P8" s="10">
        <f t="shared" ref="P8:P26" si="0">N8/3</f>
        <v>105118.64999999998</v>
      </c>
      <c r="Q8" s="10">
        <f t="shared" ref="Q8:Q26" si="1">N8/3</f>
        <v>105118.64999999998</v>
      </c>
      <c r="R8" s="10">
        <f t="shared" ref="R8:R26" si="2">N8/3</f>
        <v>105118.64999999998</v>
      </c>
    </row>
    <row r="9" spans="1:18" x14ac:dyDescent="0.25">
      <c r="A9" t="s">
        <v>19</v>
      </c>
      <c r="B9" s="27" t="s">
        <v>20</v>
      </c>
      <c r="C9" s="40">
        <v>152993.20000000001</v>
      </c>
      <c r="D9" s="41">
        <f>H2*C9</f>
        <v>1621024151.28</v>
      </c>
      <c r="E9" s="27" t="s">
        <v>18</v>
      </c>
      <c r="F9" s="13">
        <f t="shared" ref="F9:F12" si="3">D9/3</f>
        <v>540341383.75999999</v>
      </c>
      <c r="G9" s="13">
        <f t="shared" ref="G9:G12" si="4">D9/3</f>
        <v>540341383.75999999</v>
      </c>
      <c r="H9" s="13">
        <f t="shared" ref="H9:H12" si="5">D9/3</f>
        <v>540341383.75999999</v>
      </c>
      <c r="J9" s="8">
        <v>43313</v>
      </c>
      <c r="K9" t="s">
        <v>14</v>
      </c>
      <c r="L9" s="9">
        <v>36.74</v>
      </c>
      <c r="M9" s="9"/>
      <c r="N9" s="9">
        <f>(L9-M9)*14436</f>
        <v>530378.64</v>
      </c>
      <c r="O9" t="s">
        <v>15</v>
      </c>
      <c r="P9" s="10">
        <f t="shared" si="0"/>
        <v>176792.88</v>
      </c>
      <c r="Q9" s="10">
        <f t="shared" si="1"/>
        <v>176792.88</v>
      </c>
      <c r="R9" s="10">
        <f t="shared" si="2"/>
        <v>176792.88</v>
      </c>
    </row>
    <row r="10" spans="1:18" x14ac:dyDescent="0.25">
      <c r="A10" t="s">
        <v>21</v>
      </c>
      <c r="B10" t="s">
        <v>22</v>
      </c>
      <c r="C10" s="11">
        <v>54208.28</v>
      </c>
      <c r="D10" s="12">
        <f>G2*C10</f>
        <v>100624661.8328</v>
      </c>
      <c r="E10" t="s">
        <v>18</v>
      </c>
      <c r="F10" s="13">
        <f t="shared" si="3"/>
        <v>33541553.944266666</v>
      </c>
      <c r="G10" s="13">
        <f t="shared" si="4"/>
        <v>33541553.944266666</v>
      </c>
      <c r="H10" s="13">
        <f t="shared" si="5"/>
        <v>33541553.944266666</v>
      </c>
      <c r="J10" s="8">
        <v>43335</v>
      </c>
      <c r="K10" t="s">
        <v>14</v>
      </c>
      <c r="L10" s="9">
        <v>33.51</v>
      </c>
      <c r="M10" s="9"/>
      <c r="N10" s="9">
        <f>(L10-M10)*14599</f>
        <v>489212.49</v>
      </c>
      <c r="O10" t="s">
        <v>15</v>
      </c>
      <c r="P10" s="10">
        <f t="shared" si="0"/>
        <v>163070.82999999999</v>
      </c>
      <c r="Q10" s="10">
        <f t="shared" si="1"/>
        <v>163070.82999999999</v>
      </c>
      <c r="R10" s="10">
        <f t="shared" si="2"/>
        <v>163070.82999999999</v>
      </c>
    </row>
    <row r="11" spans="1:18" x14ac:dyDescent="0.25">
      <c r="A11" t="s">
        <v>16</v>
      </c>
      <c r="B11" t="s">
        <v>23</v>
      </c>
      <c r="C11" s="11">
        <v>201446.52</v>
      </c>
      <c r="D11" s="12">
        <f>D$2*C11</f>
        <v>2920974540</v>
      </c>
      <c r="E11" t="s">
        <v>18</v>
      </c>
      <c r="F11" s="13">
        <f t="shared" si="3"/>
        <v>973658180</v>
      </c>
      <c r="G11" s="13">
        <f t="shared" si="4"/>
        <v>973658180</v>
      </c>
      <c r="H11" s="13">
        <f t="shared" si="5"/>
        <v>973658180</v>
      </c>
      <c r="J11" s="8">
        <v>43405</v>
      </c>
      <c r="K11" t="s">
        <v>14</v>
      </c>
      <c r="L11" s="9">
        <v>35.340000000000003</v>
      </c>
      <c r="M11" s="9"/>
      <c r="N11" s="9">
        <f>(L11-M11)*15213</f>
        <v>537627.42000000004</v>
      </c>
      <c r="O11" t="s">
        <v>15</v>
      </c>
      <c r="P11" s="10">
        <f t="shared" si="0"/>
        <v>179209.14</v>
      </c>
      <c r="Q11" s="10">
        <f t="shared" si="1"/>
        <v>179209.14</v>
      </c>
      <c r="R11" s="10">
        <f t="shared" si="2"/>
        <v>179209.14</v>
      </c>
    </row>
    <row r="12" spans="1:18" x14ac:dyDescent="0.25">
      <c r="A12" t="s">
        <v>16</v>
      </c>
      <c r="B12" t="s">
        <v>24</v>
      </c>
      <c r="C12" s="11">
        <v>200959.48</v>
      </c>
      <c r="D12" s="12">
        <f>D$2*C12</f>
        <v>2913912460</v>
      </c>
      <c r="E12" t="s">
        <v>18</v>
      </c>
      <c r="F12" s="13">
        <f t="shared" si="3"/>
        <v>971304153.33333337</v>
      </c>
      <c r="G12" s="13">
        <f t="shared" si="4"/>
        <v>971304153.33333337</v>
      </c>
      <c r="H12" s="13">
        <f t="shared" si="5"/>
        <v>971304153.33333337</v>
      </c>
      <c r="J12" s="8">
        <v>43427</v>
      </c>
      <c r="K12" t="s">
        <v>14</v>
      </c>
      <c r="L12" s="9">
        <v>24.41</v>
      </c>
      <c r="M12" s="9"/>
      <c r="N12" s="9">
        <f>(L12-M12)*14688</f>
        <v>358534.08</v>
      </c>
      <c r="O12" t="s">
        <v>15</v>
      </c>
      <c r="P12" s="10">
        <f t="shared" si="0"/>
        <v>119511.36</v>
      </c>
      <c r="Q12" s="10">
        <f t="shared" si="1"/>
        <v>119511.36</v>
      </c>
      <c r="R12" s="10">
        <f t="shared" si="2"/>
        <v>119511.36</v>
      </c>
    </row>
    <row r="13" spans="1:18" ht="18" x14ac:dyDescent="0.4">
      <c r="C13" s="11"/>
      <c r="D13" s="12">
        <f>D$2*C13</f>
        <v>0</v>
      </c>
      <c r="F13" s="13"/>
      <c r="G13" s="13"/>
      <c r="H13" s="13"/>
      <c r="J13" s="8">
        <v>43435</v>
      </c>
      <c r="K13" t="s">
        <v>14</v>
      </c>
      <c r="L13" s="9">
        <v>8.93</v>
      </c>
      <c r="M13" s="9"/>
      <c r="N13" s="14">
        <f>(L13-M13)*14540</f>
        <v>129842.2</v>
      </c>
      <c r="O13" t="s">
        <v>15</v>
      </c>
      <c r="P13" s="15">
        <f t="shared" si="0"/>
        <v>43280.73333333333</v>
      </c>
      <c r="Q13" s="15">
        <f t="shared" si="1"/>
        <v>43280.73333333333</v>
      </c>
      <c r="R13" s="15">
        <f t="shared" si="2"/>
        <v>43280.73333333333</v>
      </c>
    </row>
    <row r="14" spans="1:18" x14ac:dyDescent="0.25">
      <c r="A14" t="s">
        <v>25</v>
      </c>
      <c r="B14" t="s">
        <v>26</v>
      </c>
      <c r="C14" s="11">
        <v>238673.75</v>
      </c>
      <c r="D14" s="12">
        <f>E2*C14</f>
        <v>3936362622.9375005</v>
      </c>
      <c r="E14" t="s">
        <v>27</v>
      </c>
      <c r="F14" s="13">
        <f>D14/2</f>
        <v>1968181311.4687502</v>
      </c>
      <c r="G14" s="13"/>
      <c r="H14" s="13">
        <f>D14/2</f>
        <v>1968181311.4687502</v>
      </c>
      <c r="L14" s="9"/>
      <c r="M14" s="9"/>
      <c r="N14" s="9">
        <f>SUM(N7:N13)</f>
        <v>2419997.35</v>
      </c>
      <c r="P14" s="10">
        <f t="shared" si="0"/>
        <v>806665.78333333333</v>
      </c>
      <c r="Q14" s="10">
        <f t="shared" si="1"/>
        <v>806665.78333333333</v>
      </c>
      <c r="R14" s="10">
        <f t="shared" si="2"/>
        <v>806665.78333333333</v>
      </c>
    </row>
    <row r="15" spans="1:18" x14ac:dyDescent="0.25">
      <c r="A15" t="s">
        <v>16</v>
      </c>
      <c r="B15" t="s">
        <v>28</v>
      </c>
      <c r="C15" s="11">
        <v>192250</v>
      </c>
      <c r="D15" s="12">
        <f t="shared" ref="D15:D20" si="6">D$2*C15</f>
        <v>2787625000</v>
      </c>
      <c r="E15" t="s">
        <v>27</v>
      </c>
      <c r="F15" s="13">
        <f t="shared" ref="F15:F20" si="7">D15/2</f>
        <v>1393812500</v>
      </c>
      <c r="G15" s="13"/>
      <c r="H15" s="13">
        <f t="shared" ref="H15:H20" si="8">D15/2</f>
        <v>1393812500</v>
      </c>
      <c r="J15" s="3" t="s">
        <v>29</v>
      </c>
      <c r="L15" s="9"/>
      <c r="M15" s="9"/>
      <c r="N15" s="9"/>
      <c r="P15" s="10">
        <f t="shared" si="0"/>
        <v>0</v>
      </c>
      <c r="Q15" s="10">
        <f t="shared" si="1"/>
        <v>0</v>
      </c>
      <c r="R15" s="10">
        <f t="shared" si="2"/>
        <v>0</v>
      </c>
    </row>
    <row r="16" spans="1:18" x14ac:dyDescent="0.25">
      <c r="A16" t="s">
        <v>16</v>
      </c>
      <c r="B16" s="36" t="s">
        <v>30</v>
      </c>
      <c r="C16" s="38">
        <v>215125.69</v>
      </c>
      <c r="D16" s="39">
        <f t="shared" si="6"/>
        <v>3119322505</v>
      </c>
      <c r="E16" s="36" t="s">
        <v>27</v>
      </c>
      <c r="F16" s="13">
        <f t="shared" si="7"/>
        <v>1559661252.5</v>
      </c>
      <c r="G16" s="13"/>
      <c r="H16" s="13">
        <f t="shared" si="8"/>
        <v>1559661252.5</v>
      </c>
      <c r="J16" s="8">
        <v>43332</v>
      </c>
      <c r="K16" t="s">
        <v>31</v>
      </c>
      <c r="L16" s="9">
        <v>31</v>
      </c>
      <c r="M16" s="9"/>
      <c r="N16" s="9">
        <f>(L16-M16)*10577.48</f>
        <v>327901.88</v>
      </c>
      <c r="O16" t="s">
        <v>15</v>
      </c>
      <c r="P16" s="10">
        <f t="shared" si="0"/>
        <v>109300.62666666666</v>
      </c>
      <c r="Q16" s="10">
        <f t="shared" si="1"/>
        <v>109300.62666666666</v>
      </c>
      <c r="R16" s="10">
        <f t="shared" si="2"/>
        <v>109300.62666666666</v>
      </c>
    </row>
    <row r="17" spans="1:19" ht="18" x14ac:dyDescent="0.4">
      <c r="A17" t="s">
        <v>16</v>
      </c>
      <c r="B17" t="s">
        <v>32</v>
      </c>
      <c r="C17" s="11">
        <v>186894</v>
      </c>
      <c r="D17" s="12">
        <f t="shared" si="6"/>
        <v>2709963000</v>
      </c>
      <c r="E17" t="s">
        <v>27</v>
      </c>
      <c r="F17" s="13">
        <f t="shared" si="7"/>
        <v>1354981500</v>
      </c>
      <c r="G17" s="13"/>
      <c r="H17" s="13">
        <f t="shared" si="8"/>
        <v>1354981500</v>
      </c>
      <c r="J17" s="8">
        <v>43367</v>
      </c>
      <c r="K17" t="s">
        <v>33</v>
      </c>
      <c r="L17" s="9">
        <v>734.24</v>
      </c>
      <c r="M17" s="9"/>
      <c r="N17" s="14">
        <f>(L17-M17)*14856</f>
        <v>10907869.439999999</v>
      </c>
      <c r="O17" t="s">
        <v>15</v>
      </c>
      <c r="P17" s="10">
        <f t="shared" si="0"/>
        <v>3635956.48</v>
      </c>
      <c r="Q17" s="10">
        <f t="shared" si="1"/>
        <v>3635956.48</v>
      </c>
      <c r="R17" s="10">
        <f t="shared" si="2"/>
        <v>3635956.48</v>
      </c>
    </row>
    <row r="18" spans="1:19" x14ac:dyDescent="0.25">
      <c r="A18" t="s">
        <v>16</v>
      </c>
      <c r="B18" t="s">
        <v>34</v>
      </c>
      <c r="C18" s="11">
        <v>376188.89</v>
      </c>
      <c r="D18" s="12">
        <f t="shared" si="6"/>
        <v>5454738905</v>
      </c>
      <c r="E18" t="s">
        <v>27</v>
      </c>
      <c r="F18" s="13">
        <f t="shared" si="7"/>
        <v>2727369452.5</v>
      </c>
      <c r="G18" s="13"/>
      <c r="H18" s="13">
        <f t="shared" si="8"/>
        <v>2727369452.5</v>
      </c>
      <c r="L18" s="9"/>
      <c r="M18" s="9"/>
      <c r="N18" s="9">
        <f>SUM(N16:N17)</f>
        <v>11235771.32</v>
      </c>
      <c r="P18" s="10">
        <f t="shared" si="0"/>
        <v>3745257.1066666669</v>
      </c>
      <c r="Q18" s="10">
        <f t="shared" si="1"/>
        <v>3745257.1066666669</v>
      </c>
      <c r="R18" s="10">
        <f t="shared" si="2"/>
        <v>3745257.1066666669</v>
      </c>
    </row>
    <row r="19" spans="1:19" x14ac:dyDescent="0.25">
      <c r="A19" t="s">
        <v>16</v>
      </c>
      <c r="B19" s="36" t="s">
        <v>35</v>
      </c>
      <c r="C19" s="38">
        <v>208883.33</v>
      </c>
      <c r="D19" s="39">
        <f t="shared" si="6"/>
        <v>3028808285</v>
      </c>
      <c r="E19" s="36" t="s">
        <v>27</v>
      </c>
      <c r="F19" s="13">
        <f t="shared" si="7"/>
        <v>1514404142.5</v>
      </c>
      <c r="G19" s="13"/>
      <c r="H19" s="13">
        <f t="shared" si="8"/>
        <v>1514404142.5</v>
      </c>
      <c r="L19" s="9"/>
      <c r="M19" s="9"/>
      <c r="N19" s="9"/>
      <c r="P19" s="10"/>
      <c r="Q19" s="10"/>
      <c r="R19" s="10"/>
    </row>
    <row r="20" spans="1:19" x14ac:dyDescent="0.25">
      <c r="A20" t="s">
        <v>0</v>
      </c>
      <c r="B20" t="s">
        <v>36</v>
      </c>
      <c r="C20" s="11">
        <v>188465.1</v>
      </c>
      <c r="D20" s="12">
        <f t="shared" si="6"/>
        <v>2732743950</v>
      </c>
      <c r="E20" t="s">
        <v>27</v>
      </c>
      <c r="F20" s="13">
        <f t="shared" si="7"/>
        <v>1366371975</v>
      </c>
      <c r="G20" s="13"/>
      <c r="H20" s="13">
        <f t="shared" si="8"/>
        <v>1366371975</v>
      </c>
      <c r="I20" s="16">
        <f>SUM(H14:H20)</f>
        <v>11884782133.96875</v>
      </c>
      <c r="J20" s="3" t="s">
        <v>37</v>
      </c>
      <c r="L20" s="9"/>
      <c r="M20" s="9" t="s">
        <v>38</v>
      </c>
      <c r="N20" s="9"/>
      <c r="P20" s="10"/>
      <c r="Q20" s="10"/>
      <c r="R20" s="10"/>
    </row>
    <row r="21" spans="1:19" x14ac:dyDescent="0.25">
      <c r="F21" s="13"/>
      <c r="G21" s="13"/>
      <c r="H21" s="13"/>
      <c r="J21" s="8">
        <v>43325</v>
      </c>
      <c r="K21" t="s">
        <v>39</v>
      </c>
      <c r="L21" s="19">
        <v>5420.62</v>
      </c>
      <c r="M21" s="19"/>
      <c r="N21" s="22">
        <f>(L21-M21)*10593.2</f>
        <v>57421711.784000002</v>
      </c>
      <c r="O21" s="23" t="s">
        <v>59</v>
      </c>
      <c r="P21" s="24">
        <f>N21/2</f>
        <v>28710855.892000001</v>
      </c>
      <c r="Q21" s="24">
        <v>0</v>
      </c>
      <c r="R21" s="24">
        <f>N21/2</f>
        <v>28710855.892000001</v>
      </c>
    </row>
    <row r="22" spans="1:19" x14ac:dyDescent="0.25">
      <c r="A22" t="s">
        <v>16</v>
      </c>
      <c r="B22" s="27" t="s">
        <v>40</v>
      </c>
      <c r="C22" s="40">
        <v>103998.81</v>
      </c>
      <c r="D22" s="41">
        <f t="shared" ref="D22:D30" si="9">D$2*C22</f>
        <v>1507982745</v>
      </c>
      <c r="E22" s="27" t="s">
        <v>18</v>
      </c>
      <c r="F22" s="13">
        <f>D22/3</f>
        <v>502660915</v>
      </c>
      <c r="G22" s="13">
        <f>D22/3</f>
        <v>502660915</v>
      </c>
      <c r="H22" s="13">
        <f>D22/3</f>
        <v>502660915</v>
      </c>
      <c r="J22" s="8">
        <v>43157</v>
      </c>
      <c r="K22" t="s">
        <v>41</v>
      </c>
      <c r="L22" s="9">
        <v>32</v>
      </c>
      <c r="M22" s="9">
        <v>-9.6</v>
      </c>
      <c r="N22" s="9">
        <f>(L22+M22)*13581</f>
        <v>304214.39999999997</v>
      </c>
      <c r="O22" t="s">
        <v>15</v>
      </c>
      <c r="P22" s="10">
        <f t="shared" si="0"/>
        <v>101404.79999999999</v>
      </c>
      <c r="Q22" s="10">
        <f t="shared" si="1"/>
        <v>101404.79999999999</v>
      </c>
      <c r="R22" s="10">
        <f t="shared" si="2"/>
        <v>101404.79999999999</v>
      </c>
      <c r="S22" t="s">
        <v>42</v>
      </c>
    </row>
    <row r="23" spans="1:19" x14ac:dyDescent="0.25">
      <c r="A23" t="s">
        <v>16</v>
      </c>
      <c r="B23" s="27" t="s">
        <v>43</v>
      </c>
      <c r="C23" s="40">
        <v>197917.22</v>
      </c>
      <c r="D23" s="41">
        <f t="shared" si="9"/>
        <v>2869799690</v>
      </c>
      <c r="E23" s="27" t="s">
        <v>18</v>
      </c>
      <c r="F23" s="13">
        <f t="shared" ref="F23:F35" si="10">D23/3</f>
        <v>956599896.66666663</v>
      </c>
      <c r="G23" s="13">
        <f t="shared" ref="G23:G35" si="11">D23/3</f>
        <v>956599896.66666663</v>
      </c>
      <c r="H23" s="13">
        <f t="shared" ref="H23:H35" si="12">D23/3</f>
        <v>956599896.66666663</v>
      </c>
      <c r="J23" s="8">
        <v>43250</v>
      </c>
      <c r="K23" t="s">
        <v>41</v>
      </c>
      <c r="L23" s="9">
        <v>32</v>
      </c>
      <c r="M23" s="9">
        <v>-9.6</v>
      </c>
      <c r="N23" s="9">
        <f>(L23+M23)*14136</f>
        <v>316646.39999999997</v>
      </c>
      <c r="O23" t="s">
        <v>15</v>
      </c>
      <c r="P23" s="10">
        <f t="shared" si="0"/>
        <v>105548.79999999999</v>
      </c>
      <c r="Q23" s="10">
        <f t="shared" si="1"/>
        <v>105548.79999999999</v>
      </c>
      <c r="R23" s="10">
        <f t="shared" si="2"/>
        <v>105548.79999999999</v>
      </c>
      <c r="S23" t="s">
        <v>42</v>
      </c>
    </row>
    <row r="24" spans="1:19" x14ac:dyDescent="0.25">
      <c r="C24" s="11"/>
      <c r="D24" s="12">
        <f t="shared" si="9"/>
        <v>0</v>
      </c>
      <c r="F24" s="13"/>
      <c r="G24" s="13"/>
      <c r="H24" s="13"/>
      <c r="J24" s="8">
        <v>43339</v>
      </c>
      <c r="K24" t="s">
        <v>41</v>
      </c>
      <c r="L24" s="9">
        <v>45</v>
      </c>
      <c r="M24" s="9">
        <v>-13.5</v>
      </c>
      <c r="N24" s="9">
        <f>(L24+M24)*14599</f>
        <v>459868.5</v>
      </c>
      <c r="O24" t="s">
        <v>15</v>
      </c>
      <c r="P24" s="10">
        <f t="shared" si="0"/>
        <v>153289.5</v>
      </c>
      <c r="Q24" s="10">
        <f t="shared" si="1"/>
        <v>153289.5</v>
      </c>
      <c r="R24" s="10">
        <f t="shared" si="2"/>
        <v>153289.5</v>
      </c>
      <c r="S24" t="s">
        <v>42</v>
      </c>
    </row>
    <row r="25" spans="1:19" x14ac:dyDescent="0.25">
      <c r="A25" t="s">
        <v>16</v>
      </c>
      <c r="B25" t="s">
        <v>44</v>
      </c>
      <c r="C25" s="11">
        <v>197445.26</v>
      </c>
      <c r="D25" s="12">
        <f t="shared" si="9"/>
        <v>2862956270</v>
      </c>
      <c r="E25" t="s">
        <v>18</v>
      </c>
      <c r="F25" s="13">
        <f t="shared" si="10"/>
        <v>954318756.66666663</v>
      </c>
      <c r="G25" s="13">
        <f t="shared" si="11"/>
        <v>954318756.66666663</v>
      </c>
      <c r="H25" s="13">
        <f t="shared" si="12"/>
        <v>954318756.66666663</v>
      </c>
      <c r="J25" s="8">
        <v>43427</v>
      </c>
      <c r="K25" t="s">
        <v>41</v>
      </c>
      <c r="L25" s="9">
        <v>45</v>
      </c>
      <c r="M25" s="9">
        <v>-13.5</v>
      </c>
      <c r="N25" s="9">
        <f>(L25+M25)*14688</f>
        <v>462672</v>
      </c>
      <c r="O25" t="s">
        <v>15</v>
      </c>
      <c r="P25" s="10">
        <f t="shared" si="0"/>
        <v>154224</v>
      </c>
      <c r="Q25" s="10">
        <f t="shared" si="1"/>
        <v>154224</v>
      </c>
      <c r="R25" s="10">
        <f t="shared" si="2"/>
        <v>154224</v>
      </c>
      <c r="S25" t="s">
        <v>42</v>
      </c>
    </row>
    <row r="26" spans="1:19" ht="18" x14ac:dyDescent="0.4">
      <c r="A26" t="s">
        <v>16</v>
      </c>
      <c r="B26" t="s">
        <v>45</v>
      </c>
      <c r="C26" s="11">
        <v>203401.64</v>
      </c>
      <c r="D26" s="12">
        <f t="shared" si="9"/>
        <v>2949323780</v>
      </c>
      <c r="E26" t="s">
        <v>18</v>
      </c>
      <c r="F26" s="13">
        <f t="shared" si="10"/>
        <v>983107926.66666663</v>
      </c>
      <c r="G26" s="13">
        <f t="shared" si="11"/>
        <v>983107926.66666663</v>
      </c>
      <c r="H26" s="13">
        <f t="shared" si="12"/>
        <v>983107926.66666663</v>
      </c>
      <c r="J26" s="8">
        <v>43409</v>
      </c>
      <c r="K26" t="s">
        <v>46</v>
      </c>
      <c r="L26" s="9">
        <v>168.64</v>
      </c>
      <c r="M26" s="9">
        <v>-50.6</v>
      </c>
      <c r="N26" s="14">
        <f>(L26+M26)*15213</f>
        <v>1795742.5199999998</v>
      </c>
      <c r="O26" t="s">
        <v>15</v>
      </c>
      <c r="P26" s="15">
        <f t="shared" si="0"/>
        <v>598580.84</v>
      </c>
      <c r="Q26" s="15">
        <f t="shared" si="1"/>
        <v>598580.84</v>
      </c>
      <c r="R26" s="15">
        <f t="shared" si="2"/>
        <v>598580.84</v>
      </c>
      <c r="S26" t="s">
        <v>42</v>
      </c>
    </row>
    <row r="27" spans="1:19" x14ac:dyDescent="0.25">
      <c r="A27" t="s">
        <v>16</v>
      </c>
      <c r="B27" t="s">
        <v>47</v>
      </c>
      <c r="C27" s="11">
        <v>206118.55</v>
      </c>
      <c r="D27" s="12">
        <f t="shared" si="9"/>
        <v>2988718975</v>
      </c>
      <c r="E27" t="s">
        <v>18</v>
      </c>
      <c r="F27" s="13">
        <f t="shared" si="10"/>
        <v>996239658.33333337</v>
      </c>
      <c r="G27" s="13">
        <f t="shared" si="11"/>
        <v>996239658.33333337</v>
      </c>
      <c r="H27" s="13">
        <f t="shared" si="12"/>
        <v>996239658.33333337</v>
      </c>
      <c r="L27" s="9"/>
      <c r="M27" s="13">
        <f>SUM(M22:M26)*D2</f>
        <v>-1403600.0000000002</v>
      </c>
      <c r="N27" s="9">
        <f>SUM(N21:N26)</f>
        <v>60760855.604000002</v>
      </c>
      <c r="P27" s="10">
        <f>P26+P25+P24+P23+P22+P21</f>
        <v>29823903.832000002</v>
      </c>
      <c r="Q27" s="10">
        <f>Q26+Q25+Q24+Q23+Q22</f>
        <v>1113047.94</v>
      </c>
      <c r="R27" s="10">
        <f>R26+R25+R24+R23+R22+R21</f>
        <v>29823903.832000002</v>
      </c>
    </row>
    <row r="28" spans="1:19" x14ac:dyDescent="0.25">
      <c r="A28" t="s">
        <v>16</v>
      </c>
      <c r="B28" t="s">
        <v>48</v>
      </c>
      <c r="C28" s="11">
        <v>191019.79</v>
      </c>
      <c r="D28" s="12">
        <f t="shared" si="9"/>
        <v>2769786955</v>
      </c>
      <c r="E28" t="s">
        <v>18</v>
      </c>
      <c r="F28" s="13">
        <f t="shared" si="10"/>
        <v>923262318.33333337</v>
      </c>
      <c r="G28" s="13">
        <f t="shared" si="11"/>
        <v>923262318.33333337</v>
      </c>
      <c r="H28" s="13">
        <f t="shared" si="12"/>
        <v>923262318.33333337</v>
      </c>
      <c r="I28" t="s">
        <v>49</v>
      </c>
      <c r="L28" s="9"/>
      <c r="M28" s="9"/>
      <c r="N28" s="9"/>
      <c r="P28" s="10"/>
      <c r="Q28" s="10"/>
      <c r="R28" s="10"/>
    </row>
    <row r="29" spans="1:19" x14ac:dyDescent="0.25">
      <c r="A29" t="s">
        <v>16</v>
      </c>
      <c r="B29" t="s">
        <v>50</v>
      </c>
      <c r="C29" s="11">
        <v>95893.91</v>
      </c>
      <c r="D29" s="12">
        <f t="shared" si="9"/>
        <v>1390461695</v>
      </c>
      <c r="E29" t="s">
        <v>18</v>
      </c>
      <c r="F29" s="13">
        <f t="shared" si="10"/>
        <v>463487231.66666669</v>
      </c>
      <c r="G29" s="13">
        <f t="shared" si="11"/>
        <v>463487231.66666669</v>
      </c>
      <c r="H29" s="13">
        <f t="shared" si="12"/>
        <v>463487231.66666669</v>
      </c>
      <c r="L29" s="9"/>
      <c r="M29" s="9"/>
      <c r="N29" s="9"/>
      <c r="P29" s="10"/>
      <c r="Q29" s="10"/>
      <c r="R29" s="10"/>
    </row>
    <row r="30" spans="1:19" x14ac:dyDescent="0.25">
      <c r="C30" s="11"/>
      <c r="D30" s="12">
        <f t="shared" si="9"/>
        <v>0</v>
      </c>
      <c r="F30" s="13"/>
      <c r="G30" s="13"/>
      <c r="H30" s="13"/>
      <c r="J30" s="3" t="s">
        <v>51</v>
      </c>
      <c r="K30" s="3" t="s">
        <v>52</v>
      </c>
      <c r="L30" s="9"/>
      <c r="M30" s="9" t="s">
        <v>38</v>
      </c>
      <c r="N30" s="9"/>
      <c r="P30" s="10"/>
      <c r="Q30" s="10"/>
      <c r="R30" s="10"/>
    </row>
    <row r="31" spans="1:19" x14ac:dyDescent="0.25">
      <c r="A31" t="s">
        <v>25</v>
      </c>
      <c r="B31" t="s">
        <v>53</v>
      </c>
      <c r="C31" s="11">
        <v>-45257.56</v>
      </c>
      <c r="D31" s="12">
        <f>E2*C31</f>
        <v>-746417096.93400002</v>
      </c>
      <c r="E31" t="s">
        <v>18</v>
      </c>
      <c r="F31" s="13">
        <f t="shared" si="10"/>
        <v>-248805698.97800002</v>
      </c>
      <c r="G31" s="13">
        <f t="shared" si="11"/>
        <v>-248805698.97800002</v>
      </c>
      <c r="H31" s="13">
        <f t="shared" si="12"/>
        <v>-248805698.97800002</v>
      </c>
      <c r="J31" s="8">
        <v>43438</v>
      </c>
      <c r="K31" t="s">
        <v>43</v>
      </c>
      <c r="L31" s="9">
        <v>5950</v>
      </c>
      <c r="M31" s="9"/>
      <c r="N31" s="22">
        <f>(L31-M31)*14540</f>
        <v>86513000</v>
      </c>
      <c r="O31" s="23" t="s">
        <v>59</v>
      </c>
      <c r="P31" s="24">
        <f>N31/2</f>
        <v>43256500</v>
      </c>
      <c r="Q31" s="10">
        <v>0</v>
      </c>
      <c r="R31" s="24">
        <f>N31/2</f>
        <v>43256500</v>
      </c>
    </row>
    <row r="32" spans="1:19" x14ac:dyDescent="0.25">
      <c r="A32" t="s">
        <v>54</v>
      </c>
      <c r="B32" t="s">
        <v>53</v>
      </c>
      <c r="C32" s="11">
        <v>-11131.77</v>
      </c>
      <c r="D32" s="12">
        <f>F2*C32</f>
        <v>-205602122.1345</v>
      </c>
      <c r="E32" t="s">
        <v>18</v>
      </c>
      <c r="F32" s="13">
        <f t="shared" si="10"/>
        <v>-68534040.711500004</v>
      </c>
      <c r="G32" s="13">
        <f t="shared" si="11"/>
        <v>-68534040.711500004</v>
      </c>
      <c r="H32" s="13">
        <f t="shared" si="12"/>
        <v>-68534040.711500004</v>
      </c>
      <c r="J32" s="8">
        <v>43122</v>
      </c>
      <c r="K32" t="s">
        <v>55</v>
      </c>
      <c r="L32" s="9">
        <v>3875</v>
      </c>
      <c r="M32" s="9"/>
      <c r="N32" s="22">
        <f>(L32-M32)*13391</f>
        <v>51890125</v>
      </c>
      <c r="O32" s="23" t="s">
        <v>59</v>
      </c>
      <c r="P32" s="24">
        <f>N32/2</f>
        <v>25945062.5</v>
      </c>
      <c r="Q32" s="10">
        <v>0</v>
      </c>
      <c r="R32" s="24">
        <f>N32/2</f>
        <v>25945062.5</v>
      </c>
    </row>
    <row r="33" spans="1:19" ht="18" x14ac:dyDescent="0.4">
      <c r="A33" t="s">
        <v>56</v>
      </c>
      <c r="B33" t="s">
        <v>53</v>
      </c>
      <c r="C33" s="11">
        <v>-911941.07</v>
      </c>
      <c r="D33" s="12">
        <f>G2*C33</f>
        <v>-1692799730.5981998</v>
      </c>
      <c r="E33" t="s">
        <v>18</v>
      </c>
      <c r="F33" s="13">
        <f t="shared" si="10"/>
        <v>-564266576.86606658</v>
      </c>
      <c r="G33" s="13">
        <f t="shared" si="11"/>
        <v>-564266576.86606658</v>
      </c>
      <c r="H33" s="13">
        <f t="shared" si="12"/>
        <v>-564266576.86606658</v>
      </c>
      <c r="J33" s="8">
        <v>43301</v>
      </c>
      <c r="K33" t="s">
        <v>55</v>
      </c>
      <c r="L33" s="9">
        <v>3875</v>
      </c>
      <c r="M33" s="9"/>
      <c r="N33" s="25">
        <f>(L33-M33)*14388</f>
        <v>55753500</v>
      </c>
      <c r="O33" s="23" t="s">
        <v>59</v>
      </c>
      <c r="P33" s="26">
        <f>N33/2</f>
        <v>27876750</v>
      </c>
      <c r="Q33" s="15">
        <v>0</v>
      </c>
      <c r="R33" s="26">
        <f>N33/2</f>
        <v>27876750</v>
      </c>
    </row>
    <row r="34" spans="1:19" x14ac:dyDescent="0.25">
      <c r="A34" t="s">
        <v>19</v>
      </c>
      <c r="B34" t="s">
        <v>53</v>
      </c>
      <c r="C34" s="11">
        <v>-203418.72</v>
      </c>
      <c r="D34" s="12">
        <f>H2*C34</f>
        <v>-2155302705.888</v>
      </c>
      <c r="E34" t="s">
        <v>18</v>
      </c>
      <c r="F34" s="13">
        <f t="shared" si="10"/>
        <v>-718434235.296</v>
      </c>
      <c r="G34" s="13">
        <f t="shared" si="11"/>
        <v>-718434235.296</v>
      </c>
      <c r="H34" s="13">
        <f t="shared" si="12"/>
        <v>-718434235.296</v>
      </c>
      <c r="N34" s="10">
        <f>SUM(N31:N33)</f>
        <v>194156625</v>
      </c>
      <c r="P34" s="10">
        <f>N34/2</f>
        <v>97078312.5</v>
      </c>
      <c r="Q34" s="10">
        <f>Q33+Q32+Q31</f>
        <v>0</v>
      </c>
      <c r="R34" s="10">
        <f>N34/2</f>
        <v>97078312.5</v>
      </c>
    </row>
    <row r="35" spans="1:19" x14ac:dyDescent="0.25">
      <c r="A35" t="s">
        <v>16</v>
      </c>
      <c r="B35" t="s">
        <v>57</v>
      </c>
      <c r="C35" s="11">
        <v>670000</v>
      </c>
      <c r="D35" s="12">
        <f>D$2*C35</f>
        <v>9715000000</v>
      </c>
      <c r="E35" t="s">
        <v>18</v>
      </c>
      <c r="F35" s="13">
        <f t="shared" si="10"/>
        <v>3238333333.3333335</v>
      </c>
      <c r="G35" s="13">
        <f t="shared" si="11"/>
        <v>3238333333.3333335</v>
      </c>
      <c r="H35" s="13">
        <f t="shared" si="12"/>
        <v>3238333333.3333335</v>
      </c>
      <c r="P35" s="10">
        <f>P33+P32+P31</f>
        <v>97078312.5</v>
      </c>
    </row>
    <row r="36" spans="1:19" x14ac:dyDescent="0.25">
      <c r="C36" s="11"/>
      <c r="D36" s="12"/>
      <c r="F36" s="13"/>
      <c r="G36" s="13"/>
      <c r="H36" s="13"/>
      <c r="I36" s="16">
        <f>H37-I20</f>
        <v>9967970422.5193634</v>
      </c>
      <c r="J36" s="3" t="s">
        <v>51</v>
      </c>
      <c r="K36" s="3" t="s">
        <v>52</v>
      </c>
    </row>
    <row r="37" spans="1:19" x14ac:dyDescent="0.25">
      <c r="C37" s="11">
        <f>SUM(C7:C35)</f>
        <v>2916580.3000000003</v>
      </c>
      <c r="D37" s="12">
        <f>SUM(D7:D35)</f>
        <v>53673475535.495605</v>
      </c>
      <c r="E37" s="10">
        <f>D37-E41</f>
        <v>29903911267.558105</v>
      </c>
      <c r="F37" s="13">
        <f>SUM(F8:F35)</f>
        <v>21852752556.488113</v>
      </c>
      <c r="G37" s="13">
        <f>SUM(G8:G35)</f>
        <v>9967970422.5193672</v>
      </c>
      <c r="H37" s="13">
        <f>SUM(H8:H35)</f>
        <v>21852752556.488113</v>
      </c>
      <c r="J37" s="8">
        <v>43306</v>
      </c>
      <c r="K37" t="s">
        <v>58</v>
      </c>
      <c r="L37" s="9">
        <v>4450</v>
      </c>
      <c r="M37" s="9"/>
      <c r="N37" s="9">
        <f>(L37-M37)*14478</f>
        <v>64427100</v>
      </c>
      <c r="O37" t="s">
        <v>59</v>
      </c>
      <c r="P37" s="10">
        <f>N37/2</f>
        <v>32213550</v>
      </c>
      <c r="R37" s="10">
        <f>N37/2</f>
        <v>32213550</v>
      </c>
    </row>
    <row r="38" spans="1:19" x14ac:dyDescent="0.25">
      <c r="J38" s="8">
        <v>43189</v>
      </c>
      <c r="K38" s="18" t="s">
        <v>60</v>
      </c>
      <c r="L38" s="19">
        <v>7625</v>
      </c>
      <c r="M38" s="19"/>
      <c r="N38" s="19">
        <f>(L38-M38)*13762</f>
        <v>104935250</v>
      </c>
      <c r="O38" s="21" t="s">
        <v>15</v>
      </c>
      <c r="P38" s="20">
        <f>N38/3</f>
        <v>34978416.666666664</v>
      </c>
      <c r="Q38" s="20">
        <f>N38/3</f>
        <v>34978416.666666664</v>
      </c>
      <c r="R38" s="20">
        <f>N38/3</f>
        <v>34978416.666666664</v>
      </c>
    </row>
    <row r="39" spans="1:19" x14ac:dyDescent="0.25">
      <c r="J39" s="8">
        <v>43374</v>
      </c>
      <c r="K39" s="18" t="s">
        <v>60</v>
      </c>
      <c r="L39" s="19">
        <v>7625</v>
      </c>
      <c r="M39" s="19"/>
      <c r="N39" s="19">
        <f>(L39-M39)*14864</f>
        <v>113338000</v>
      </c>
      <c r="O39" s="21" t="s">
        <v>15</v>
      </c>
      <c r="P39" s="20">
        <f>N39/3</f>
        <v>37779333.333333336</v>
      </c>
      <c r="Q39" s="20">
        <f>N39/3</f>
        <v>37779333.333333336</v>
      </c>
      <c r="R39" s="20">
        <f>N39/3</f>
        <v>37779333.333333336</v>
      </c>
    </row>
    <row r="40" spans="1:19" x14ac:dyDescent="0.25">
      <c r="E40" s="17" t="s">
        <v>61</v>
      </c>
      <c r="J40" s="8">
        <v>43306</v>
      </c>
      <c r="K40" t="s">
        <v>62</v>
      </c>
      <c r="L40" s="9">
        <v>4700</v>
      </c>
      <c r="M40" s="9"/>
      <c r="N40" s="9">
        <f>(L40-M40)*14478</f>
        <v>68046600</v>
      </c>
      <c r="O40" t="s">
        <v>59</v>
      </c>
      <c r="P40" s="10">
        <f t="shared" ref="P40:P46" si="13">N40/2</f>
        <v>34023300</v>
      </c>
      <c r="R40" s="10">
        <f t="shared" ref="R40:R46" si="14">N40/2</f>
        <v>34023300</v>
      </c>
    </row>
    <row r="41" spans="1:19" x14ac:dyDescent="0.25">
      <c r="A41" s="8"/>
      <c r="B41" s="27" t="s">
        <v>71</v>
      </c>
      <c r="C41" s="9"/>
      <c r="E41" s="10">
        <f>SUM(D14:D20)</f>
        <v>23769564267.9375</v>
      </c>
      <c r="J41" s="8">
        <v>43130</v>
      </c>
      <c r="K41" t="s">
        <v>63</v>
      </c>
      <c r="L41" s="9">
        <v>13812.5</v>
      </c>
      <c r="M41" s="9"/>
      <c r="N41" s="9">
        <f>(L41-M41)*13339</f>
        <v>184244937.5</v>
      </c>
      <c r="O41" t="s">
        <v>59</v>
      </c>
      <c r="P41" s="10">
        <f t="shared" si="13"/>
        <v>92122468.75</v>
      </c>
      <c r="R41" s="10">
        <f t="shared" si="14"/>
        <v>92122468.75</v>
      </c>
    </row>
    <row r="42" spans="1:19" x14ac:dyDescent="0.25">
      <c r="A42" s="8"/>
      <c r="B42" s="35" t="s">
        <v>72</v>
      </c>
      <c r="C42" s="9"/>
      <c r="E42" s="10"/>
      <c r="J42" s="8">
        <v>43311</v>
      </c>
      <c r="K42" t="s">
        <v>63</v>
      </c>
      <c r="L42" s="9">
        <v>13812.5</v>
      </c>
      <c r="M42" s="9"/>
      <c r="N42" s="33">
        <f>(L42-M42)*14478</f>
        <v>199977375</v>
      </c>
      <c r="O42" t="s">
        <v>59</v>
      </c>
      <c r="P42" s="10">
        <f t="shared" si="13"/>
        <v>99988687.5</v>
      </c>
      <c r="R42" s="10">
        <f t="shared" si="14"/>
        <v>99988687.5</v>
      </c>
    </row>
    <row r="43" spans="1:19" x14ac:dyDescent="0.25">
      <c r="A43" s="8"/>
      <c r="B43" s="37" t="s">
        <v>73</v>
      </c>
      <c r="C43" s="9"/>
      <c r="E43" s="10"/>
      <c r="J43" s="8">
        <v>43334</v>
      </c>
      <c r="K43" t="s">
        <v>63</v>
      </c>
      <c r="L43" s="9">
        <v>737.85</v>
      </c>
      <c r="M43" s="9"/>
      <c r="N43" s="33">
        <f>(L43-M43)*14599</f>
        <v>10771872.15</v>
      </c>
      <c r="O43" t="s">
        <v>59</v>
      </c>
      <c r="P43" s="10">
        <f t="shared" si="13"/>
        <v>5385936.0750000002</v>
      </c>
      <c r="R43" s="10">
        <f t="shared" si="14"/>
        <v>5385936.0750000002</v>
      </c>
    </row>
    <row r="44" spans="1:19" x14ac:dyDescent="0.25">
      <c r="A44" s="8"/>
      <c r="C44" s="9"/>
      <c r="E44" s="10"/>
      <c r="J44" s="8">
        <v>43223</v>
      </c>
      <c r="K44" s="18" t="s">
        <v>64</v>
      </c>
      <c r="L44" s="19">
        <v>4875</v>
      </c>
      <c r="M44" s="19"/>
      <c r="N44" s="19">
        <f>(L44-M44)*13894</f>
        <v>67733250</v>
      </c>
      <c r="O44" s="21" t="s">
        <v>15</v>
      </c>
      <c r="P44" s="20">
        <f>N44/3</f>
        <v>22577750</v>
      </c>
      <c r="Q44" s="20">
        <f>N44/3</f>
        <v>22577750</v>
      </c>
      <c r="R44" s="20">
        <f>N44/3</f>
        <v>22577750</v>
      </c>
    </row>
    <row r="45" spans="1:19" x14ac:dyDescent="0.25">
      <c r="A45" s="8"/>
      <c r="C45" s="9"/>
      <c r="E45" s="10"/>
      <c r="J45" s="8">
        <v>43409</v>
      </c>
      <c r="K45" s="18" t="s">
        <v>64</v>
      </c>
      <c r="L45" s="19">
        <v>4875</v>
      </c>
      <c r="M45" s="19"/>
      <c r="N45" s="19">
        <f>(L45-M45)*15213</f>
        <v>74163375</v>
      </c>
      <c r="O45" s="21" t="s">
        <v>15</v>
      </c>
      <c r="P45" s="20">
        <f>N45/3</f>
        <v>24721125</v>
      </c>
      <c r="Q45" s="20">
        <f>N45/3</f>
        <v>24721125</v>
      </c>
      <c r="R45" s="20">
        <f>N45/3</f>
        <v>24721125</v>
      </c>
    </row>
    <row r="46" spans="1:19" ht="18" x14ac:dyDescent="0.4">
      <c r="A46" s="8"/>
      <c r="C46" s="9"/>
      <c r="E46" s="10"/>
      <c r="J46" s="8">
        <v>43446</v>
      </c>
      <c r="K46" t="s">
        <v>65</v>
      </c>
      <c r="L46" s="9">
        <v>15500</v>
      </c>
      <c r="M46" s="9">
        <v>-4030</v>
      </c>
      <c r="N46" s="14">
        <f>(L46+M46)*16432.37</f>
        <v>188479283.89999998</v>
      </c>
      <c r="O46" t="s">
        <v>59</v>
      </c>
      <c r="P46" s="15">
        <f t="shared" si="13"/>
        <v>94239641.949999988</v>
      </c>
      <c r="Q46" s="32" t="s">
        <v>69</v>
      </c>
      <c r="R46" s="15">
        <f t="shared" si="14"/>
        <v>94239641.949999988</v>
      </c>
      <c r="S46" t="s">
        <v>66</v>
      </c>
    </row>
    <row r="47" spans="1:19" x14ac:dyDescent="0.25">
      <c r="A47" s="8"/>
      <c r="C47" s="9"/>
      <c r="E47" s="10"/>
      <c r="M47" s="10">
        <f>M46*E2</f>
        <v>-66465379.500000007</v>
      </c>
      <c r="N47" s="10">
        <f>SUM(N37:N46)</f>
        <v>1076117043.55</v>
      </c>
      <c r="P47" s="10">
        <f>P37+P40+P41+P42+P43+P46+P38+P39+P44+P45</f>
        <v>478030209.27499998</v>
      </c>
      <c r="Q47" s="9">
        <f>SUM(Q37:Q46)</f>
        <v>120056625</v>
      </c>
      <c r="R47" s="10">
        <f>R37+R40+R41+R42+R43+R46</f>
        <v>357973584.27499998</v>
      </c>
    </row>
    <row r="48" spans="1:19" x14ac:dyDescent="0.25">
      <c r="A48" s="8"/>
      <c r="C48" s="9"/>
      <c r="E48" s="10"/>
    </row>
    <row r="49" spans="1:18" x14ac:dyDescent="0.25">
      <c r="A49" s="8"/>
      <c r="C49" s="9"/>
      <c r="E49" s="10"/>
      <c r="N49" s="10">
        <f>N14+N18+N27+N34+N47</f>
        <v>1344690292.8239999</v>
      </c>
      <c r="P49" s="10">
        <f>P14+P18+P27+P34+P47</f>
        <v>609484348.49699998</v>
      </c>
      <c r="Q49" s="10">
        <f>Q14+Q18+Q27+Q34+Q47</f>
        <v>125721595.83</v>
      </c>
      <c r="R49" s="10">
        <f>P49</f>
        <v>609484348.49699998</v>
      </c>
    </row>
    <row r="50" spans="1:18" x14ac:dyDescent="0.25">
      <c r="A50" s="8"/>
      <c r="C50" s="9"/>
      <c r="E50" s="10"/>
    </row>
    <row r="51" spans="1:18" ht="19.5" thickBot="1" x14ac:dyDescent="0.35">
      <c r="A51" s="8"/>
      <c r="C51" s="9"/>
      <c r="E51" s="10"/>
      <c r="K51" s="28" t="s">
        <v>68</v>
      </c>
      <c r="O51" s="30"/>
      <c r="P51" s="31"/>
    </row>
    <row r="52" spans="1:18" ht="19.5" thickTop="1" x14ac:dyDescent="0.3">
      <c r="A52" s="8"/>
      <c r="C52" s="9"/>
      <c r="E52" s="10"/>
      <c r="K52" s="29" t="s">
        <v>67</v>
      </c>
    </row>
    <row r="53" spans="1:18" x14ac:dyDescent="0.25">
      <c r="A53" s="8"/>
      <c r="C53" s="9"/>
      <c r="E53" s="10"/>
      <c r="K53" s="27"/>
      <c r="P53" s="10"/>
    </row>
    <row r="54" spans="1:18" x14ac:dyDescent="0.25">
      <c r="A54" s="8"/>
      <c r="C54" s="9"/>
      <c r="E54" s="10"/>
      <c r="K54" s="34" t="s">
        <v>70</v>
      </c>
    </row>
    <row r="55" spans="1:18" x14ac:dyDescent="0.25">
      <c r="N55" s="10"/>
    </row>
    <row r="56" spans="1:18" x14ac:dyDescent="0.25">
      <c r="N56" s="10"/>
    </row>
    <row r="58" spans="1:18" x14ac:dyDescent="0.25">
      <c r="N58" s="10"/>
    </row>
  </sheetData>
  <pageMargins left="0.75" right="0.75" top="1" bottom="1" header="0.5" footer="0.5"/>
  <pageSetup scale="55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Accounting</cp:lastModifiedBy>
  <cp:lastPrinted>2021-10-18T09:53:53Z</cp:lastPrinted>
  <dcterms:created xsi:type="dcterms:W3CDTF">2019-03-18T01:31:22Z</dcterms:created>
  <dcterms:modified xsi:type="dcterms:W3CDTF">2022-01-13T03:04:39Z</dcterms:modified>
</cp:coreProperties>
</file>